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B78983AF-FA71-4F28-A4A1-F19152FD1083}" xr6:coauthVersionLast="47" xr6:coauthVersionMax="47" xr10:uidLastSave="{00000000-0000-0000-0000-000000000000}"/>
  <bookViews>
    <workbookView xWindow="-120" yWindow="-120" windowWidth="25440" windowHeight="15390" firstSheet="3" activeTab="4"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9" i="4" l="1"/>
  <c r="AO632" i="3"/>
  <c r="H598" i="3"/>
  <c r="Q393" i="3"/>
  <c r="AA590" i="3"/>
  <c r="H648" i="3"/>
  <c r="AA573" i="3"/>
  <c r="H573" i="3"/>
  <c r="G53" i="7"/>
  <c r="S45" i="4"/>
  <c r="C45" i="4"/>
  <c r="F41" i="4"/>
  <c r="C30" i="4"/>
  <c r="F7" i="8"/>
  <c r="F9" i="8"/>
  <c r="F13" i="8"/>
  <c r="AA931" i="3"/>
  <c r="AA919" i="3"/>
  <c r="AA918" i="3"/>
  <c r="AA664" i="3"/>
  <c r="H664" i="3"/>
  <c r="AA656" i="3"/>
  <c r="H656" i="3"/>
  <c r="Z655" i="3"/>
  <c r="G655" i="3"/>
  <c r="G663" i="3"/>
  <c r="G661" i="3"/>
  <c r="G662" i="3"/>
  <c r="G660" i="3"/>
  <c r="Z653" i="3"/>
  <c r="Z654" i="3"/>
  <c r="Z652" i="3"/>
  <c r="G653" i="3"/>
  <c r="G654" i="3"/>
  <c r="G652" i="3"/>
  <c r="AA648" i="3"/>
  <c r="G596" i="3"/>
  <c r="G595" i="3"/>
  <c r="Z661" i="3"/>
  <c r="G594" i="3"/>
  <c r="Z660" i="3"/>
  <c r="H590" i="3"/>
  <c r="AA582" i="3"/>
  <c r="H582" i="3"/>
  <c r="AG756" i="3"/>
  <c r="S49" i="4"/>
  <c r="E43" i="4"/>
  <c r="E84" i="4"/>
  <c r="E85" i="4"/>
  <c r="E86" i="4"/>
  <c r="E88" i="4"/>
  <c r="E89" i="4"/>
  <c r="E90" i="4"/>
  <c r="E91" i="4"/>
  <c r="E92" i="4"/>
  <c r="E93" i="4"/>
  <c r="E94" i="4"/>
  <c r="E83" i="4"/>
  <c r="E80" i="4"/>
  <c r="E79" i="4"/>
  <c r="E75" i="4"/>
  <c r="E57" i="4"/>
  <c r="E58" i="4"/>
  <c r="E56" i="4"/>
  <c r="E53" i="4"/>
  <c r="E52" i="4"/>
  <c r="E51" i="4"/>
  <c r="E50" i="4"/>
  <c r="E49" i="4"/>
  <c r="E46" i="4"/>
  <c r="C65" i="4"/>
  <c r="E65" i="4"/>
  <c r="E61" i="4"/>
  <c r="C40" i="4"/>
  <c r="F30" i="4"/>
  <c r="Q390" i="3"/>
  <c r="BE103" i="3"/>
  <c r="AC216" i="23"/>
  <c r="Y216" i="23"/>
  <c r="U216" i="23"/>
  <c r="BQ102" i="23"/>
  <c r="BQ101" i="23"/>
  <c r="N11" i="23"/>
  <c r="W879" i="3"/>
  <c r="E21" i="7" s="1"/>
  <c r="G21" i="7" s="1"/>
  <c r="I21" i="7" s="1"/>
  <c r="K21" i="7" s="1"/>
  <c r="M21" i="7" s="1"/>
  <c r="O21" i="7" s="1"/>
  <c r="Q21" i="7" s="1"/>
  <c r="S21" i="7" s="1"/>
  <c r="U21" i="7" s="1"/>
  <c r="W21" i="7" s="1"/>
  <c r="Y21" i="7" s="1"/>
  <c r="AA21" i="7" s="1"/>
  <c r="AC21" i="7" s="1"/>
  <c r="AE21" i="7" s="1"/>
  <c r="AG21" i="7" s="1"/>
  <c r="W855" i="3"/>
  <c r="W847" i="3"/>
  <c r="W862" i="3"/>
  <c r="W872" i="3"/>
  <c r="L44" i="21"/>
  <c r="M44" i="21"/>
  <c r="R44" i="21" a="1"/>
  <c r="R44" i="21" s="1"/>
  <c r="N44" i="21"/>
  <c r="L45" i="21"/>
  <c r="M45" i="21"/>
  <c r="O45" i="21"/>
  <c r="N45" i="21"/>
  <c r="L46" i="21"/>
  <c r="M46" i="21"/>
  <c r="O46" i="21" s="1"/>
  <c r="N46" i="21"/>
  <c r="L47" i="21"/>
  <c r="M47" i="21"/>
  <c r="O47" i="21" s="1"/>
  <c r="N47" i="21"/>
  <c r="L48" i="21"/>
  <c r="M48" i="21"/>
  <c r="O48" i="21"/>
  <c r="N48" i="21"/>
  <c r="L49" i="21"/>
  <c r="M49" i="21"/>
  <c r="T49" i="21" s="1"/>
  <c r="N49" i="21"/>
  <c r="R49" i="21" a="1"/>
  <c r="R49" i="21" s="1"/>
  <c r="L50" i="21"/>
  <c r="M50" i="21"/>
  <c r="T50" i="21"/>
  <c r="N50" i="21"/>
  <c r="L51" i="21"/>
  <c r="M51" i="21"/>
  <c r="R51" i="21" s="1" a="1"/>
  <c r="R51" i="21" s="1"/>
  <c r="O51" i="21"/>
  <c r="N51" i="21"/>
  <c r="L52" i="21"/>
  <c r="M52" i="21"/>
  <c r="P52" i="21" s="1" a="1"/>
  <c r="P52" i="21" s="1"/>
  <c r="R52" i="21" a="1"/>
  <c r="R52" i="21" s="1"/>
  <c r="N52" i="21"/>
  <c r="L53" i="21"/>
  <c r="M53" i="21"/>
  <c r="P53" i="21" a="1"/>
  <c r="P53" i="21"/>
  <c r="N53" i="21"/>
  <c r="L54" i="21"/>
  <c r="M54" i="21"/>
  <c r="P54" i="21" s="1" a="1"/>
  <c r="P54" i="21" s="1"/>
  <c r="O54" i="2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49" i="21"/>
  <c r="U45" i="21"/>
  <c r="U47" i="21"/>
  <c r="T47" i="21"/>
  <c r="S47" i="21"/>
  <c r="U50" i="21"/>
  <c r="S46" i="21"/>
  <c r="S50" i="21"/>
  <c r="P50" i="21" a="1"/>
  <c r="P50" i="21" s="1"/>
  <c r="S48" i="21"/>
  <c r="O50" i="21"/>
  <c r="T45" i="21"/>
  <c r="U53" i="21"/>
  <c r="P49" i="21" a="1"/>
  <c r="P49" i="21" s="1"/>
  <c r="T53" i="21"/>
  <c r="O49" i="21"/>
  <c r="R53" i="21" a="1"/>
  <c r="R53" i="21"/>
  <c r="U51" i="21"/>
  <c r="R47" i="21" a="1"/>
  <c r="R47" i="21"/>
  <c r="S45" i="21"/>
  <c r="U48" i="21"/>
  <c r="S51" i="21"/>
  <c r="T48" i="21"/>
  <c r="P51" i="21" a="1"/>
  <c r="P51" i="21" s="1"/>
  <c r="U49" i="21"/>
  <c r="R48" i="21" a="1"/>
  <c r="R48" i="21" s="1"/>
  <c r="U46" i="21"/>
  <c r="P48" i="21" a="1"/>
  <c r="P48" i="21"/>
  <c r="T46" i="21"/>
  <c r="T44" i="21"/>
  <c r="R46" i="21" a="1"/>
  <c r="R46" i="21" s="1"/>
  <c r="P47" i="21" a="1"/>
  <c r="P47" i="21" s="1"/>
  <c r="O53" i="21"/>
  <c r="U44" i="21"/>
  <c r="U54" i="21"/>
  <c r="R50" i="21" a="1"/>
  <c r="R50" i="21"/>
  <c r="P44" i="21" a="1"/>
  <c r="P44" i="21"/>
  <c r="T54" i="21"/>
  <c r="O44" i="21"/>
  <c r="S54" i="21"/>
  <c r="R54" i="21" a="1"/>
  <c r="R54" i="21"/>
  <c r="S53" i="21"/>
  <c r="U52" i="21"/>
  <c r="T52" i="21"/>
  <c r="P46" i="21" a="1"/>
  <c r="P46" i="21"/>
  <c r="R45" i="21" a="1"/>
  <c r="R45" i="21" s="1"/>
  <c r="S44" i="21"/>
  <c r="P45" i="21" a="1"/>
  <c r="P45" i="21"/>
  <c r="AD67" i="15" a="1"/>
  <c r="AD67" i="15" s="1"/>
  <c r="Y67" i="15" a="1"/>
  <c r="Y67" i="15" s="1"/>
  <c r="BE63" i="3"/>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3" i="3"/>
  <c r="BR98" i="23"/>
  <c r="BQ98" i="23"/>
  <c r="BR97" i="23"/>
  <c r="BQ97" i="23"/>
  <c r="R93" i="23" s="1"/>
  <c r="BR96" i="23"/>
  <c r="BQ96" i="23"/>
  <c r="AN28" i="23"/>
  <c r="AH28" i="23"/>
  <c r="AB28" i="23"/>
  <c r="V28" i="23"/>
  <c r="J28" i="23" s="1"/>
  <c r="P28" i="23"/>
  <c r="S15" i="23"/>
  <c r="AO13" i="23"/>
  <c r="BE18" i="3"/>
  <c r="N10" i="23"/>
  <c r="AB8" i="23"/>
  <c r="L6" i="23"/>
  <c r="L4" i="23"/>
  <c r="V21" i="23" a="1"/>
  <c r="V21" i="23" s="1"/>
  <c r="AN19" i="23" a="1"/>
  <c r="AN19" i="23"/>
  <c r="AN29" i="23" s="1"/>
  <c r="AB20" i="23" a="1"/>
  <c r="AB20" i="23"/>
  <c r="P21" i="23" a="1"/>
  <c r="P21" i="23"/>
  <c r="V20" i="23" a="1"/>
  <c r="V20" i="23"/>
  <c r="P20" i="23" a="1"/>
  <c r="P20" i="23" s="1"/>
  <c r="P19" i="23" a="1"/>
  <c r="P19" i="23" s="1"/>
  <c r="AH19" i="23" a="1"/>
  <c r="AH19" i="23"/>
  <c r="AB19" i="23" a="1"/>
  <c r="AB19" i="23"/>
  <c r="AB29" i="23" s="1"/>
  <c r="V19" i="23" a="1"/>
  <c r="V19" i="23"/>
  <c r="AB24" i="23" a="1"/>
  <c r="AB24" i="23"/>
  <c r="AN24" i="23" a="1"/>
  <c r="AN24" i="23" s="1"/>
  <c r="AH24" i="23" a="1"/>
  <c r="AH24" i="23" s="1"/>
  <c r="AB23" i="23" a="1"/>
  <c r="AB23" i="23"/>
  <c r="AN23" i="23" a="1"/>
  <c r="AN23" i="23"/>
  <c r="AH23" i="23" a="1"/>
  <c r="AH23" i="23"/>
  <c r="V24" i="23" a="1"/>
  <c r="V24" i="23"/>
  <c r="P24" i="23" a="1"/>
  <c r="P24" i="23" s="1"/>
  <c r="J24" i="23" s="1"/>
  <c r="V23" i="23" a="1"/>
  <c r="V23" i="23" s="1"/>
  <c r="AN22" i="23" a="1"/>
  <c r="AN22" i="23"/>
  <c r="AB22" i="23" a="1"/>
  <c r="AB22" i="23"/>
  <c r="V22" i="23" a="1"/>
  <c r="V22" i="23"/>
  <c r="AH21" i="23" a="1"/>
  <c r="AH21" i="23"/>
  <c r="P23" i="23" a="1"/>
  <c r="P23" i="23" s="1"/>
  <c r="J23" i="23" s="1"/>
  <c r="AN21" i="23" a="1"/>
  <c r="AN21" i="23" s="1"/>
  <c r="P22" i="23" a="1"/>
  <c r="P22" i="23"/>
  <c r="AH22" i="23" a="1"/>
  <c r="AH22" i="23"/>
  <c r="AB21" i="23" a="1"/>
  <c r="AB21" i="23"/>
  <c r="AN20" i="23" a="1"/>
  <c r="AN20" i="23"/>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c r="CG718" i="3"/>
  <c r="CI718" i="3" s="1"/>
  <c r="CI753" i="3" s="1"/>
  <c r="BA1038" i="3"/>
  <c r="AZ1048" i="3"/>
  <c r="AZ1047" i="3"/>
  <c r="AZ1045" i="3"/>
  <c r="AZ1049" i="3"/>
  <c r="BA1052" i="3"/>
  <c r="O105" i="23"/>
  <c r="AH29" i="23"/>
  <c r="R80" i="23"/>
  <c r="AZ1052" i="3"/>
  <c r="BH247" i="3"/>
  <c r="T212" i="3"/>
  <c r="BA1042" i="3" s="1"/>
  <c r="I14" i="21"/>
  <c r="G137" i="21"/>
  <c r="G86" i="21"/>
  <c r="B82" i="21"/>
  <c r="B67" i="21"/>
  <c r="B92" i="21"/>
  <c r="B58" i="21"/>
  <c r="B49" i="21"/>
  <c r="BD1051" i="3" a="1"/>
  <c r="BD1051" i="3" s="1"/>
  <c r="G37" i="21"/>
  <c r="G136" i="21" s="1"/>
  <c r="I17" i="21" s="1"/>
  <c r="P18" i="21"/>
  <c r="AO22" i="20"/>
  <c r="AO17" i="20"/>
  <c r="AO13" i="20"/>
  <c r="AO25" i="20"/>
  <c r="AG444" i="3"/>
  <c r="AG441" i="3"/>
  <c r="BN150" i="3"/>
  <c r="C178" i="20"/>
  <c r="U374" i="20"/>
  <c r="L100" i="21"/>
  <c r="X752" i="3"/>
  <c r="AH752" i="3"/>
  <c r="BF751" i="3"/>
  <c r="BS751" i="3"/>
  <c r="BS752" i="3"/>
  <c r="AJ1020" i="3"/>
  <c r="BF740" i="3"/>
  <c r="AH751" i="3"/>
  <c r="AH742" i="3"/>
  <c r="AY1027" i="3"/>
  <c r="G753" i="3"/>
  <c r="AX689" i="20"/>
  <c r="AJ725" i="20"/>
  <c r="AO597" i="20"/>
  <c r="AP583" i="20"/>
  <c r="BS742" i="3"/>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s="1"/>
  <c r="B30" i="8"/>
  <c r="G30" i="8" s="1"/>
  <c r="B31" i="8"/>
  <c r="G31" i="8" s="1"/>
  <c r="B32" i="8"/>
  <c r="G32" i="8" s="1"/>
  <c r="B33" i="8"/>
  <c r="G33" i="8"/>
  <c r="B34" i="8"/>
  <c r="G34" i="8"/>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2" i="8"/>
  <c r="I12" i="8"/>
  <c r="J11" i="8"/>
  <c r="I11" i="8"/>
  <c r="J10" i="8"/>
  <c r="I10" i="8"/>
  <c r="J8" i="8"/>
  <c r="I8" i="8"/>
  <c r="J6" i="8"/>
  <c r="I6" i="8"/>
  <c r="J5" i="8"/>
  <c r="I5" i="8"/>
  <c r="I4" i="8"/>
  <c r="J4"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c r="DJ751" i="3"/>
  <c r="FT751" i="3"/>
  <c r="DO751" i="3"/>
  <c r="FY751" i="3" s="1"/>
  <c r="CP741" i="3"/>
  <c r="EZ741" i="3" s="1"/>
  <c r="CU741" i="3"/>
  <c r="FE741" i="3" s="1"/>
  <c r="CZ741" i="3"/>
  <c r="FJ741" i="3" s="1"/>
  <c r="DE741" i="3"/>
  <c r="FO741" i="3"/>
  <c r="DJ741" i="3"/>
  <c r="FT741" i="3"/>
  <c r="DO741" i="3"/>
  <c r="FY741" i="3" s="1"/>
  <c r="CP742" i="3"/>
  <c r="EZ742" i="3" s="1"/>
  <c r="CU742" i="3"/>
  <c r="FE742" i="3" s="1"/>
  <c r="CZ742" i="3"/>
  <c r="FJ742" i="3" s="1"/>
  <c r="DE742" i="3"/>
  <c r="FO742" i="3"/>
  <c r="DJ742" i="3"/>
  <c r="FT742" i="3"/>
  <c r="DO742" i="3"/>
  <c r="FY742" i="3" s="1"/>
  <c r="CP743" i="3"/>
  <c r="EZ743" i="3" s="1"/>
  <c r="CU743" i="3"/>
  <c r="FE743" i="3" s="1"/>
  <c r="CZ743" i="3"/>
  <c r="FJ743" i="3" s="1"/>
  <c r="DE743" i="3"/>
  <c r="FO743" i="3"/>
  <c r="DJ743" i="3"/>
  <c r="FT743" i="3"/>
  <c r="DO743" i="3"/>
  <c r="FY743" i="3" s="1"/>
  <c r="CP744" i="3"/>
  <c r="EZ744" i="3" s="1"/>
  <c r="CU744" i="3"/>
  <c r="FE744" i="3" s="1"/>
  <c r="CZ744" i="3"/>
  <c r="FJ744" i="3" s="1"/>
  <c r="DE744" i="3"/>
  <c r="FO744" i="3"/>
  <c r="DJ744" i="3"/>
  <c r="FT744" i="3"/>
  <c r="DO744" i="3"/>
  <c r="FY744" i="3" s="1"/>
  <c r="CP745" i="3"/>
  <c r="EZ745" i="3" s="1"/>
  <c r="CU745" i="3"/>
  <c r="FE745" i="3" s="1"/>
  <c r="CZ745" i="3"/>
  <c r="FJ745" i="3" s="1"/>
  <c r="DE745" i="3"/>
  <c r="FO745" i="3"/>
  <c r="DJ745" i="3"/>
  <c r="FT745" i="3"/>
  <c r="DO745" i="3"/>
  <c r="FY745" i="3" s="1"/>
  <c r="CP746" i="3"/>
  <c r="EZ746" i="3" s="1"/>
  <c r="CU746" i="3"/>
  <c r="FE746" i="3" s="1"/>
  <c r="CZ746" i="3"/>
  <c r="FJ746" i="3" s="1"/>
  <c r="DE746" i="3"/>
  <c r="FO746" i="3"/>
  <c r="DJ746" i="3"/>
  <c r="FT746" i="3"/>
  <c r="DO746" i="3"/>
  <c r="FY746" i="3" s="1"/>
  <c r="CP747" i="3"/>
  <c r="EZ747" i="3" s="1"/>
  <c r="CU747" i="3"/>
  <c r="FE747" i="3" s="1"/>
  <c r="CZ747" i="3"/>
  <c r="FJ747" i="3" s="1"/>
  <c r="DE747" i="3"/>
  <c r="FO747" i="3"/>
  <c r="DJ747" i="3"/>
  <c r="FT747" i="3"/>
  <c r="DO747" i="3"/>
  <c r="FY747" i="3" s="1"/>
  <c r="CP748" i="3"/>
  <c r="EZ748" i="3" s="1"/>
  <c r="CU748" i="3"/>
  <c r="FE748" i="3" s="1"/>
  <c r="CZ748" i="3"/>
  <c r="FJ748" i="3" s="1"/>
  <c r="DE748" i="3"/>
  <c r="FO748" i="3"/>
  <c r="DJ748" i="3"/>
  <c r="FT748" i="3"/>
  <c r="DO748" i="3"/>
  <c r="FY748" i="3" s="1"/>
  <c r="CP749" i="3"/>
  <c r="EZ749" i="3" s="1"/>
  <c r="CU749" i="3"/>
  <c r="FE749" i="3" s="1"/>
  <c r="CZ749" i="3"/>
  <c r="FJ749" i="3" s="1"/>
  <c r="DE749" i="3"/>
  <c r="FO749" i="3"/>
  <c r="DJ749" i="3"/>
  <c r="FT749" i="3"/>
  <c r="DO749" i="3"/>
  <c r="FY749" i="3" s="1"/>
  <c r="CP750" i="3"/>
  <c r="EZ750" i="3" s="1"/>
  <c r="CU750" i="3"/>
  <c r="FE750" i="3" s="1"/>
  <c r="CZ750" i="3"/>
  <c r="FJ750" i="3" s="1"/>
  <c r="DE750" i="3"/>
  <c r="FO750" i="3"/>
  <c r="DJ750" i="3"/>
  <c r="FT750" i="3"/>
  <c r="DO750" i="3"/>
  <c r="FY750" i="3" s="1"/>
  <c r="CG751" i="3"/>
  <c r="CI751" i="3" s="1"/>
  <c r="CK751" i="3"/>
  <c r="CM751" i="3" s="1"/>
  <c r="CG741" i="3"/>
  <c r="CI741" i="3" s="1"/>
  <c r="CK741" i="3"/>
  <c r="CM741" i="3"/>
  <c r="CG742" i="3"/>
  <c r="CI742" i="3"/>
  <c r="CK742" i="3"/>
  <c r="CM742" i="3" s="1"/>
  <c r="CG743" i="3"/>
  <c r="CI743" i="3" s="1"/>
  <c r="CK743" i="3"/>
  <c r="CM743" i="3" s="1"/>
  <c r="CG744" i="3"/>
  <c r="CI744" i="3" s="1"/>
  <c r="CK744" i="3"/>
  <c r="CM744" i="3"/>
  <c r="CG745" i="3"/>
  <c r="CI745" i="3"/>
  <c r="CK745" i="3"/>
  <c r="CM745" i="3" s="1"/>
  <c r="CG746" i="3"/>
  <c r="CI746" i="3" s="1"/>
  <c r="CK746" i="3"/>
  <c r="CM746" i="3" s="1"/>
  <c r="CG747" i="3"/>
  <c r="CI747" i="3" s="1"/>
  <c r="CK747" i="3"/>
  <c r="CM747" i="3"/>
  <c r="CG748" i="3"/>
  <c r="CI748" i="3"/>
  <c r="CK748" i="3"/>
  <c r="CM748" i="3" s="1"/>
  <c r="CG749" i="3"/>
  <c r="CI749" i="3" s="1"/>
  <c r="CK749" i="3"/>
  <c r="CM749" i="3" s="1"/>
  <c r="CG750" i="3"/>
  <c r="CI750" i="3" s="1"/>
  <c r="CK750" i="3"/>
  <c r="CM750" i="3"/>
  <c r="X742" i="3"/>
  <c r="X743" i="3"/>
  <c r="X744" i="3"/>
  <c r="X745" i="3"/>
  <c r="X746" i="3"/>
  <c r="X747" i="3"/>
  <c r="X748" i="3"/>
  <c r="X749" i="3"/>
  <c r="X750" i="3"/>
  <c r="X751" i="3"/>
  <c r="AJ180" i="20"/>
  <c r="T810" i="20" s="1"/>
  <c r="AJ166" i="20"/>
  <c r="T809" i="20" s="1"/>
  <c r="T808" i="20" s="1"/>
  <c r="AF808" i="20" s="1"/>
  <c r="BE75" i="3" s="1"/>
  <c r="AP293" i="20"/>
  <c r="AJ1025"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G29" i="7" s="1"/>
  <c r="I29" i="7"/>
  <c r="K29" i="7" s="1"/>
  <c r="M29" i="7" s="1"/>
  <c r="O29" i="7" s="1"/>
  <c r="Q29" i="7" s="1"/>
  <c r="S29" i="7" s="1"/>
  <c r="U29" i="7" s="1"/>
  <c r="W29" i="7" s="1"/>
  <c r="Y29" i="7" s="1"/>
  <c r="AA29" i="7" s="1"/>
  <c r="AC29" i="7" s="1"/>
  <c r="AE29" i="7" s="1"/>
  <c r="AG29" i="7" s="1"/>
  <c r="E28" i="7"/>
  <c r="E27" i="7"/>
  <c r="E26" i="7"/>
  <c r="E15" i="7"/>
  <c r="G15" i="7"/>
  <c r="E16" i="7"/>
  <c r="G16" i="7"/>
  <c r="I16" i="7" s="1"/>
  <c r="K16" i="7" s="1"/>
  <c r="M16" i="7"/>
  <c r="O16" i="7" s="1"/>
  <c r="Q16" i="7" s="1"/>
  <c r="S16" i="7" s="1"/>
  <c r="U16" i="7" s="1"/>
  <c r="W16" i="7" s="1"/>
  <c r="Y16" i="7" s="1"/>
  <c r="AA16" i="7" s="1"/>
  <c r="AC16" i="7" s="1"/>
  <c r="AE16" i="7" s="1"/>
  <c r="AG16" i="7" s="1"/>
  <c r="E17" i="7"/>
  <c r="G17" i="7"/>
  <c r="I17" i="7" s="1"/>
  <c r="K17" i="7"/>
  <c r="M17" i="7" s="1"/>
  <c r="O17" i="7" s="1"/>
  <c r="Q17" i="7" s="1"/>
  <c r="S17" i="7" s="1"/>
  <c r="U17" i="7" s="1"/>
  <c r="W17" i="7" s="1"/>
  <c r="Y17" i="7" s="1"/>
  <c r="AA17" i="7" s="1"/>
  <c r="AC17" i="7" s="1"/>
  <c r="AE17" i="7"/>
  <c r="AG17" i="7" s="1"/>
  <c r="E18" i="7"/>
  <c r="E19" i="7"/>
  <c r="Z817" i="3"/>
  <c r="E8" i="7" s="1"/>
  <c r="AC773" i="3"/>
  <c r="AC774" i="3"/>
  <c r="AC775" i="3"/>
  <c r="AC776" i="3"/>
  <c r="AC777" i="3" s="1"/>
  <c r="AC787" i="3"/>
  <c r="AC788" i="3"/>
  <c r="AC789" i="3"/>
  <c r="AC790" i="3"/>
  <c r="AC791" i="3"/>
  <c r="AC792" i="3"/>
  <c r="AC793" i="3"/>
  <c r="AC794" i="3"/>
  <c r="AC795" i="3"/>
  <c r="AC796" i="3"/>
  <c r="T25" i="15"/>
  <c r="AD7" i="15"/>
  <c r="DG122" i="3"/>
  <c r="R989" i="3"/>
  <c r="CP718" i="3"/>
  <c r="CP719" i="3"/>
  <c r="EZ719" i="3"/>
  <c r="CP720" i="3"/>
  <c r="EZ720" i="3"/>
  <c r="CP721" i="3"/>
  <c r="EZ721" i="3"/>
  <c r="CP722" i="3"/>
  <c r="EZ722" i="3"/>
  <c r="CP723" i="3"/>
  <c r="CP724" i="3"/>
  <c r="EZ724" i="3" s="1"/>
  <c r="CP725" i="3"/>
  <c r="EZ725" i="3"/>
  <c r="CP726" i="3"/>
  <c r="EZ726" i="3"/>
  <c r="CP727" i="3"/>
  <c r="EZ727" i="3"/>
  <c r="CP728" i="3"/>
  <c r="EZ728" i="3"/>
  <c r="CP729" i="3"/>
  <c r="EZ729" i="3" s="1"/>
  <c r="CP730" i="3"/>
  <c r="EZ730" i="3" s="1"/>
  <c r="CP731" i="3"/>
  <c r="EZ731" i="3"/>
  <c r="CP732" i="3"/>
  <c r="EZ732" i="3"/>
  <c r="CP733" i="3"/>
  <c r="EZ733" i="3"/>
  <c r="CP734" i="3"/>
  <c r="EZ734" i="3"/>
  <c r="CP735" i="3"/>
  <c r="EZ735" i="3" s="1"/>
  <c r="CP736" i="3"/>
  <c r="EZ736" i="3" s="1"/>
  <c r="CP737" i="3"/>
  <c r="EZ737" i="3"/>
  <c r="CP738" i="3"/>
  <c r="EZ738" i="3"/>
  <c r="CP739" i="3"/>
  <c r="EZ739" i="3"/>
  <c r="CP740" i="3"/>
  <c r="EZ740" i="3"/>
  <c r="CP752" i="3"/>
  <c r="EZ752" i="3" s="1"/>
  <c r="CP773" i="3"/>
  <c r="CP774" i="3"/>
  <c r="CP775" i="3"/>
  <c r="CP776" i="3"/>
  <c r="CP777" i="3" s="1"/>
  <c r="CP787" i="3"/>
  <c r="DU787" i="3"/>
  <c r="CP788" i="3"/>
  <c r="DU788" i="3"/>
  <c r="CP789" i="3"/>
  <c r="DU789" i="3"/>
  <c r="CP790" i="3"/>
  <c r="CP791" i="3"/>
  <c r="DU791" i="3"/>
  <c r="CP792" i="3"/>
  <c r="DU792" i="3" s="1"/>
  <c r="CP793" i="3"/>
  <c r="CP794" i="3"/>
  <c r="DU794" i="3" s="1"/>
  <c r="CP795" i="3"/>
  <c r="DU795" i="3" s="1"/>
  <c r="CP796" i="3"/>
  <c r="DU796" i="3"/>
  <c r="CU718" i="3"/>
  <c r="CU719" i="3"/>
  <c r="FE719" i="3" s="1"/>
  <c r="CU720" i="3"/>
  <c r="FE720" i="3"/>
  <c r="CU721" i="3"/>
  <c r="FE721" i="3"/>
  <c r="CU722" i="3"/>
  <c r="FE722" i="3"/>
  <c r="CU723" i="3"/>
  <c r="FE723" i="3"/>
  <c r="CU724" i="3"/>
  <c r="CU725" i="3"/>
  <c r="FE725" i="3" s="1"/>
  <c r="CU726" i="3"/>
  <c r="FE726" i="3"/>
  <c r="CU727" i="3"/>
  <c r="FE727" i="3"/>
  <c r="CU728" i="3"/>
  <c r="FE728" i="3"/>
  <c r="CU729" i="3"/>
  <c r="FE729" i="3"/>
  <c r="CU730" i="3"/>
  <c r="FE730" i="3" s="1"/>
  <c r="CU731" i="3"/>
  <c r="FE731" i="3" s="1"/>
  <c r="CU732" i="3"/>
  <c r="FE732" i="3"/>
  <c r="CU733" i="3"/>
  <c r="FE733" i="3"/>
  <c r="CU734" i="3"/>
  <c r="FE734" i="3"/>
  <c r="CU735" i="3"/>
  <c r="FE735" i="3"/>
  <c r="CU736" i="3"/>
  <c r="FE736" i="3" s="1"/>
  <c r="CU737" i="3"/>
  <c r="FE737" i="3" s="1"/>
  <c r="CU738" i="3"/>
  <c r="FE738" i="3"/>
  <c r="CU739" i="3"/>
  <c r="FE739" i="3"/>
  <c r="CU740" i="3"/>
  <c r="FE740" i="3"/>
  <c r="CU752" i="3"/>
  <c r="FE752" i="3"/>
  <c r="CU773" i="3"/>
  <c r="CU774" i="3"/>
  <c r="CU775" i="3"/>
  <c r="CU776" i="3"/>
  <c r="CU787" i="3"/>
  <c r="DZ787" i="3"/>
  <c r="CU788" i="3"/>
  <c r="DZ788" i="3"/>
  <c r="CU789" i="3"/>
  <c r="DZ789" i="3"/>
  <c r="CU790" i="3"/>
  <c r="DZ790" i="3"/>
  <c r="CU791" i="3"/>
  <c r="DZ791" i="3" s="1"/>
  <c r="CU792" i="3"/>
  <c r="DZ792" i="3" s="1"/>
  <c r="CU793" i="3"/>
  <c r="DZ793" i="3"/>
  <c r="DZ797" i="3" s="1"/>
  <c r="CU794" i="3"/>
  <c r="DZ794" i="3"/>
  <c r="CU795" i="3"/>
  <c r="DZ795" i="3"/>
  <c r="CU796" i="3"/>
  <c r="DZ796" i="3"/>
  <c r="CZ718" i="3"/>
  <c r="FJ718" i="3" s="1"/>
  <c r="CZ719" i="3"/>
  <c r="FJ719" i="3" s="1"/>
  <c r="CZ720" i="3"/>
  <c r="FJ720" i="3"/>
  <c r="CZ721" i="3"/>
  <c r="FJ721" i="3"/>
  <c r="CZ722" i="3"/>
  <c r="FJ722" i="3"/>
  <c r="CZ723" i="3"/>
  <c r="FJ723" i="3"/>
  <c r="CZ724" i="3"/>
  <c r="FJ724" i="3" s="1"/>
  <c r="CZ725" i="3"/>
  <c r="FJ725" i="3" s="1"/>
  <c r="CZ726" i="3"/>
  <c r="FJ726" i="3"/>
  <c r="CZ727" i="3"/>
  <c r="FJ727" i="3"/>
  <c r="CZ728" i="3"/>
  <c r="FJ728" i="3"/>
  <c r="CZ729" i="3"/>
  <c r="FJ729" i="3"/>
  <c r="CZ730" i="3"/>
  <c r="FJ730" i="3" s="1"/>
  <c r="CZ731" i="3"/>
  <c r="FJ731" i="3" s="1"/>
  <c r="CZ732" i="3"/>
  <c r="FJ732" i="3"/>
  <c r="CZ733" i="3"/>
  <c r="FJ733" i="3"/>
  <c r="CZ734" i="3"/>
  <c r="FJ734" i="3"/>
  <c r="CZ735" i="3"/>
  <c r="FJ735" i="3"/>
  <c r="CZ736" i="3"/>
  <c r="FJ736" i="3" s="1"/>
  <c r="CZ737" i="3"/>
  <c r="FJ737" i="3" s="1"/>
  <c r="CZ738" i="3"/>
  <c r="FJ738" i="3"/>
  <c r="CZ739" i="3"/>
  <c r="FJ739" i="3"/>
  <c r="CZ740" i="3"/>
  <c r="FJ740" i="3"/>
  <c r="CZ752" i="3"/>
  <c r="FJ752" i="3"/>
  <c r="CZ773" i="3"/>
  <c r="CZ774" i="3"/>
  <c r="CZ775" i="3"/>
  <c r="CZ776" i="3"/>
  <c r="CZ787" i="3"/>
  <c r="EE787" i="3"/>
  <c r="CZ788" i="3"/>
  <c r="EE788" i="3"/>
  <c r="CZ789" i="3"/>
  <c r="EE789" i="3"/>
  <c r="CZ790" i="3"/>
  <c r="EE790" i="3"/>
  <c r="CZ791" i="3"/>
  <c r="EE791" i="3" s="1"/>
  <c r="CZ792" i="3"/>
  <c r="CZ793" i="3"/>
  <c r="EE793" i="3"/>
  <c r="CZ794" i="3"/>
  <c r="CZ795" i="3"/>
  <c r="EE795" i="3" s="1"/>
  <c r="CZ796" i="3"/>
  <c r="EE796" i="3" s="1"/>
  <c r="DE718" i="3"/>
  <c r="FO718" i="3"/>
  <c r="DE719" i="3"/>
  <c r="FO719" i="3"/>
  <c r="DE720" i="3"/>
  <c r="FO720" i="3" s="1"/>
  <c r="DE721" i="3"/>
  <c r="FO721" i="3" s="1"/>
  <c r="DE722" i="3"/>
  <c r="DE723" i="3"/>
  <c r="FO723" i="3" s="1"/>
  <c r="DE724" i="3"/>
  <c r="FO724" i="3"/>
  <c r="DE725" i="3"/>
  <c r="FO725" i="3"/>
  <c r="DE726" i="3"/>
  <c r="FO726" i="3" s="1"/>
  <c r="DE727" i="3"/>
  <c r="FO727" i="3" s="1"/>
  <c r="DE728" i="3"/>
  <c r="FO728" i="3" s="1"/>
  <c r="DE729" i="3"/>
  <c r="FO729" i="3" s="1"/>
  <c r="DE730" i="3"/>
  <c r="FO730" i="3"/>
  <c r="DE731" i="3"/>
  <c r="FO731" i="3"/>
  <c r="DE732" i="3"/>
  <c r="FO732" i="3" s="1"/>
  <c r="DE733" i="3"/>
  <c r="FO733" i="3" s="1"/>
  <c r="DE734" i="3"/>
  <c r="FO734" i="3" s="1"/>
  <c r="DE735" i="3"/>
  <c r="FO735" i="3" s="1"/>
  <c r="DE736" i="3"/>
  <c r="FO736" i="3" s="1"/>
  <c r="DE737" i="3"/>
  <c r="FO737" i="3"/>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c r="DE792" i="3"/>
  <c r="EJ792" i="3"/>
  <c r="DE793" i="3"/>
  <c r="EJ793" i="3" s="1"/>
  <c r="DE794" i="3"/>
  <c r="DE795" i="3"/>
  <c r="EJ795" i="3" s="1"/>
  <c r="DE796" i="3"/>
  <c r="EJ796" i="3" s="1"/>
  <c r="DO787" i="3"/>
  <c r="ET787" i="3" s="1"/>
  <c r="ET797" i="3" s="1"/>
  <c r="DO788" i="3"/>
  <c r="ET788" i="3"/>
  <c r="DO789" i="3"/>
  <c r="ET789" i="3" s="1"/>
  <c r="DO790" i="3"/>
  <c r="ET790" i="3" s="1"/>
  <c r="DO791" i="3"/>
  <c r="ET791" i="3" s="1"/>
  <c r="DO792" i="3"/>
  <c r="ET792" i="3" s="1"/>
  <c r="DO793" i="3"/>
  <c r="ET793" i="3"/>
  <c r="DO794" i="3"/>
  <c r="ET794" i="3"/>
  <c r="DO795" i="3"/>
  <c r="ET795" i="3" s="1"/>
  <c r="DO796" i="3"/>
  <c r="ET796" i="3" s="1"/>
  <c r="DO773" i="3"/>
  <c r="DO774" i="3"/>
  <c r="DO775" i="3"/>
  <c r="DO776" i="3"/>
  <c r="DO718" i="3"/>
  <c r="FY718" i="3" s="1"/>
  <c r="DO719" i="3"/>
  <c r="FY719" i="3"/>
  <c r="DO720" i="3"/>
  <c r="FY720" i="3" s="1"/>
  <c r="DO721" i="3"/>
  <c r="FY721" i="3" s="1"/>
  <c r="DO722" i="3"/>
  <c r="FY722" i="3" s="1"/>
  <c r="DO723" i="3"/>
  <c r="FY723" i="3" s="1"/>
  <c r="DO724" i="3"/>
  <c r="FY724" i="3"/>
  <c r="DO725" i="3"/>
  <c r="FY725" i="3"/>
  <c r="DO726" i="3"/>
  <c r="FY726" i="3" s="1"/>
  <c r="DO727" i="3"/>
  <c r="FY727" i="3" s="1"/>
  <c r="DO728" i="3"/>
  <c r="FY728" i="3" s="1"/>
  <c r="DO729" i="3"/>
  <c r="FY729" i="3" s="1"/>
  <c r="DO730" i="3"/>
  <c r="FY730" i="3"/>
  <c r="DO731" i="3"/>
  <c r="FY731" i="3"/>
  <c r="DO732" i="3"/>
  <c r="FY732" i="3" s="1"/>
  <c r="DO733" i="3"/>
  <c r="FY733" i="3" s="1"/>
  <c r="DO734" i="3"/>
  <c r="FY734" i="3" s="1"/>
  <c r="DO735" i="3"/>
  <c r="FY735" i="3" s="1"/>
  <c r="DO736" i="3"/>
  <c r="FY736" i="3" s="1"/>
  <c r="DO737" i="3"/>
  <c r="FY737" i="3"/>
  <c r="DO738" i="3"/>
  <c r="FY738" i="3" s="1"/>
  <c r="DO739" i="3"/>
  <c r="FY739" i="3" s="1"/>
  <c r="DO740" i="3"/>
  <c r="FY740" i="3" s="1"/>
  <c r="DO752" i="3"/>
  <c r="FY752" i="3" s="1"/>
  <c r="DJ718" i="3"/>
  <c r="FT718" i="3"/>
  <c r="DJ719" i="3"/>
  <c r="FT719" i="3"/>
  <c r="DJ720" i="3"/>
  <c r="FT720" i="3" s="1"/>
  <c r="DJ721" i="3"/>
  <c r="DJ722" i="3"/>
  <c r="FT722" i="3" s="1"/>
  <c r="DJ723" i="3"/>
  <c r="FT723" i="3" s="1"/>
  <c r="DJ724" i="3"/>
  <c r="FT724" i="3"/>
  <c r="DJ725" i="3"/>
  <c r="FT725" i="3"/>
  <c r="DJ726" i="3"/>
  <c r="FT726" i="3" s="1"/>
  <c r="DJ727" i="3"/>
  <c r="FT727" i="3" s="1"/>
  <c r="DJ728" i="3"/>
  <c r="FT728" i="3" s="1"/>
  <c r="DJ729" i="3"/>
  <c r="FT729" i="3" s="1"/>
  <c r="DJ730" i="3"/>
  <c r="FT730" i="3" s="1"/>
  <c r="DJ731" i="3"/>
  <c r="FT731" i="3"/>
  <c r="DJ732" i="3"/>
  <c r="FT732" i="3" s="1"/>
  <c r="DJ733" i="3"/>
  <c r="FT733" i="3" s="1"/>
  <c r="DJ734" i="3"/>
  <c r="FT734" i="3" s="1"/>
  <c r="DJ735" i="3"/>
  <c r="FT735" i="3" s="1"/>
  <c r="DJ736" i="3"/>
  <c r="FT736" i="3"/>
  <c r="DJ737" i="3"/>
  <c r="FT737" i="3"/>
  <c r="DJ738" i="3"/>
  <c r="FT738" i="3" s="1"/>
  <c r="DJ739" i="3"/>
  <c r="FT739" i="3" s="1"/>
  <c r="DJ740" i="3"/>
  <c r="FT740" i="3" s="1"/>
  <c r="DJ752" i="3"/>
  <c r="FT752" i="3" s="1"/>
  <c r="DJ773" i="3"/>
  <c r="DJ774" i="3"/>
  <c r="DJ775" i="3"/>
  <c r="DJ776" i="3"/>
  <c r="DJ787" i="3"/>
  <c r="DJ788" i="3"/>
  <c r="EO788" i="3"/>
  <c r="DJ789" i="3"/>
  <c r="EO789" i="3"/>
  <c r="DJ790" i="3"/>
  <c r="EO790" i="3"/>
  <c r="DJ791" i="3"/>
  <c r="EO791" i="3"/>
  <c r="DJ792" i="3"/>
  <c r="EO792" i="3" s="1"/>
  <c r="DJ793" i="3"/>
  <c r="EO793" i="3" s="1"/>
  <c r="DJ794" i="3"/>
  <c r="EO794" i="3"/>
  <c r="DJ795" i="3"/>
  <c r="EO795" i="3"/>
  <c r="DJ796" i="3"/>
  <c r="EO796" i="3"/>
  <c r="AJ1001" i="3"/>
  <c r="AJ1011" i="3"/>
  <c r="AJ1013" i="3"/>
  <c r="AJ1041" i="3"/>
  <c r="CG719" i="3"/>
  <c r="CI719" i="3" s="1"/>
  <c r="CG720" i="3"/>
  <c r="CI720" i="3"/>
  <c r="CG721" i="3"/>
  <c r="CI721" i="3"/>
  <c r="CG722" i="3"/>
  <c r="CI722" i="3"/>
  <c r="CG723" i="3"/>
  <c r="CI723" i="3"/>
  <c r="CG724" i="3"/>
  <c r="CI724" i="3" s="1"/>
  <c r="CG725" i="3"/>
  <c r="CI725" i="3" s="1"/>
  <c r="CG726" i="3"/>
  <c r="CI726" i="3"/>
  <c r="CG727" i="3"/>
  <c r="CI727" i="3"/>
  <c r="CG728" i="3"/>
  <c r="CI728" i="3"/>
  <c r="CG729" i="3"/>
  <c r="CI729" i="3"/>
  <c r="CG730" i="3"/>
  <c r="CI730" i="3" s="1"/>
  <c r="CG731" i="3"/>
  <c r="CI731" i="3" s="1"/>
  <c r="CG732" i="3"/>
  <c r="CI732" i="3"/>
  <c r="CG733" i="3"/>
  <c r="CI733" i="3"/>
  <c r="CG734" i="3"/>
  <c r="CI734" i="3"/>
  <c r="CG735" i="3"/>
  <c r="CI735" i="3"/>
  <c r="CG736" i="3"/>
  <c r="CI736" i="3" s="1"/>
  <c r="CG737" i="3"/>
  <c r="CI737" i="3" s="1"/>
  <c r="CG738" i="3"/>
  <c r="CI738" i="3"/>
  <c r="CG739" i="3"/>
  <c r="CI739" i="3"/>
  <c r="CG740" i="3"/>
  <c r="CI740" i="3"/>
  <c r="CG752" i="3"/>
  <c r="CI752" i="3"/>
  <c r="CK718" i="3"/>
  <c r="CM718" i="3" s="1"/>
  <c r="CK719" i="3"/>
  <c r="CM719" i="3" s="1"/>
  <c r="CK720" i="3"/>
  <c r="CM720" i="3"/>
  <c r="CK721" i="3"/>
  <c r="CM721" i="3"/>
  <c r="CK722" i="3"/>
  <c r="CM722" i="3"/>
  <c r="CK723" i="3"/>
  <c r="CM723" i="3"/>
  <c r="CK724" i="3"/>
  <c r="CM724" i="3" s="1"/>
  <c r="CK725" i="3"/>
  <c r="CM725" i="3" s="1"/>
  <c r="CK726" i="3"/>
  <c r="CM726" i="3"/>
  <c r="CK727" i="3"/>
  <c r="CM727" i="3"/>
  <c r="CK728" i="3"/>
  <c r="CM728" i="3"/>
  <c r="CK729" i="3"/>
  <c r="CM729" i="3"/>
  <c r="CK730" i="3"/>
  <c r="CM730" i="3" s="1"/>
  <c r="CK731" i="3"/>
  <c r="CM731" i="3" s="1"/>
  <c r="CK732" i="3"/>
  <c r="CM732" i="3"/>
  <c r="CK733" i="3"/>
  <c r="CM733" i="3"/>
  <c r="CK734" i="3"/>
  <c r="CM734" i="3"/>
  <c r="CK735" i="3"/>
  <c r="CM735" i="3"/>
  <c r="CK736" i="3"/>
  <c r="CM736" i="3" s="1"/>
  <c r="CK737" i="3"/>
  <c r="CM737" i="3" s="1"/>
  <c r="CK738" i="3"/>
  <c r="CM738" i="3"/>
  <c r="CK739" i="3"/>
  <c r="CM739" i="3"/>
  <c r="CK740" i="3"/>
  <c r="CM740" i="3"/>
  <c r="CK752" i="3"/>
  <c r="CM752" i="3"/>
  <c r="AO639" i="3"/>
  <c r="AB48" i="15" s="1"/>
  <c r="AD64" i="15"/>
  <c r="W700" i="3"/>
  <c r="BE69" i="3" s="1"/>
  <c r="BG226" i="3"/>
  <c r="BG227" i="3"/>
  <c r="BG228" i="3"/>
  <c r="BG229" i="3"/>
  <c r="BG230" i="3"/>
  <c r="BG232" i="3"/>
  <c r="BG233" i="3"/>
  <c r="BG234" i="3"/>
  <c r="BG236" i="3"/>
  <c r="BG237" i="3"/>
  <c r="BG238" i="3"/>
  <c r="BG243" i="3" s="1"/>
  <c r="BO245" i="3" s="1"/>
  <c r="T267" i="3" s="1"/>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3" i="20" s="1"/>
  <c r="AO20" i="20"/>
  <c r="AO16" i="20"/>
  <c r="AO18" i="20" s="1"/>
  <c r="AO15" i="20"/>
  <c r="AO14" i="20"/>
  <c r="G131" i="21"/>
  <c r="G128" i="21"/>
  <c r="E130" i="21" s="1"/>
  <c r="S26" i="4"/>
  <c r="E26" i="13"/>
  <c r="C26" i="4"/>
  <c r="B26" i="13" s="1"/>
  <c r="G72" i="21"/>
  <c r="G78" i="21" s="1"/>
  <c r="G109" i="21"/>
  <c r="M20" i="21"/>
  <c r="M21" i="21"/>
  <c r="M22" i="21"/>
  <c r="O22" i="21"/>
  <c r="M23" i="21"/>
  <c r="M24" i="21"/>
  <c r="O24" i="21"/>
  <c r="M25" i="21"/>
  <c r="M26" i="21"/>
  <c r="M27" i="21"/>
  <c r="M28" i="21"/>
  <c r="O28" i="21"/>
  <c r="M29" i="21"/>
  <c r="M30" i="21"/>
  <c r="M31" i="21"/>
  <c r="M32" i="21"/>
  <c r="O32" i="21" s="1"/>
  <c r="M33" i="21"/>
  <c r="O33" i="21"/>
  <c r="M34" i="21"/>
  <c r="O34" i="21" s="1"/>
  <c r="M35" i="21"/>
  <c r="O35" i="21" s="1"/>
  <c r="M36" i="21"/>
  <c r="O36" i="21" s="1"/>
  <c r="M37" i="21"/>
  <c r="O37" i="21" s="1"/>
  <c r="M38" i="21"/>
  <c r="M39" i="21"/>
  <c r="O39" i="21"/>
  <c r="M40" i="21"/>
  <c r="O40" i="21"/>
  <c r="M41" i="21"/>
  <c r="O41" i="21" s="1"/>
  <c r="M42" i="21"/>
  <c r="O42" i="21" s="1"/>
  <c r="M43" i="21"/>
  <c r="O43" i="21" s="1"/>
  <c r="L97" i="21"/>
  <c r="L98" i="21"/>
  <c r="L99" i="21"/>
  <c r="L101" i="21"/>
  <c r="G99" i="21" s="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c r="B6" i="8"/>
  <c r="G6" i="8"/>
  <c r="B10" i="8"/>
  <c r="G10" i="8" s="1"/>
  <c r="E88" i="21"/>
  <c r="E79" i="21"/>
  <c r="B35" i="21"/>
  <c r="B20" i="21"/>
  <c r="B7" i="8"/>
  <c r="G7" i="8" s="1"/>
  <c r="AK285" i="20"/>
  <c r="T814" i="20"/>
  <c r="AF814" i="20" s="1"/>
  <c r="BE78" i="3"/>
  <c r="B24" i="4"/>
  <c r="R36" i="4"/>
  <c r="S36" i="4"/>
  <c r="E36" i="13" s="1"/>
  <c r="G36" i="13"/>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c r="B95" i="11"/>
  <c r="B96" i="11"/>
  <c r="A70" i="11"/>
  <c r="C67" i="11"/>
  <c r="C68" i="11"/>
  <c r="C69" i="11"/>
  <c r="C70" i="11"/>
  <c r="B67" i="11"/>
  <c r="B68" i="11"/>
  <c r="B69" i="11"/>
  <c r="B70" i="11"/>
  <c r="A62" i="11"/>
  <c r="A54" i="11"/>
  <c r="A38" i="11"/>
  <c r="A26" i="11"/>
  <c r="C31" i="11"/>
  <c r="C32" i="11"/>
  <c r="C33" i="11"/>
  <c r="C34" i="11"/>
  <c r="C35" i="11"/>
  <c r="D35" i="11" s="1"/>
  <c r="C36" i="11"/>
  <c r="C37" i="11"/>
  <c r="C38" i="11"/>
  <c r="B31" i="11"/>
  <c r="B32" i="11"/>
  <c r="B33" i="11"/>
  <c r="B34" i="11"/>
  <c r="B35" i="11"/>
  <c r="B36" i="11"/>
  <c r="B37" i="11"/>
  <c r="B38" i="11"/>
  <c r="C24" i="11"/>
  <c r="D24" i="11" s="1"/>
  <c r="C25" i="11"/>
  <c r="C26" i="11"/>
  <c r="B25" i="11"/>
  <c r="B26" i="11"/>
  <c r="D70" i="4"/>
  <c r="C70" i="4"/>
  <c r="B70" i="13"/>
  <c r="C54" i="11"/>
  <c r="B54" i="11"/>
  <c r="AV121" i="20" a="1"/>
  <c r="AV121" i="20" s="1"/>
  <c r="AV120" i="20" a="1"/>
  <c r="AV120" i="20" s="1"/>
  <c r="AV119" i="20" a="1"/>
  <c r="AV119" i="20" s="1"/>
  <c r="AV118" i="20" a="1"/>
  <c r="AV118" i="20"/>
  <c r="AV117" i="20" a="1"/>
  <c r="AV117" i="20"/>
  <c r="AV116" i="20" a="1"/>
  <c r="AV116" i="20" s="1"/>
  <c r="AU121" i="20"/>
  <c r="AU120" i="20"/>
  <c r="AU119" i="20"/>
  <c r="AU118" i="20"/>
  <c r="AU117" i="20"/>
  <c r="AU116" i="20"/>
  <c r="H100" i="13"/>
  <c r="H101" i="13"/>
  <c r="H102" i="13"/>
  <c r="H103" i="13"/>
  <c r="B100" i="13"/>
  <c r="D100" i="13" s="1"/>
  <c r="B101" i="13"/>
  <c r="D101" i="13" s="1"/>
  <c r="B102" i="13"/>
  <c r="D102" i="13" s="1"/>
  <c r="B103" i="13"/>
  <c r="D103" i="13" s="1"/>
  <c r="A69" i="13"/>
  <c r="H66" i="13"/>
  <c r="H67" i="13"/>
  <c r="H68" i="13"/>
  <c r="H69" i="13"/>
  <c r="E66" i="13"/>
  <c r="G66" i="13"/>
  <c r="G70" i="13" s="1"/>
  <c r="E67" i="13"/>
  <c r="G67" i="13"/>
  <c r="E68" i="13"/>
  <c r="G68" i="13"/>
  <c r="E69" i="13"/>
  <c r="G69" i="13"/>
  <c r="B66" i="13"/>
  <c r="D66" i="13" s="1"/>
  <c r="B67" i="13"/>
  <c r="D67" i="13" s="1"/>
  <c r="B68" i="13"/>
  <c r="D68" i="13"/>
  <c r="D70" i="13" s="1"/>
  <c r="B69" i="13"/>
  <c r="D69" i="13"/>
  <c r="A53" i="13"/>
  <c r="H36" i="13"/>
  <c r="B36" i="13"/>
  <c r="D36" i="13"/>
  <c r="H24" i="13"/>
  <c r="E24" i="13"/>
  <c r="B24" i="13"/>
  <c r="C104" i="4"/>
  <c r="B104" i="13" s="1"/>
  <c r="B99" i="4"/>
  <c r="G68" i="7"/>
  <c r="I68" i="7"/>
  <c r="K68" i="7" s="1"/>
  <c r="M68" i="7" s="1"/>
  <c r="O68" i="7" s="1"/>
  <c r="Q68" i="7"/>
  <c r="S68" i="7" s="1"/>
  <c r="U68" i="7" s="1"/>
  <c r="W68" i="7" s="1"/>
  <c r="Y68" i="7" s="1"/>
  <c r="AA68" i="7" s="1"/>
  <c r="AC68" i="7" s="1"/>
  <c r="AE68" i="7" s="1"/>
  <c r="AG68" i="7" s="1"/>
  <c r="G69" i="7"/>
  <c r="I69" i="7"/>
  <c r="K69" i="7" s="1"/>
  <c r="M69" i="7" s="1"/>
  <c r="O69" i="7" s="1"/>
  <c r="Q69" i="7" s="1"/>
  <c r="S69" i="7" s="1"/>
  <c r="U69" i="7" s="1"/>
  <c r="W69" i="7" s="1"/>
  <c r="Y69" i="7" s="1"/>
  <c r="AA69" i="7" s="1"/>
  <c r="AC69" i="7" s="1"/>
  <c r="AE69" i="7" s="1"/>
  <c r="AG69" i="7" s="1"/>
  <c r="G54" i="7"/>
  <c r="I54" i="7"/>
  <c r="K54" i="7"/>
  <c r="M54" i="7" s="1"/>
  <c r="O54" i="7"/>
  <c r="Q54" i="7" s="1"/>
  <c r="S54" i="7" s="1"/>
  <c r="U54" i="7" s="1"/>
  <c r="W54" i="7" s="1"/>
  <c r="Y54" i="7" s="1"/>
  <c r="AA54" i="7" s="1"/>
  <c r="AC54" i="7" s="1"/>
  <c r="AE54" i="7" s="1"/>
  <c r="AG54" i="7" s="1"/>
  <c r="G55" i="7"/>
  <c r="I55" i="7" s="1"/>
  <c r="K55" i="7"/>
  <c r="M55" i="7" s="1"/>
  <c r="O55" i="7" s="1"/>
  <c r="Q55" i="7"/>
  <c r="S55" i="7" s="1"/>
  <c r="U55" i="7"/>
  <c r="W55" i="7" s="1"/>
  <c r="Y55" i="7" s="1"/>
  <c r="AA55" i="7" s="1"/>
  <c r="AC55" i="7" s="1"/>
  <c r="AE55" i="7" s="1"/>
  <c r="AG55" i="7" s="1"/>
  <c r="G56" i="7"/>
  <c r="I56" i="7" s="1"/>
  <c r="K56" i="7" s="1"/>
  <c r="M56" i="7"/>
  <c r="O56" i="7" s="1"/>
  <c r="Q56" i="7"/>
  <c r="S56" i="7" s="1"/>
  <c r="U56" i="7" s="1"/>
  <c r="W56" i="7" s="1"/>
  <c r="Y56" i="7" s="1"/>
  <c r="AA56" i="7" s="1"/>
  <c r="AC56" i="7" s="1"/>
  <c r="AE56" i="7" s="1"/>
  <c r="AG56" i="7" s="1"/>
  <c r="G57" i="7"/>
  <c r="I57" i="7"/>
  <c r="K57" i="7" s="1"/>
  <c r="M57" i="7"/>
  <c r="O57" i="7" s="1"/>
  <c r="Q57" i="7" s="1"/>
  <c r="S57" i="7" s="1"/>
  <c r="U57" i="7"/>
  <c r="W57" i="7" s="1"/>
  <c r="Y57" i="7" s="1"/>
  <c r="AA57" i="7"/>
  <c r="AC57" i="7" s="1"/>
  <c r="AE57" i="7" s="1"/>
  <c r="AG57" i="7" s="1"/>
  <c r="I53" i="7"/>
  <c r="K53" i="7"/>
  <c r="A61" i="15"/>
  <c r="BA479" i="3"/>
  <c r="BA470" i="3"/>
  <c r="G24" i="7"/>
  <c r="I24" i="7"/>
  <c r="K24" i="7" s="1"/>
  <c r="M24" i="7"/>
  <c r="O24" i="7" s="1"/>
  <c r="Q24" i="7" s="1"/>
  <c r="S24" i="7"/>
  <c r="U24" i="7" s="1"/>
  <c r="W24" i="7" s="1"/>
  <c r="Y24" i="7" s="1"/>
  <c r="AA24" i="7" s="1"/>
  <c r="AC24" i="7" s="1"/>
  <c r="AE24" i="7" s="1"/>
  <c r="AG24" i="7" s="1"/>
  <c r="B100" i="4"/>
  <c r="R100" i="4"/>
  <c r="S100" i="4" s="1"/>
  <c r="E100" i="13" s="1"/>
  <c r="G100" i="13" s="1"/>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c r="AH726" i="3"/>
  <c r="X726" i="3"/>
  <c r="X727" i="3"/>
  <c r="AH727" i="3" s="1"/>
  <c r="X725" i="3"/>
  <c r="AH725" i="3" s="1"/>
  <c r="X728" i="3"/>
  <c r="AH728" i="3"/>
  <c r="AB245" i="20"/>
  <c r="AB247" i="20"/>
  <c r="AB233" i="20"/>
  <c r="AB232" i="20"/>
  <c r="AB231" i="20"/>
  <c r="AB230" i="20"/>
  <c r="AB229" i="20"/>
  <c r="AB228" i="20"/>
  <c r="AB227" i="20"/>
  <c r="AB226" i="20"/>
  <c r="AB225" i="20"/>
  <c r="AB224" i="20"/>
  <c r="AF820" i="20"/>
  <c r="AG523" i="20"/>
  <c r="AG519" i="20"/>
  <c r="AG515" i="20"/>
  <c r="AG512" i="20"/>
  <c r="AG508" i="20"/>
  <c r="AG503" i="20"/>
  <c r="AK535" i="20" s="1"/>
  <c r="T813" i="20" s="1"/>
  <c r="AG498" i="20"/>
  <c r="AG496" i="20"/>
  <c r="AG492" i="20"/>
  <c r="AG487" i="20"/>
  <c r="AG485" i="20"/>
  <c r="AG480" i="20"/>
  <c r="AP373" i="20"/>
  <c r="AP372" i="20"/>
  <c r="AP371" i="20"/>
  <c r="AP370" i="20"/>
  <c r="AP369" i="20"/>
  <c r="AP368" i="20"/>
  <c r="AP375" i="20" s="1"/>
  <c r="AQ375" i="20" s="1"/>
  <c r="AP365" i="20"/>
  <c r="AP364" i="20"/>
  <c r="AP363" i="20"/>
  <c r="AP362" i="20"/>
  <c r="AP361" i="20"/>
  <c r="AP360" i="20"/>
  <c r="AP359" i="20"/>
  <c r="AP358" i="20"/>
  <c r="AP357" i="20"/>
  <c r="AJ781" i="20"/>
  <c r="AJ765" i="20"/>
  <c r="AJ753" i="20"/>
  <c r="AJ737" i="20"/>
  <c r="AJ687" i="20"/>
  <c r="AJ640" i="20"/>
  <c r="AO70" i="20"/>
  <c r="AO69" i="20"/>
  <c r="AO68" i="20"/>
  <c r="A3" i="15"/>
  <c r="T11" i="4"/>
  <c r="H11" i="13"/>
  <c r="R10" i="4"/>
  <c r="R91" i="4"/>
  <c r="S91" i="4"/>
  <c r="E91" i="13" s="1"/>
  <c r="G91" i="13" s="1"/>
  <c r="R84" i="4"/>
  <c r="S84" i="4" s="1"/>
  <c r="E84" i="13"/>
  <c r="G84" i="13" s="1"/>
  <c r="B59" i="4"/>
  <c r="C80" i="11"/>
  <c r="C81" i="11"/>
  <c r="B80" i="11"/>
  <c r="B81" i="11"/>
  <c r="I96" i="13"/>
  <c r="J96" i="13"/>
  <c r="J81" i="13"/>
  <c r="I81" i="13"/>
  <c r="F81" i="13"/>
  <c r="C81" i="13"/>
  <c r="H80" i="13"/>
  <c r="B80" i="13"/>
  <c r="D80" i="13" s="1"/>
  <c r="R80" i="4"/>
  <c r="S80" i="4" s="1"/>
  <c r="E80" i="13"/>
  <c r="G80" i="13" s="1"/>
  <c r="R79" i="4"/>
  <c r="S79" i="4"/>
  <c r="E79" i="13" s="1"/>
  <c r="G79" i="13" s="1"/>
  <c r="S70" i="4"/>
  <c r="E70" i="13" s="1"/>
  <c r="D81" i="4"/>
  <c r="E81" i="4"/>
  <c r="F81" i="4"/>
  <c r="G81" i="4"/>
  <c r="H81" i="4"/>
  <c r="I81" i="4"/>
  <c r="J81" i="4"/>
  <c r="K81" i="4"/>
  <c r="L81" i="4"/>
  <c r="M81" i="4"/>
  <c r="N81" i="4"/>
  <c r="O81" i="4"/>
  <c r="P81" i="4"/>
  <c r="Q81" i="4"/>
  <c r="T81" i="4"/>
  <c r="H81" i="13" s="1"/>
  <c r="C81" i="4"/>
  <c r="B81" i="4" s="1"/>
  <c r="B81" i="13"/>
  <c r="B80" i="4"/>
  <c r="A76" i="13"/>
  <c r="A61" i="13"/>
  <c r="A37" i="13"/>
  <c r="A25" i="13"/>
  <c r="A103" i="13"/>
  <c r="A95" i="13"/>
  <c r="A94" i="13"/>
  <c r="A93" i="13"/>
  <c r="B8" i="8"/>
  <c r="G8" i="8"/>
  <c r="B9" i="8"/>
  <c r="G9" i="8" s="1"/>
  <c r="B11" i="8"/>
  <c r="G11" i="8" s="1"/>
  <c r="B12" i="8"/>
  <c r="G12" i="8"/>
  <c r="B13" i="8"/>
  <c r="G13" i="8"/>
  <c r="B14" i="8"/>
  <c r="G14" i="8"/>
  <c r="B15" i="8"/>
  <c r="G15" i="8"/>
  <c r="B16" i="8"/>
  <c r="G16" i="8" s="1"/>
  <c r="B17" i="8"/>
  <c r="G17" i="8" s="1"/>
  <c r="B18" i="8"/>
  <c r="G18" i="8"/>
  <c r="B19" i="8"/>
  <c r="G19" i="8"/>
  <c r="B20" i="8"/>
  <c r="G20" i="8"/>
  <c r="B21" i="8"/>
  <c r="G21" i="8"/>
  <c r="B22" i="8"/>
  <c r="G22" i="8" s="1"/>
  <c r="B23" i="8"/>
  <c r="G23" i="8" s="1"/>
  <c r="B24" i="8"/>
  <c r="G24" i="8"/>
  <c r="B25" i="8"/>
  <c r="G25" i="8"/>
  <c r="B26" i="8"/>
  <c r="G26" i="8"/>
  <c r="B27" i="8"/>
  <c r="G27" i="8"/>
  <c r="B38" i="8"/>
  <c r="G38" i="8" s="1"/>
  <c r="AI20" i="15"/>
  <c r="AI22" i="15" s="1"/>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4" i="13"/>
  <c r="G94" i="13" s="1"/>
  <c r="E93" i="13"/>
  <c r="G93" i="13" s="1"/>
  <c r="E65" i="13"/>
  <c r="G65" i="13"/>
  <c r="E49" i="13"/>
  <c r="G49" i="13"/>
  <c r="E48" i="13"/>
  <c r="G48" i="13"/>
  <c r="E47" i="13"/>
  <c r="G47" i="13" s="1"/>
  <c r="E45" i="13"/>
  <c r="G45" i="13" s="1"/>
  <c r="E27" i="13"/>
  <c r="E25" i="13"/>
  <c r="E23" i="13"/>
  <c r="E22" i="13"/>
  <c r="E21" i="13"/>
  <c r="E20" i="13"/>
  <c r="E19" i="13"/>
  <c r="E18" i="13"/>
  <c r="E17" i="13"/>
  <c r="E15" i="13"/>
  <c r="E14" i="13"/>
  <c r="E13" i="13"/>
  <c r="E10" i="13"/>
  <c r="B99" i="13"/>
  <c r="D99" i="13" s="1"/>
  <c r="B95" i="13"/>
  <c r="D95" i="13" s="1"/>
  <c r="B94" i="13"/>
  <c r="D94" i="13" s="1"/>
  <c r="B93" i="13"/>
  <c r="D93" i="13"/>
  <c r="B92" i="13"/>
  <c r="D92" i="13" s="1"/>
  <c r="B91" i="13"/>
  <c r="D91" i="13" s="1"/>
  <c r="B90" i="13"/>
  <c r="D90" i="13" s="1"/>
  <c r="B89" i="13"/>
  <c r="D89" i="13" s="1"/>
  <c r="B88" i="13"/>
  <c r="D88" i="13" s="1"/>
  <c r="B87" i="13"/>
  <c r="D87" i="13"/>
  <c r="B86" i="13"/>
  <c r="D86" i="13" s="1"/>
  <c r="B85" i="13"/>
  <c r="D85" i="13" s="1"/>
  <c r="B84" i="13"/>
  <c r="D84" i="13" s="1"/>
  <c r="B83" i="13"/>
  <c r="D83" i="13" s="1"/>
  <c r="D96" i="13" s="1"/>
  <c r="B79" i="13"/>
  <c r="D79" i="13" s="1"/>
  <c r="B76" i="13"/>
  <c r="D76" i="13" s="1"/>
  <c r="D77" i="13" s="1"/>
  <c r="B75" i="13"/>
  <c r="D75" i="13"/>
  <c r="B74" i="13"/>
  <c r="D74" i="13" s="1"/>
  <c r="B73" i="13"/>
  <c r="D73" i="13" s="1"/>
  <c r="B72" i="13"/>
  <c r="D72" i="13" s="1"/>
  <c r="B65" i="13"/>
  <c r="D65" i="13" s="1"/>
  <c r="B61" i="13"/>
  <c r="D61" i="13"/>
  <c r="B60" i="13"/>
  <c r="D60" i="13" s="1"/>
  <c r="B59" i="13"/>
  <c r="D59" i="13" s="1"/>
  <c r="D62" i="13" s="1"/>
  <c r="B58" i="13"/>
  <c r="D58" i="13" s="1"/>
  <c r="B57" i="13"/>
  <c r="D57" i="13" s="1"/>
  <c r="B56" i="13"/>
  <c r="D56" i="13" s="1"/>
  <c r="B53" i="13"/>
  <c r="D53" i="13"/>
  <c r="B52" i="13"/>
  <c r="D52" i="13" s="1"/>
  <c r="B51" i="13"/>
  <c r="D51" i="13" s="1"/>
  <c r="B50" i="13"/>
  <c r="D50" i="13" s="1"/>
  <c r="B49" i="13"/>
  <c r="D49" i="13" s="1"/>
  <c r="B48" i="13"/>
  <c r="D48" i="13" s="1"/>
  <c r="B47" i="13"/>
  <c r="D47" i="13" s="1"/>
  <c r="D54" i="13" s="1"/>
  <c r="B46" i="13"/>
  <c r="D46" i="13"/>
  <c r="B45" i="13"/>
  <c r="D45" i="13" s="1"/>
  <c r="B43" i="13"/>
  <c r="D43" i="13" s="1"/>
  <c r="C42" i="4"/>
  <c r="B42" i="13" s="1"/>
  <c r="B41" i="13"/>
  <c r="D41" i="13" s="1"/>
  <c r="B40" i="13"/>
  <c r="D40" i="13"/>
  <c r="D42" i="13" s="1"/>
  <c r="B37" i="13"/>
  <c r="D37" i="13"/>
  <c r="B35" i="13"/>
  <c r="D35" i="13"/>
  <c r="B34" i="13"/>
  <c r="D34" i="13"/>
  <c r="B33" i="13"/>
  <c r="D33" i="13"/>
  <c r="B32" i="13"/>
  <c r="D32" i="13"/>
  <c r="B31" i="13"/>
  <c r="D31" i="13" s="1"/>
  <c r="B30" i="13"/>
  <c r="D30" i="13"/>
  <c r="B29" i="13"/>
  <c r="D29" i="13"/>
  <c r="B27" i="13"/>
  <c r="B25" i="13"/>
  <c r="B23" i="13"/>
  <c r="B22" i="13"/>
  <c r="B21" i="13"/>
  <c r="B20" i="13"/>
  <c r="B19" i="13"/>
  <c r="B18" i="13"/>
  <c r="B17" i="13"/>
  <c r="B5" i="13"/>
  <c r="B6" i="13"/>
  <c r="B7" i="13"/>
  <c r="C8" i="4"/>
  <c r="B8" i="13"/>
  <c r="B9" i="13"/>
  <c r="B10" i="13"/>
  <c r="B13" i="13"/>
  <c r="B14" i="13"/>
  <c r="B15" i="13"/>
  <c r="B4" i="13"/>
  <c r="J104" i="13"/>
  <c r="I104" i="13"/>
  <c r="F104" i="13"/>
  <c r="C104" i="13"/>
  <c r="F96" i="13"/>
  <c r="C96" i="13"/>
  <c r="C77" i="13"/>
  <c r="J70" i="13"/>
  <c r="I70" i="13"/>
  <c r="F70" i="13"/>
  <c r="C70" i="13"/>
  <c r="C62" i="13"/>
  <c r="J54" i="13"/>
  <c r="I54" i="13"/>
  <c r="F54" i="13"/>
  <c r="C54" i="13"/>
  <c r="J42" i="13"/>
  <c r="I42" i="13"/>
  <c r="F42" i="13"/>
  <c r="F26" i="13"/>
  <c r="F38" i="13"/>
  <c r="C42" i="13"/>
  <c r="J38" i="13"/>
  <c r="I38" i="13"/>
  <c r="I63" i="13" s="1"/>
  <c r="I97" i="13" s="1"/>
  <c r="I105" i="13" s="1"/>
  <c r="I107" i="13" s="1"/>
  <c r="C38" i="13"/>
  <c r="J26" i="13"/>
  <c r="I26" i="13"/>
  <c r="I11" i="13"/>
  <c r="G26" i="13"/>
  <c r="D26" i="13"/>
  <c r="C26" i="13"/>
  <c r="J11" i="13"/>
  <c r="D11" i="13"/>
  <c r="C11" i="13"/>
  <c r="C8" i="13"/>
  <c r="C12" i="13" s="1"/>
  <c r="D8" i="13"/>
  <c r="D12" i="13" s="1"/>
  <c r="T104" i="4"/>
  <c r="H104" i="13"/>
  <c r="R103" i="4"/>
  <c r="S103" i="4"/>
  <c r="E103" i="13" s="1"/>
  <c r="G103" i="13"/>
  <c r="R102" i="4"/>
  <c r="S102" i="4"/>
  <c r="E102" i="13" s="1"/>
  <c r="G102" i="13"/>
  <c r="R101" i="4"/>
  <c r="S101" i="4"/>
  <c r="E101" i="13"/>
  <c r="G101" i="13" s="1"/>
  <c r="R99" i="4"/>
  <c r="S99" i="4"/>
  <c r="R95" i="4"/>
  <c r="S95" i="4"/>
  <c r="E95" i="13" s="1"/>
  <c r="G95" i="13" s="1"/>
  <c r="R94" i="4"/>
  <c r="R93" i="4"/>
  <c r="R92" i="4"/>
  <c r="S92" i="4"/>
  <c r="E92" i="13" s="1"/>
  <c r="G92" i="13"/>
  <c r="R90" i="4"/>
  <c r="S90" i="4"/>
  <c r="E90" i="13" s="1"/>
  <c r="G90" i="13"/>
  <c r="R89" i="4"/>
  <c r="S89" i="4"/>
  <c r="E89" i="13"/>
  <c r="G89" i="13" s="1"/>
  <c r="R88" i="4"/>
  <c r="R87" i="4"/>
  <c r="S87" i="4" s="1"/>
  <c r="E87" i="13" s="1"/>
  <c r="G87" i="13" s="1"/>
  <c r="R86" i="4"/>
  <c r="S86" i="4" s="1"/>
  <c r="E86" i="13"/>
  <c r="G86" i="13" s="1"/>
  <c r="R85" i="4"/>
  <c r="R83" i="4"/>
  <c r="R76" i="4"/>
  <c r="R75" i="4"/>
  <c r="R72" i="4"/>
  <c r="R73" i="4"/>
  <c r="R74" i="4"/>
  <c r="R69" i="4"/>
  <c r="R65" i="4"/>
  <c r="R61" i="4"/>
  <c r="R60" i="4"/>
  <c r="R59" i="4"/>
  <c r="R58" i="4"/>
  <c r="R57" i="4"/>
  <c r="R56" i="4"/>
  <c r="R53" i="4"/>
  <c r="S53" i="4" s="1"/>
  <c r="E53" i="13"/>
  <c r="G53" i="13" s="1"/>
  <c r="R52" i="4"/>
  <c r="S52" i="4" s="1"/>
  <c r="E52" i="13" s="1"/>
  <c r="G52" i="13" s="1"/>
  <c r="R51" i="4"/>
  <c r="S51" i="4"/>
  <c r="E51" i="13" s="1"/>
  <c r="G51" i="13" s="1"/>
  <c r="R50" i="4"/>
  <c r="S50" i="4" s="1"/>
  <c r="R49" i="4"/>
  <c r="R48" i="4"/>
  <c r="R47" i="4"/>
  <c r="R46" i="4"/>
  <c r="S46" i="4"/>
  <c r="E46" i="13" s="1"/>
  <c r="G46" i="13" s="1"/>
  <c r="R43" i="4"/>
  <c r="S43" i="4"/>
  <c r="E43" i="13" s="1"/>
  <c r="G43" i="13" s="1"/>
  <c r="R41" i="4"/>
  <c r="S41" i="4"/>
  <c r="E41" i="13" s="1"/>
  <c r="G41" i="13" s="1"/>
  <c r="R40" i="4"/>
  <c r="S40" i="4" s="1"/>
  <c r="R37" i="4"/>
  <c r="S37" i="4"/>
  <c r="E37" i="13" s="1"/>
  <c r="G37" i="13"/>
  <c r="R35" i="4"/>
  <c r="S35" i="4"/>
  <c r="E35" i="13" s="1"/>
  <c r="G35" i="13"/>
  <c r="R34" i="4"/>
  <c r="S34" i="4" s="1"/>
  <c r="E34" i="13" s="1"/>
  <c r="G34" i="13" s="1"/>
  <c r="R33" i="4"/>
  <c r="S33" i="4"/>
  <c r="E33" i="13" s="1"/>
  <c r="G33" i="13" s="1"/>
  <c r="R32" i="4"/>
  <c r="S32" i="4"/>
  <c r="E32" i="13" s="1"/>
  <c r="G32" i="13"/>
  <c r="R31" i="4"/>
  <c r="S31" i="4"/>
  <c r="R30" i="4"/>
  <c r="S30" i="4"/>
  <c r="E30" i="13" s="1"/>
  <c r="G30" i="13" s="1"/>
  <c r="R29" i="4"/>
  <c r="S29" i="4"/>
  <c r="E29" i="13"/>
  <c r="G29" i="13"/>
  <c r="R27" i="4"/>
  <c r="R25" i="4"/>
  <c r="R23" i="4"/>
  <c r="R22" i="4"/>
  <c r="R21" i="4"/>
  <c r="R20" i="4"/>
  <c r="R19" i="4"/>
  <c r="R18" i="4"/>
  <c r="R17" i="4"/>
  <c r="R15" i="4"/>
  <c r="R14" i="4"/>
  <c r="R9" i="4"/>
  <c r="R11" i="4" s="1"/>
  <c r="R7" i="4"/>
  <c r="R6" i="4"/>
  <c r="R5" i="4"/>
  <c r="R4" i="4"/>
  <c r="B5" i="11"/>
  <c r="C5" i="11"/>
  <c r="B6" i="11"/>
  <c r="C6" i="11"/>
  <c r="B7" i="11"/>
  <c r="C7" i="11"/>
  <c r="C8" i="11"/>
  <c r="B8" i="11"/>
  <c r="B10" i="11"/>
  <c r="B12" i="11" s="1"/>
  <c r="B11" i="11"/>
  <c r="C10" i="11"/>
  <c r="C12" i="11" s="1"/>
  <c r="C11" i="11"/>
  <c r="B14" i="11"/>
  <c r="C14" i="11"/>
  <c r="B15" i="11"/>
  <c r="C15" i="11"/>
  <c r="B16" i="11"/>
  <c r="C16" i="11"/>
  <c r="B18" i="11"/>
  <c r="C18" i="11"/>
  <c r="B19" i="11"/>
  <c r="B27" i="11" s="1"/>
  <c r="C19" i="11"/>
  <c r="B20" i="11"/>
  <c r="D20" i="11" s="1"/>
  <c r="C20" i="11"/>
  <c r="B21" i="11"/>
  <c r="C21" i="11"/>
  <c r="B22" i="11"/>
  <c r="C22" i="11"/>
  <c r="B23" i="11"/>
  <c r="C23" i="11"/>
  <c r="B24" i="11"/>
  <c r="B28" i="11"/>
  <c r="C28" i="11"/>
  <c r="D28" i="11" s="1"/>
  <c r="B30" i="11"/>
  <c r="B39" i="11" s="1"/>
  <c r="C30" i="11"/>
  <c r="B41" i="11"/>
  <c r="C41" i="11"/>
  <c r="C42" i="11"/>
  <c r="B42" i="11"/>
  <c r="B44" i="11"/>
  <c r="C44" i="11"/>
  <c r="B46" i="11"/>
  <c r="C46" i="11"/>
  <c r="B47" i="11"/>
  <c r="C47" i="11"/>
  <c r="B48" i="11"/>
  <c r="D48" i="11" s="1"/>
  <c r="B49" i="11"/>
  <c r="D49" i="11" s="1"/>
  <c r="B50" i="11"/>
  <c r="B51" i="11"/>
  <c r="B52" i="11"/>
  <c r="B53" i="11"/>
  <c r="C48" i="11"/>
  <c r="C49" i="11"/>
  <c r="C50" i="11"/>
  <c r="C51" i="11"/>
  <c r="C52" i="11"/>
  <c r="C53" i="11"/>
  <c r="D53" i="11" s="1"/>
  <c r="B57" i="11"/>
  <c r="C57" i="11"/>
  <c r="B58" i="11"/>
  <c r="C58" i="11"/>
  <c r="B59" i="11"/>
  <c r="C59" i="11"/>
  <c r="B60" i="11"/>
  <c r="C60" i="11"/>
  <c r="B61" i="11"/>
  <c r="C61" i="11"/>
  <c r="B62" i="11"/>
  <c r="C62" i="11"/>
  <c r="D62" i="11" s="1"/>
  <c r="B66" i="11"/>
  <c r="C66" i="11"/>
  <c r="D66" i="11" s="1"/>
  <c r="B73" i="11"/>
  <c r="C73" i="11"/>
  <c r="B74" i="11"/>
  <c r="C74" i="11"/>
  <c r="B75" i="11"/>
  <c r="C75" i="11"/>
  <c r="B76" i="11"/>
  <c r="C76" i="11"/>
  <c r="B77" i="11"/>
  <c r="B78" i="11" s="1"/>
  <c r="C77" i="11"/>
  <c r="B84" i="11"/>
  <c r="C84" i="11"/>
  <c r="B100" i="11"/>
  <c r="C100" i="11"/>
  <c r="A4" i="8"/>
  <c r="D4" i="8"/>
  <c r="A5" i="8"/>
  <c r="D5" i="8"/>
  <c r="A6" i="8"/>
  <c r="D6" i="8"/>
  <c r="A7" i="8"/>
  <c r="D7" i="8"/>
  <c r="I7" i="8" s="1"/>
  <c r="A8" i="8"/>
  <c r="D8" i="8"/>
  <c r="A9" i="8"/>
  <c r="D9" i="8"/>
  <c r="I9" i="8" s="1"/>
  <c r="A10" i="8"/>
  <c r="D10" i="8"/>
  <c r="A11" i="8"/>
  <c r="D11" i="8"/>
  <c r="A12" i="8"/>
  <c r="D12" i="8"/>
  <c r="A13" i="8"/>
  <c r="D13" i="8"/>
  <c r="I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T38" i="4"/>
  <c r="H38" i="13" s="1"/>
  <c r="T42" i="4"/>
  <c r="H42" i="13" s="1"/>
  <c r="T54" i="4"/>
  <c r="H54" i="13"/>
  <c r="T70" i="4"/>
  <c r="H70" i="13"/>
  <c r="T96" i="4"/>
  <c r="H96" i="13"/>
  <c r="C11" i="4"/>
  <c r="C38" i="4"/>
  <c r="B38" i="13" s="1"/>
  <c r="C54" i="4"/>
  <c r="B54" i="4" s="1"/>
  <c r="C62" i="4"/>
  <c r="B62" i="13"/>
  <c r="C77" i="4"/>
  <c r="B77" i="13" s="1"/>
  <c r="C96" i="4"/>
  <c r="B96" i="13" s="1"/>
  <c r="D8" i="4"/>
  <c r="D11" i="4"/>
  <c r="D26" i="4"/>
  <c r="D38" i="4"/>
  <c r="D63" i="4" s="1"/>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I12" i="4" s="1"/>
  <c r="J8" i="4"/>
  <c r="J11" i="4"/>
  <c r="J26" i="4"/>
  <c r="J38" i="4"/>
  <c r="J42" i="4"/>
  <c r="J63" i="4" s="1"/>
  <c r="J97" i="4" s="1"/>
  <c r="J105" i="4" s="1"/>
  <c r="J54" i="4"/>
  <c r="J62" i="4"/>
  <c r="J70" i="4"/>
  <c r="J77" i="4"/>
  <c r="J96" i="4"/>
  <c r="J104" i="4"/>
  <c r="K8" i="4"/>
  <c r="K11" i="4"/>
  <c r="L8" i="4"/>
  <c r="L11" i="4"/>
  <c r="M8" i="4"/>
  <c r="M11" i="4"/>
  <c r="M63" i="4" s="1"/>
  <c r="M97" i="4" s="1"/>
  <c r="M105" i="4" s="1"/>
  <c r="N8" i="4"/>
  <c r="O8" i="4"/>
  <c r="Q8" i="4"/>
  <c r="Q11" i="4"/>
  <c r="B9" i="4"/>
  <c r="B10" i="4"/>
  <c r="E11" i="4"/>
  <c r="F11" i="4"/>
  <c r="F26" i="4"/>
  <c r="F38" i="4"/>
  <c r="F42" i="4"/>
  <c r="F62" i="4"/>
  <c r="F63" i="4" s="1"/>
  <c r="F97" i="4" s="1"/>
  <c r="F105" i="4" s="1"/>
  <c r="N11" i="4"/>
  <c r="O11" i="4"/>
  <c r="B13" i="4"/>
  <c r="E13" i="4"/>
  <c r="R13" i="4" s="1"/>
  <c r="B14" i="4"/>
  <c r="B15" i="4"/>
  <c r="AD210" i="20" s="1"/>
  <c r="B17" i="4"/>
  <c r="B18" i="4"/>
  <c r="B19" i="4"/>
  <c r="B20" i="4"/>
  <c r="B21" i="4"/>
  <c r="B22" i="4"/>
  <c r="B23" i="4"/>
  <c r="B25" i="4"/>
  <c r="E26" i="4"/>
  <c r="G26" i="4"/>
  <c r="H26" i="4"/>
  <c r="I26" i="4"/>
  <c r="I38" i="4"/>
  <c r="I42" i="4"/>
  <c r="I54" i="4"/>
  <c r="I62" i="4"/>
  <c r="I63" i="4" s="1"/>
  <c r="I97" i="4" s="1"/>
  <c r="I105" i="4" s="1"/>
  <c r="K26" i="4"/>
  <c r="L26" i="4"/>
  <c r="M26" i="4"/>
  <c r="M38" i="4"/>
  <c r="M42" i="4"/>
  <c r="M54" i="4"/>
  <c r="M62" i="4"/>
  <c r="M70" i="4"/>
  <c r="M77" i="4"/>
  <c r="M96" i="4"/>
  <c r="M104" i="4"/>
  <c r="N26" i="4"/>
  <c r="N63" i="4" s="1"/>
  <c r="N97" i="4" s="1"/>
  <c r="N105" i="4" s="1"/>
  <c r="N38" i="4"/>
  <c r="N42" i="4"/>
  <c r="N54" i="4"/>
  <c r="N62" i="4"/>
  <c r="N70" i="4"/>
  <c r="N77" i="4"/>
  <c r="N96" i="4"/>
  <c r="N104" i="4"/>
  <c r="O26" i="4"/>
  <c r="P26" i="4"/>
  <c r="Q26" i="4"/>
  <c r="B27" i="4"/>
  <c r="B29" i="4"/>
  <c r="B30" i="4"/>
  <c r="B31" i="4"/>
  <c r="B32" i="4"/>
  <c r="B33" i="4"/>
  <c r="B34" i="4"/>
  <c r="B35" i="4"/>
  <c r="B37" i="4"/>
  <c r="E38" i="4"/>
  <c r="G38" i="4"/>
  <c r="H38" i="4"/>
  <c r="K38" i="4"/>
  <c r="K63" i="4" s="1"/>
  <c r="K97" i="4" s="1"/>
  <c r="K105" i="4" s="1"/>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G54" i="4"/>
  <c r="H54" i="4"/>
  <c r="K54" i="4"/>
  <c r="L54" i="4"/>
  <c r="O54" i="4"/>
  <c r="Q54" i="4"/>
  <c r="Q63" i="4" s="1"/>
  <c r="Q97" i="4" s="1"/>
  <c r="Q105" i="4" s="1"/>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E45" i="4"/>
  <c r="E54" i="4" s="1"/>
  <c r="G108" i="4"/>
  <c r="H108" i="4"/>
  <c r="I108" i="4"/>
  <c r="J108" i="4"/>
  <c r="K108" i="4"/>
  <c r="L108" i="4"/>
  <c r="M108" i="4"/>
  <c r="N108" i="4"/>
  <c r="O108" i="4"/>
  <c r="P108" i="4"/>
  <c r="Q108" i="4"/>
  <c r="B131" i="4"/>
  <c r="I184" i="3"/>
  <c r="W418" i="3"/>
  <c r="AF418" i="3"/>
  <c r="AP582"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I950" i="3"/>
  <c r="Z651" i="3"/>
  <c r="G659" i="3"/>
  <c r="Z659" i="3"/>
  <c r="G667" i="3"/>
  <c r="Z667" i="3"/>
  <c r="AH722" i="3"/>
  <c r="G675" i="3"/>
  <c r="Z675" i="3"/>
  <c r="G683" i="3"/>
  <c r="Z683" i="3"/>
  <c r="X718" i="3"/>
  <c r="AH718" i="3"/>
  <c r="X719" i="3"/>
  <c r="AH719" i="3"/>
  <c r="X720" i="3"/>
  <c r="X721" i="3"/>
  <c r="X722" i="3"/>
  <c r="X723" i="3"/>
  <c r="AH723" i="3" s="1"/>
  <c r="X724" i="3"/>
  <c r="AH724" i="3" s="1"/>
  <c r="X730" i="3"/>
  <c r="X731" i="3"/>
  <c r="X732" i="3"/>
  <c r="X733" i="3"/>
  <c r="X734" i="3"/>
  <c r="X735" i="3"/>
  <c r="X736" i="3"/>
  <c r="X737" i="3"/>
  <c r="X738" i="3"/>
  <c r="X739" i="3"/>
  <c r="X740" i="3"/>
  <c r="X741" i="3"/>
  <c r="M832" i="3"/>
  <c r="Q832" i="3"/>
  <c r="U832" i="3"/>
  <c r="Y832" i="3"/>
  <c r="AC832" i="3"/>
  <c r="AG832" i="3"/>
  <c r="Z902" i="3"/>
  <c r="D104" i="13"/>
  <c r="G81" i="13"/>
  <c r="D81" i="13"/>
  <c r="S81" i="4"/>
  <c r="E81" i="13" s="1"/>
  <c r="J13" i="8"/>
  <c r="F54" i="4"/>
  <c r="D36" i="11"/>
  <c r="J9" i="8"/>
  <c r="B26" i="4"/>
  <c r="D86" i="11"/>
  <c r="D87" i="11"/>
  <c r="D34" i="11"/>
  <c r="D6" i="11"/>
  <c r="D25" i="11"/>
  <c r="D54" i="11"/>
  <c r="D90" i="11"/>
  <c r="D70" i="11"/>
  <c r="D93" i="11"/>
  <c r="D85" i="11"/>
  <c r="D89" i="11"/>
  <c r="D101" i="11"/>
  <c r="D32" i="11"/>
  <c r="D33" i="11"/>
  <c r="D92" i="11"/>
  <c r="D96" i="11"/>
  <c r="D88" i="11"/>
  <c r="D104" i="11"/>
  <c r="C82" i="11"/>
  <c r="B8" i="4"/>
  <c r="N189" i="23" s="1"/>
  <c r="N195" i="23" s="1"/>
  <c r="G144" i="21"/>
  <c r="G143" i="21"/>
  <c r="D95" i="11"/>
  <c r="D75" i="11"/>
  <c r="D58" i="11"/>
  <c r="L12" i="4"/>
  <c r="D38" i="11"/>
  <c r="B42" i="4"/>
  <c r="B104" i="4"/>
  <c r="H12" i="4"/>
  <c r="D51" i="11"/>
  <c r="D15" i="11"/>
  <c r="D100" i="11"/>
  <c r="D41" i="11"/>
  <c r="D74" i="11"/>
  <c r="D73" i="11"/>
  <c r="D50" i="11"/>
  <c r="D21" i="11"/>
  <c r="D16" i="11"/>
  <c r="D5" i="11"/>
  <c r="D76" i="11"/>
  <c r="D59" i="11"/>
  <c r="D42" i="11"/>
  <c r="D12" i="4"/>
  <c r="C43" i="11"/>
  <c r="F12" i="4"/>
  <c r="D11" i="11"/>
  <c r="B55" i="11"/>
  <c r="F63" i="13"/>
  <c r="F97" i="13" s="1"/>
  <c r="F105" i="13" s="1"/>
  <c r="F107" i="13" s="1"/>
  <c r="B105" i="11"/>
  <c r="O12" i="4"/>
  <c r="B43" i="11"/>
  <c r="Q12" i="4"/>
  <c r="K12" i="4"/>
  <c r="D61" i="11"/>
  <c r="J12" i="4"/>
  <c r="D22" i="11"/>
  <c r="R77" i="4"/>
  <c r="D80" i="11"/>
  <c r="D31" i="11"/>
  <c r="B62" i="4"/>
  <c r="O63" i="4"/>
  <c r="N12" i="4"/>
  <c r="B70" i="4"/>
  <c r="D102" i="11"/>
  <c r="P63" i="4"/>
  <c r="P97" i="4" s="1"/>
  <c r="P105" i="4" s="1"/>
  <c r="C63" i="13"/>
  <c r="C97" i="13"/>
  <c r="C105" i="13" s="1"/>
  <c r="C71" i="11"/>
  <c r="R38" i="4"/>
  <c r="R70" i="4"/>
  <c r="G58" i="7"/>
  <c r="L63" i="4"/>
  <c r="D52" i="11"/>
  <c r="D44" i="11"/>
  <c r="B11" i="4"/>
  <c r="D81" i="11"/>
  <c r="R104" i="4"/>
  <c r="B77" i="4"/>
  <c r="D60" i="11"/>
  <c r="D97" i="4"/>
  <c r="D105" i="4" s="1"/>
  <c r="BE68" i="3" s="1"/>
  <c r="R26" i="4"/>
  <c r="R42" i="4"/>
  <c r="D23" i="11"/>
  <c r="D19" i="11"/>
  <c r="D14" i="11"/>
  <c r="D7" i="11"/>
  <c r="R8" i="4"/>
  <c r="R81" i="4"/>
  <c r="M53" i="7"/>
  <c r="K58" i="7"/>
  <c r="N188" i="23"/>
  <c r="D46" i="11"/>
  <c r="B82" i="11"/>
  <c r="D82" i="11" s="1"/>
  <c r="H63" i="4"/>
  <c r="H97" i="4" s="1"/>
  <c r="H105" i="4"/>
  <c r="G63" i="4"/>
  <c r="G97" i="4" s="1"/>
  <c r="G105" i="4" s="1"/>
  <c r="I58" i="7"/>
  <c r="C9" i="11"/>
  <c r="B96" i="4"/>
  <c r="B38" i="4"/>
  <c r="D84" i="11"/>
  <c r="B54" i="13"/>
  <c r="AH721" i="3"/>
  <c r="J7" i="8"/>
  <c r="M960" i="3" s="1"/>
  <c r="M961"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R42" i="21" a="1"/>
  <c r="R42" i="21"/>
  <c r="U42" i="21"/>
  <c r="T34" i="21"/>
  <c r="U34" i="21"/>
  <c r="U26" i="21"/>
  <c r="R41" i="21" a="1"/>
  <c r="R41" i="21" s="1"/>
  <c r="U41" i="21"/>
  <c r="T25" i="21"/>
  <c r="U25" i="21"/>
  <c r="R30" i="21" a="1"/>
  <c r="R30" i="21"/>
  <c r="U30" i="21"/>
  <c r="T40" i="21"/>
  <c r="U40" i="21"/>
  <c r="T39" i="21"/>
  <c r="U39" i="21"/>
  <c r="T31" i="21"/>
  <c r="U31" i="21"/>
  <c r="T23" i="21"/>
  <c r="U23" i="21"/>
  <c r="AY1024" i="3"/>
  <c r="AF1017" i="3"/>
  <c r="C9" i="7"/>
  <c r="E9" i="7" s="1"/>
  <c r="G12" i="4"/>
  <c r="AF1014" i="3"/>
  <c r="C63" i="4"/>
  <c r="B63" i="13" s="1"/>
  <c r="C798" i="3"/>
  <c r="G40" i="7"/>
  <c r="G43" i="7" s="1"/>
  <c r="AE28" i="7"/>
  <c r="G30" i="7"/>
  <c r="I30" i="7"/>
  <c r="K30" i="7" s="1"/>
  <c r="M30" i="7" s="1"/>
  <c r="O30" i="7" s="1"/>
  <c r="Q30" i="7" s="1"/>
  <c r="S30" i="7" s="1"/>
  <c r="U30" i="7" s="1"/>
  <c r="W30" i="7" s="1"/>
  <c r="Y30" i="7" s="1"/>
  <c r="AA30" i="7" s="1"/>
  <c r="AC30" i="7" s="1"/>
  <c r="AE30" i="7" s="1"/>
  <c r="AG30" i="7" s="1"/>
  <c r="G31" i="7"/>
  <c r="I31" i="7" s="1"/>
  <c r="K31" i="7"/>
  <c r="M31" i="7" s="1"/>
  <c r="O31" i="7" s="1"/>
  <c r="Q31" i="7"/>
  <c r="S31" i="7" s="1"/>
  <c r="U31" i="7" s="1"/>
  <c r="W31" i="7" s="1"/>
  <c r="Y31" i="7" s="1"/>
  <c r="AA31" i="7" s="1"/>
  <c r="AC31" i="7"/>
  <c r="AE31" i="7"/>
  <c r="AG31" i="7" s="1"/>
  <c r="E20" i="7"/>
  <c r="G20" i="7" s="1"/>
  <c r="I20" i="7" s="1"/>
  <c r="K20" i="7"/>
  <c r="M20" i="7" s="1"/>
  <c r="O20" i="7" s="1"/>
  <c r="Q20" i="7" s="1"/>
  <c r="S20" i="7" s="1"/>
  <c r="U20" i="7" s="1"/>
  <c r="W20" i="7" s="1"/>
  <c r="Y20" i="7" s="1"/>
  <c r="AA20" i="7" s="1"/>
  <c r="AC20" i="7" s="1"/>
  <c r="AE20" i="7" s="1"/>
  <c r="AG20" i="7" s="1"/>
  <c r="Y607" i="20"/>
  <c r="AP587" i="20"/>
  <c r="AJ1016" i="3"/>
  <c r="AB234" i="20"/>
  <c r="AB250" i="20" s="1"/>
  <c r="AB252" i="20" s="1"/>
  <c r="AB254" i="20" s="1"/>
  <c r="AB260" i="20" s="1"/>
  <c r="AD209" i="20" s="1"/>
  <c r="AD211" i="20" s="1"/>
  <c r="AO71" i="20"/>
  <c r="AF813" i="20"/>
  <c r="BF753" i="3"/>
  <c r="BG724" i="3" s="1"/>
  <c r="BH724" i="3" s="1"/>
  <c r="FE718" i="3"/>
  <c r="Y7" i="15"/>
  <c r="AI7" i="15"/>
  <c r="EZ718" i="3"/>
  <c r="DU753" i="3"/>
  <c r="AC28" i="7"/>
  <c r="AO641" i="3"/>
  <c r="AG28" i="7"/>
  <c r="Y28" i="7"/>
  <c r="U28" i="7"/>
  <c r="S28" i="7"/>
  <c r="Q28" i="7"/>
  <c r="W28" i="7"/>
  <c r="I28" i="7"/>
  <c r="O28" i="7"/>
  <c r="AA28" i="7"/>
  <c r="G28" i="7"/>
  <c r="M28" i="7"/>
  <c r="K28" i="7"/>
  <c r="AG40" i="7"/>
  <c r="AG43" i="7"/>
  <c r="S40" i="7"/>
  <c r="S43" i="7" s="1"/>
  <c r="AK183" i="20"/>
  <c r="AP366" i="20"/>
  <c r="AQ366" i="20" s="1"/>
  <c r="AS360" i="20" s="1"/>
  <c r="R21" i="21" a="1"/>
  <c r="R21" i="21"/>
  <c r="G32" i="7"/>
  <c r="I32" i="7" s="1"/>
  <c r="K32" i="7"/>
  <c r="M32" i="7" s="1"/>
  <c r="O32" i="7" s="1"/>
  <c r="Q32" i="7" s="1"/>
  <c r="S32" i="7" s="1"/>
  <c r="U32" i="7" s="1"/>
  <c r="W32" i="7"/>
  <c r="Y32" i="7"/>
  <c r="AA32" i="7" s="1"/>
  <c r="AC32" i="7" s="1"/>
  <c r="AE32" i="7" s="1"/>
  <c r="AG32" i="7" s="1"/>
  <c r="AC40" i="7"/>
  <c r="AC43" i="7" s="1"/>
  <c r="I40" i="7"/>
  <c r="I43" i="7" s="1"/>
  <c r="P43" i="21" a="1"/>
  <c r="P43" i="21" s="1"/>
  <c r="G33" i="7"/>
  <c r="I33" i="7"/>
  <c r="K33" i="7" s="1"/>
  <c r="M33" i="7"/>
  <c r="O33" i="7" s="1"/>
  <c r="Q33" i="7" s="1"/>
  <c r="S33" i="7" s="1"/>
  <c r="U33" i="7" s="1"/>
  <c r="W33" i="7" s="1"/>
  <c r="Y33" i="7" s="1"/>
  <c r="AA33" i="7" s="1"/>
  <c r="AC33" i="7" s="1"/>
  <c r="AE33" i="7" s="1"/>
  <c r="AG33" i="7" s="1"/>
  <c r="K40" i="7"/>
  <c r="K43" i="7"/>
  <c r="G26" i="7"/>
  <c r="I26" i="7" s="1"/>
  <c r="K26" i="7"/>
  <c r="M26" i="7" s="1"/>
  <c r="O26" i="7" s="1"/>
  <c r="Q26" i="7" s="1"/>
  <c r="S26" i="7" s="1"/>
  <c r="U26" i="7" s="1"/>
  <c r="W26" i="7" s="1"/>
  <c r="Y26" i="7" s="1"/>
  <c r="AA26" i="7" s="1"/>
  <c r="AC26" i="7" s="1"/>
  <c r="AE26" i="7" s="1"/>
  <c r="AG26" i="7" s="1"/>
  <c r="G27" i="7"/>
  <c r="I27" i="7" s="1"/>
  <c r="K27" i="7" s="1"/>
  <c r="M27" i="7" s="1"/>
  <c r="O27" i="7" s="1"/>
  <c r="Q27" i="7" s="1"/>
  <c r="S27" i="7"/>
  <c r="U27" i="7" s="1"/>
  <c r="W27" i="7" s="1"/>
  <c r="Y27" i="7" s="1"/>
  <c r="AA27" i="7" s="1"/>
  <c r="AC27" i="7" s="1"/>
  <c r="AE27" i="7" s="1"/>
  <c r="AG27" i="7" s="1"/>
  <c r="R28" i="21" a="1"/>
  <c r="R28" i="21" s="1"/>
  <c r="AG445" i="3"/>
  <c r="AD27" i="15" s="1"/>
  <c r="ET753" i="3"/>
  <c r="T24" i="21"/>
  <c r="D26" i="11"/>
  <c r="T30" i="21"/>
  <c r="T7" i="15"/>
  <c r="E43" i="7"/>
  <c r="Q40" i="7"/>
  <c r="Q43" i="7" s="1"/>
  <c r="U40" i="7"/>
  <c r="U43" i="7"/>
  <c r="AA40" i="7"/>
  <c r="AA43" i="7"/>
  <c r="Y40" i="7"/>
  <c r="Y43" i="7" s="1"/>
  <c r="M40" i="7"/>
  <c r="M43" i="7" s="1"/>
  <c r="P36" i="21" a="1"/>
  <c r="P36" i="21"/>
  <c r="T28" i="21"/>
  <c r="AE40" i="7"/>
  <c r="AE43" i="7" s="1"/>
  <c r="W40" i="7"/>
  <c r="W43" i="7" s="1"/>
  <c r="P40" i="21" a="1"/>
  <c r="P40" i="21" s="1"/>
  <c r="O40" i="7"/>
  <c r="O43" i="7"/>
  <c r="R25" i="21" a="1"/>
  <c r="R25" i="21" s="1"/>
  <c r="T36" i="21"/>
  <c r="T42" i="21"/>
  <c r="AD68" i="15"/>
  <c r="CU777" i="3"/>
  <c r="CY778" i="3"/>
  <c r="T33" i="21"/>
  <c r="DO777" i="3"/>
  <c r="DS778" i="3" s="1"/>
  <c r="CZ777" i="3"/>
  <c r="DD778" i="3" s="1"/>
  <c r="EE753" i="3"/>
  <c r="DE777" i="3"/>
  <c r="DI778" i="3" s="1"/>
  <c r="R39" i="21" a="1"/>
  <c r="R39" i="21" s="1"/>
  <c r="EO753" i="3"/>
  <c r="R27" i="21" a="1"/>
  <c r="R27" i="21"/>
  <c r="DJ777" i="3"/>
  <c r="DN778" i="3" s="1"/>
  <c r="DO797" i="3"/>
  <c r="DS798" i="3" s="1"/>
  <c r="AC797" i="3"/>
  <c r="G8" i="7"/>
  <c r="R35" i="21" a="1"/>
  <c r="R35" i="21" s="1"/>
  <c r="R43" i="21" a="1"/>
  <c r="R43" i="21" s="1"/>
  <c r="R31" i="21" a="1"/>
  <c r="R31" i="21"/>
  <c r="R988" i="3"/>
  <c r="R987" i="3"/>
  <c r="R986" i="3"/>
  <c r="T41" i="21"/>
  <c r="R23" i="21" a="1"/>
  <c r="R23" i="21" s="1"/>
  <c r="R40" i="21" a="1"/>
  <c r="R40" i="21"/>
  <c r="AC883" i="3"/>
  <c r="P34" i="21" a="1"/>
  <c r="P34" i="21"/>
  <c r="P41" i="21" a="1"/>
  <c r="P41" i="21" s="1"/>
  <c r="R29" i="21" a="1"/>
  <c r="R29" i="21" s="1"/>
  <c r="R34" i="21" a="1"/>
  <c r="R34" i="21"/>
  <c r="CT778" i="3"/>
  <c r="DU778" i="3" s="1"/>
  <c r="P35" i="21" a="1"/>
  <c r="P35" i="21" s="1"/>
  <c r="R990" i="3"/>
  <c r="EE794" i="3"/>
  <c r="R32" i="21" a="1"/>
  <c r="R32" i="21"/>
  <c r="P32" i="21" a="1"/>
  <c r="P32" i="21"/>
  <c r="T32" i="21"/>
  <c r="T26" i="21"/>
  <c r="R26" i="21" a="1"/>
  <c r="R26" i="21" s="1"/>
  <c r="CU797" i="3"/>
  <c r="CY798" i="3"/>
  <c r="R37" i="21" a="1"/>
  <c r="R37" i="21" s="1"/>
  <c r="P37" i="21" a="1"/>
  <c r="P37" i="21"/>
  <c r="T37" i="21"/>
  <c r="DJ797" i="3"/>
  <c r="DN798" i="3" s="1"/>
  <c r="EO787" i="3"/>
  <c r="EO797" i="3"/>
  <c r="AC884" i="3"/>
  <c r="AC885" i="3" s="1"/>
  <c r="CZ753" i="3"/>
  <c r="DU790" i="3"/>
  <c r="P39" i="21" a="1"/>
  <c r="P39" i="21"/>
  <c r="R36" i="21" a="1"/>
  <c r="R36" i="21" s="1"/>
  <c r="R22" i="21" a="1"/>
  <c r="R22" i="21"/>
  <c r="T29" i="21"/>
  <c r="T20" i="21"/>
  <c r="R38" i="21" a="1"/>
  <c r="R38" i="21"/>
  <c r="R20" i="21" a="1"/>
  <c r="R20" i="2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c r="AJ621" i="20"/>
  <c r="G94" i="21"/>
  <c r="D43" i="11"/>
  <c r="R12" i="4"/>
  <c r="D12" i="11"/>
  <c r="C13" i="11"/>
  <c r="O53" i="7"/>
  <c r="M58" i="7"/>
  <c r="C97" i="4"/>
  <c r="G130" i="21"/>
  <c r="G132" i="21"/>
  <c r="I16" i="21" s="1"/>
  <c r="BG752" i="3"/>
  <c r="BH752" i="3" s="1"/>
  <c r="BG741" i="3"/>
  <c r="BH741" i="3"/>
  <c r="BG749" i="3"/>
  <c r="BH749" i="3"/>
  <c r="BG726" i="3"/>
  <c r="BH726" i="3" s="1"/>
  <c r="BG734" i="3"/>
  <c r="BH734" i="3" s="1"/>
  <c r="BG750" i="3"/>
  <c r="BH750" i="3" s="1"/>
  <c r="BG722" i="3"/>
  <c r="BH722" i="3" s="1"/>
  <c r="BG738" i="3"/>
  <c r="BH738" i="3" s="1"/>
  <c r="BG727" i="3"/>
  <c r="BH727" i="3" s="1"/>
  <c r="BG743" i="3"/>
  <c r="BH743" i="3" s="1"/>
  <c r="BG721" i="3"/>
  <c r="BH721" i="3"/>
  <c r="BG737" i="3"/>
  <c r="BH737" i="3"/>
  <c r="BG746" i="3"/>
  <c r="BH746" i="3" s="1"/>
  <c r="BG740" i="3"/>
  <c r="BH740" i="3" s="1"/>
  <c r="BG720" i="3"/>
  <c r="BH720" i="3" s="1"/>
  <c r="BG728" i="3"/>
  <c r="BH728" i="3" s="1"/>
  <c r="BG744" i="3"/>
  <c r="BH744" i="3"/>
  <c r="BG718" i="3"/>
  <c r="BG748" i="3"/>
  <c r="BH748" i="3" s="1"/>
  <c r="BG723" i="3"/>
  <c r="BH723" i="3" s="1"/>
  <c r="AS362" i="20"/>
  <c r="AS358" i="20" s="1"/>
  <c r="AK469" i="20" s="1"/>
  <c r="T817" i="20" s="1"/>
  <c r="AF817" i="20" s="1"/>
  <c r="BE80" i="3" s="1"/>
  <c r="EH664" i="3"/>
  <c r="EH661" i="3"/>
  <c r="EH660" i="3"/>
  <c r="EH658" i="3"/>
  <c r="EH667" i="3"/>
  <c r="EH665" i="3"/>
  <c r="AI11" i="15"/>
  <c r="Y11" i="15"/>
  <c r="Y27" i="15"/>
  <c r="AI27" i="15"/>
  <c r="T27" i="15"/>
  <c r="Y800" i="3"/>
  <c r="Y801" i="3"/>
  <c r="E4" i="7"/>
  <c r="G4" i="7" s="1"/>
  <c r="E5" i="7"/>
  <c r="EH641" i="3"/>
  <c r="EH643" i="3"/>
  <c r="EH639" i="3"/>
  <c r="EH651" i="3"/>
  <c r="EH635" i="3"/>
  <c r="EH645" i="3"/>
  <c r="EH649" i="3"/>
  <c r="EH650" i="3"/>
  <c r="EH669" i="3"/>
  <c r="EH638" i="3"/>
  <c r="EH648" i="3"/>
  <c r="EH640" i="3"/>
  <c r="EH644" i="3"/>
  <c r="EH657" i="3"/>
  <c r="EH646" i="3"/>
  <c r="EH656" i="3"/>
  <c r="EH668" i="3"/>
  <c r="EH637" i="3"/>
  <c r="O29" i="21"/>
  <c r="P29" i="21" a="1"/>
  <c r="P29" i="21" s="1"/>
  <c r="S29" i="21" s="1"/>
  <c r="O25" i="21"/>
  <c r="P25" i="21" s="1" a="1"/>
  <c r="P25" i="21" s="1"/>
  <c r="O23" i="21"/>
  <c r="P23" i="21" s="1" a="1"/>
  <c r="P23" i="21" s="1"/>
  <c r="B97" i="13"/>
  <c r="O58" i="7"/>
  <c r="Q53" i="7"/>
  <c r="P28" i="21" a="1"/>
  <c r="P28" i="21"/>
  <c r="S28" i="21"/>
  <c r="P24" i="21" a="1"/>
  <c r="P24" i="21"/>
  <c r="S24" i="21"/>
  <c r="P22" i="21" a="1"/>
  <c r="P22" i="21"/>
  <c r="S22" i="21"/>
  <c r="Y23" i="15"/>
  <c r="Y26" i="15" s="1"/>
  <c r="Y28" i="15" s="1"/>
  <c r="AI23" i="15"/>
  <c r="AI26" i="15" s="1"/>
  <c r="AI28" i="15" s="1"/>
  <c r="BH718" i="3"/>
  <c r="Y64" i="15"/>
  <c r="Y68" i="15"/>
  <c r="Y69" i="15"/>
  <c r="X1048" i="3" l="1"/>
  <c r="L97" i="4"/>
  <c r="L105" i="4" s="1"/>
  <c r="FY753" i="3"/>
  <c r="S25" i="21"/>
  <c r="E50" i="13"/>
  <c r="G50" i="13" s="1"/>
  <c r="S54" i="4"/>
  <c r="E54" i="13" s="1"/>
  <c r="AV122" i="20"/>
  <c r="AW120" i="20" s="1"/>
  <c r="J40" i="8"/>
  <c r="Z809" i="3" s="1"/>
  <c r="B12" i="4"/>
  <c r="B63" i="4"/>
  <c r="D91" i="11"/>
  <c r="C97" i="11"/>
  <c r="D103" i="11"/>
  <c r="C105" i="11"/>
  <c r="D105" i="11" s="1"/>
  <c r="G60" i="21"/>
  <c r="E24" i="21"/>
  <c r="E28" i="21"/>
  <c r="E26" i="21"/>
  <c r="E25" i="21"/>
  <c r="F25" i="21" s="1"/>
  <c r="G25" i="21" s="1"/>
  <c r="E27" i="21"/>
  <c r="T816" i="20"/>
  <c r="T815" i="20"/>
  <c r="AF815" i="20" s="1"/>
  <c r="BE79" i="3" s="1"/>
  <c r="E31" i="13"/>
  <c r="G31" i="13" s="1"/>
  <c r="S38" i="4"/>
  <c r="G40" i="8"/>
  <c r="Q58" i="7"/>
  <c r="S53" i="7"/>
  <c r="I4" i="7"/>
  <c r="G5" i="7"/>
  <c r="S23" i="21"/>
  <c r="E12" i="4"/>
  <c r="E63" i="4"/>
  <c r="E97" i="4" s="1"/>
  <c r="E105" i="4" s="1"/>
  <c r="EH652" i="3"/>
  <c r="EH666" i="3"/>
  <c r="EH654" i="3"/>
  <c r="EH636" i="3"/>
  <c r="EH670" i="3" s="1"/>
  <c r="O130" i="20" s="1"/>
  <c r="O133" i="20" s="1"/>
  <c r="EH663" i="3"/>
  <c r="EH655" i="3"/>
  <c r="EJ753" i="3"/>
  <c r="T38" i="21"/>
  <c r="U38" i="21"/>
  <c r="G42" i="21" s="1" a="1"/>
  <c r="G42" i="21" s="1"/>
  <c r="G43" i="21" s="1"/>
  <c r="P38" i="21" a="1"/>
  <c r="P38" i="21" s="1"/>
  <c r="M18" i="21"/>
  <c r="O38" i="21"/>
  <c r="G18" i="7"/>
  <c r="I18" i="7" s="1"/>
  <c r="K18" i="7" s="1"/>
  <c r="M18" i="7" s="1"/>
  <c r="O18" i="7" s="1"/>
  <c r="Q18" i="7" s="1"/>
  <c r="S18" i="7" s="1"/>
  <c r="U18" i="7" s="1"/>
  <c r="W18" i="7" s="1"/>
  <c r="Y18" i="7" s="1"/>
  <c r="AA18" i="7" s="1"/>
  <c r="AC18" i="7" s="1"/>
  <c r="AE18" i="7" s="1"/>
  <c r="AG18" i="7" s="1"/>
  <c r="E22" i="7"/>
  <c r="E35" i="7" s="1"/>
  <c r="S42" i="4"/>
  <c r="E42" i="13" s="1"/>
  <c r="E40" i="13"/>
  <c r="G40" i="13" s="1"/>
  <c r="G42" i="13" s="1"/>
  <c r="AX690" i="20"/>
  <c r="C757" i="3"/>
  <c r="AY1003" i="3"/>
  <c r="E105" i="20"/>
  <c r="E104" i="20"/>
  <c r="DU777" i="3"/>
  <c r="D57" i="11"/>
  <c r="C63" i="11"/>
  <c r="D63" i="11" s="1"/>
  <c r="D30" i="11"/>
  <c r="C39" i="11"/>
  <c r="E99" i="13"/>
  <c r="G99" i="13" s="1"/>
  <c r="G104" i="13" s="1"/>
  <c r="S104" i="4"/>
  <c r="J63" i="13"/>
  <c r="J97" i="13" s="1"/>
  <c r="J105" i="13" s="1"/>
  <c r="J107" i="13" s="1"/>
  <c r="D38" i="13"/>
  <c r="D63" i="13" s="1"/>
  <c r="D97" i="13" s="1"/>
  <c r="D105" i="13" s="1"/>
  <c r="ER663" i="3"/>
  <c r="EH662" i="3"/>
  <c r="EH659" i="3"/>
  <c r="D10" i="11"/>
  <c r="H26" i="13"/>
  <c r="T63" i="4"/>
  <c r="B97" i="11"/>
  <c r="B71" i="11"/>
  <c r="B63" i="11"/>
  <c r="EH647" i="3"/>
  <c r="FE724" i="3"/>
  <c r="CU753" i="3"/>
  <c r="EC654" i="3" s="1"/>
  <c r="EZ723" i="3"/>
  <c r="CP753" i="3"/>
  <c r="M12" i="4"/>
  <c r="O97" i="4"/>
  <c r="O105" i="4" s="1"/>
  <c r="D77" i="11"/>
  <c r="C78" i="11"/>
  <c r="D78" i="11" s="1"/>
  <c r="C55" i="11"/>
  <c r="D55" i="11" s="1"/>
  <c r="D47" i="11"/>
  <c r="EJ794" i="3"/>
  <c r="EJ797" i="3" s="1"/>
  <c r="DE797" i="3"/>
  <c r="DI798" i="3" s="1"/>
  <c r="EH642" i="3"/>
  <c r="BG719" i="3"/>
  <c r="BG733" i="3"/>
  <c r="BH733" i="3" s="1"/>
  <c r="D18" i="11"/>
  <c r="D27" i="11" s="1"/>
  <c r="C27" i="11"/>
  <c r="B9" i="11"/>
  <c r="D8" i="11"/>
  <c r="G38" i="13"/>
  <c r="ER648" i="3"/>
  <c r="EH653" i="3"/>
  <c r="DD755" i="3"/>
  <c r="CZ802" i="3"/>
  <c r="AB988" i="3" s="1"/>
  <c r="AJ988" i="3" s="1"/>
  <c r="BG736" i="3"/>
  <c r="BH736" i="3" s="1"/>
  <c r="C105" i="4"/>
  <c r="B97" i="4"/>
  <c r="G9" i="7"/>
  <c r="I8" i="7"/>
  <c r="B11" i="13"/>
  <c r="C12" i="4"/>
  <c r="B12" i="13" s="1"/>
  <c r="G54" i="13"/>
  <c r="S96" i="4"/>
  <c r="E96" i="13" s="1"/>
  <c r="BS753" i="3"/>
  <c r="AO39" i="20"/>
  <c r="AK62" i="20" s="1"/>
  <c r="AO42" i="20"/>
  <c r="FO722" i="3"/>
  <c r="DE753" i="3"/>
  <c r="EE792" i="3"/>
  <c r="EE797" i="3" s="1"/>
  <c r="CZ797" i="3"/>
  <c r="DD798" i="3" s="1"/>
  <c r="FJ753" i="3"/>
  <c r="DU793" i="3"/>
  <c r="DU797" i="3" s="1"/>
  <c r="CP797" i="3"/>
  <c r="G22" i="7"/>
  <c r="G35" i="7" s="1"/>
  <c r="I15" i="7"/>
  <c r="CM753" i="3"/>
  <c r="X1052" i="3" s="1"/>
  <c r="FT721" i="3"/>
  <c r="ER638" i="3" s="1"/>
  <c r="DJ753" i="3"/>
  <c r="BG729" i="3"/>
  <c r="BH729" i="3" s="1"/>
  <c r="BG731" i="3"/>
  <c r="BH731" i="3" s="1"/>
  <c r="BG745" i="3"/>
  <c r="BH745" i="3" s="1"/>
  <c r="BG739" i="3"/>
  <c r="BH739" i="3" s="1"/>
  <c r="BG751" i="3"/>
  <c r="BH751" i="3" s="1"/>
  <c r="BG725" i="3"/>
  <c r="BH725" i="3" s="1"/>
  <c r="BG742" i="3"/>
  <c r="BH742" i="3" s="1"/>
  <c r="BG735" i="3"/>
  <c r="BH735" i="3" s="1"/>
  <c r="BG730" i="3"/>
  <c r="BH730" i="3" s="1"/>
  <c r="BG747" i="3"/>
  <c r="BH747" i="3" s="1"/>
  <c r="BG732" i="3"/>
  <c r="BH732" i="3" s="1"/>
  <c r="D71" i="11"/>
  <c r="DZ753" i="3"/>
  <c r="R62" i="4"/>
  <c r="R96" i="4"/>
  <c r="S85" i="4"/>
  <c r="E85" i="13" s="1"/>
  <c r="G85" i="13" s="1"/>
  <c r="G96" i="13" s="1"/>
  <c r="ER655" i="3"/>
  <c r="FT753" i="3"/>
  <c r="ER637" i="3"/>
  <c r="DO753" i="3"/>
  <c r="EW635" i="3" s="1"/>
  <c r="R45" i="4"/>
  <c r="R54" i="4" s="1"/>
  <c r="V29" i="23"/>
  <c r="J19" i="23"/>
  <c r="P29" i="23"/>
  <c r="J20" i="23"/>
  <c r="J22" i="23"/>
  <c r="J21" i="23"/>
  <c r="C39" i="21"/>
  <c r="O52" i="21"/>
  <c r="S52" i="21"/>
  <c r="BE6" i="3"/>
  <c r="T51" i="21"/>
  <c r="T18" i="21" s="1"/>
  <c r="G51" i="21" s="1"/>
  <c r="ET799" i="3" l="1"/>
  <c r="O20" i="21"/>
  <c r="P20" i="21" s="1" a="1"/>
  <c r="P20" i="21" s="1"/>
  <c r="S20" i="21" s="1"/>
  <c r="O27" i="21"/>
  <c r="P27" i="21" s="1" a="1"/>
  <c r="P27" i="21" s="1"/>
  <c r="S27" i="21" s="1"/>
  <c r="O31" i="21"/>
  <c r="P31" i="21" s="1" a="1"/>
  <c r="P31" i="21" s="1"/>
  <c r="S31" i="21" s="1"/>
  <c r="O30" i="21"/>
  <c r="P30" i="21" s="1" a="1"/>
  <c r="P30" i="21" s="1"/>
  <c r="S30" i="21" s="1"/>
  <c r="O26" i="21"/>
  <c r="P26" i="21" s="1" a="1"/>
  <c r="P26" i="21" s="1"/>
  <c r="S26" i="21" s="1"/>
  <c r="O21" i="21"/>
  <c r="P21" i="21" s="1" a="1"/>
  <c r="P21" i="21" s="1"/>
  <c r="S21" i="21" s="1"/>
  <c r="I22" i="7"/>
  <c r="I35" i="7" s="1"/>
  <c r="K15" i="7"/>
  <c r="T804" i="20"/>
  <c r="AF804" i="20" s="1"/>
  <c r="AK84" i="20"/>
  <c r="BH719" i="3"/>
  <c r="BH753" i="3" s="1"/>
  <c r="AC753" i="3" s="1"/>
  <c r="BG753" i="3"/>
  <c r="EC658" i="3"/>
  <c r="F24" i="21"/>
  <c r="E29" i="21"/>
  <c r="I1052" i="3"/>
  <c r="I1048" i="3"/>
  <c r="EC664" i="3"/>
  <c r="DX640" i="3"/>
  <c r="EZ753" i="3"/>
  <c r="EC641" i="3"/>
  <c r="EC667" i="3"/>
  <c r="S63" i="4"/>
  <c r="E38" i="13"/>
  <c r="D97" i="11"/>
  <c r="BA1039" i="3"/>
  <c r="BA1048" i="3" s="1" a="1"/>
  <c r="BA1048" i="3" s="1"/>
  <c r="EW655" i="3"/>
  <c r="EW640" i="3"/>
  <c r="EW667" i="3"/>
  <c r="EW638" i="3"/>
  <c r="EW659" i="3"/>
  <c r="EW662" i="3"/>
  <c r="EW652" i="3"/>
  <c r="EW637" i="3"/>
  <c r="EW644" i="3"/>
  <c r="EW656" i="3"/>
  <c r="EW641" i="3"/>
  <c r="EW650" i="3"/>
  <c r="EW636" i="3"/>
  <c r="EW670" i="3" s="1"/>
  <c r="AD130" i="20" s="1"/>
  <c r="AD133" i="20" s="1"/>
  <c r="AD136" i="20" s="1"/>
  <c r="EW654" i="3"/>
  <c r="EW669" i="3"/>
  <c r="EW651" i="3"/>
  <c r="EW643" i="3"/>
  <c r="EW657" i="3"/>
  <c r="AX693" i="20"/>
  <c r="EW658" i="3"/>
  <c r="EW639" i="3"/>
  <c r="EW666" i="3"/>
  <c r="EW648" i="3"/>
  <c r="EW661" i="3"/>
  <c r="DS755" i="3"/>
  <c r="EW668" i="3"/>
  <c r="EW649" i="3"/>
  <c r="DO802" i="3"/>
  <c r="AB990" i="3" s="1"/>
  <c r="AJ990" i="3" s="1"/>
  <c r="EW647" i="3"/>
  <c r="EW664" i="3"/>
  <c r="EW660" i="3"/>
  <c r="EW665" i="3"/>
  <c r="EW645" i="3"/>
  <c r="EW642" i="3"/>
  <c r="BT720" i="3"/>
  <c r="BU720" i="3" s="1"/>
  <c r="BT729" i="3"/>
  <c r="BU729" i="3" s="1"/>
  <c r="BT734" i="3"/>
  <c r="BU734" i="3" s="1"/>
  <c r="BT723" i="3"/>
  <c r="BU723" i="3" s="1"/>
  <c r="BT742" i="3"/>
  <c r="BU742" i="3" s="1"/>
  <c r="BT751" i="3"/>
  <c r="BU751" i="3" s="1"/>
  <c r="BT735" i="3"/>
  <c r="BU735" i="3" s="1"/>
  <c r="BT745" i="3"/>
  <c r="BU745" i="3" s="1"/>
  <c r="BT746" i="3"/>
  <c r="BU746" i="3" s="1"/>
  <c r="BT747" i="3"/>
  <c r="BU747" i="3" s="1"/>
  <c r="BT749" i="3"/>
  <c r="BU749" i="3" s="1"/>
  <c r="BT743" i="3"/>
  <c r="BU743" i="3" s="1"/>
  <c r="BT731" i="3"/>
  <c r="BU731" i="3" s="1"/>
  <c r="BT724" i="3"/>
  <c r="BU724" i="3" s="1"/>
  <c r="BT752" i="3"/>
  <c r="BU752" i="3" s="1"/>
  <c r="BT728" i="3"/>
  <c r="BU728" i="3" s="1"/>
  <c r="BT739" i="3"/>
  <c r="BU739" i="3" s="1"/>
  <c r="BT732" i="3"/>
  <c r="BU732" i="3" s="1"/>
  <c r="BT736" i="3"/>
  <c r="BU736" i="3" s="1"/>
  <c r="BT748" i="3"/>
  <c r="BU748" i="3" s="1"/>
  <c r="BT750" i="3"/>
  <c r="BU750" i="3" s="1"/>
  <c r="BT740" i="3"/>
  <c r="BU740" i="3" s="1"/>
  <c r="BT744" i="3"/>
  <c r="BU744" i="3" s="1"/>
  <c r="BT722" i="3"/>
  <c r="BU722" i="3" s="1"/>
  <c r="BT726" i="3"/>
  <c r="BU726" i="3" s="1"/>
  <c r="BT727" i="3"/>
  <c r="BU727" i="3" s="1"/>
  <c r="BT721" i="3"/>
  <c r="BU721" i="3" s="1"/>
  <c r="BT737" i="3"/>
  <c r="BU737" i="3" s="1"/>
  <c r="BT738" i="3"/>
  <c r="BU738" i="3" s="1"/>
  <c r="BT741" i="3"/>
  <c r="BU741" i="3" s="1"/>
  <c r="BT733" i="3"/>
  <c r="BU733" i="3" s="1"/>
  <c r="BT718" i="3"/>
  <c r="BT719" i="3"/>
  <c r="BU719" i="3" s="1"/>
  <c r="BT730" i="3"/>
  <c r="BU730" i="3" s="1"/>
  <c r="BT725" i="3"/>
  <c r="BU725" i="3" s="1"/>
  <c r="BA1058" i="3"/>
  <c r="E104" i="13"/>
  <c r="EW663" i="3"/>
  <c r="AY1005" i="3"/>
  <c r="AG1045" i="3"/>
  <c r="AT21" i="23"/>
  <c r="J29" i="23"/>
  <c r="AT19" i="23"/>
  <c r="AW116" i="20"/>
  <c r="AW121" i="20"/>
  <c r="AW118" i="20"/>
  <c r="O136" i="20" s="1"/>
  <c r="AW117" i="20"/>
  <c r="EW646" i="3"/>
  <c r="FE753" i="3"/>
  <c r="G63" i="13"/>
  <c r="G97" i="13" s="1"/>
  <c r="G105" i="13" s="1"/>
  <c r="G107" i="13" s="1"/>
  <c r="D39" i="11"/>
  <c r="C64" i="11"/>
  <c r="EC659" i="3"/>
  <c r="EC639" i="3"/>
  <c r="EC656" i="3"/>
  <c r="EC642" i="3"/>
  <c r="EC663" i="3"/>
  <c r="EC652" i="3"/>
  <c r="EC645" i="3"/>
  <c r="EC668" i="3"/>
  <c r="EC637" i="3"/>
  <c r="EC646" i="3"/>
  <c r="EC649" i="3"/>
  <c r="EC636" i="3"/>
  <c r="CY755" i="3"/>
  <c r="EC650" i="3"/>
  <c r="EC648" i="3"/>
  <c r="EC665" i="3"/>
  <c r="EC657" i="3"/>
  <c r="EC662" i="3"/>
  <c r="EC643" i="3"/>
  <c r="EC660" i="3"/>
  <c r="EC669" i="3"/>
  <c r="EC635" i="3"/>
  <c r="EC651" i="3"/>
  <c r="EC655" i="3"/>
  <c r="EC638" i="3"/>
  <c r="EC653" i="3"/>
  <c r="CU802" i="3"/>
  <c r="AB987" i="3" s="1"/>
  <c r="AJ987" i="3" s="1"/>
  <c r="EC666" i="3"/>
  <c r="EC647" i="3"/>
  <c r="EC640" i="3"/>
  <c r="EC644" i="3"/>
  <c r="BE7" i="3"/>
  <c r="BE8" i="3" s="1"/>
  <c r="I9" i="7"/>
  <c r="K8" i="7"/>
  <c r="T97" i="4"/>
  <c r="H63" i="13"/>
  <c r="EW653" i="3"/>
  <c r="AW119" i="20"/>
  <c r="AY1006" i="3"/>
  <c r="AG1049" i="3"/>
  <c r="E6" i="7"/>
  <c r="Z818" i="3"/>
  <c r="AT20" i="23"/>
  <c r="ER662" i="3"/>
  <c r="ER646" i="3"/>
  <c r="ER645" i="3"/>
  <c r="ER659" i="3"/>
  <c r="ER652" i="3"/>
  <c r="AX692" i="20"/>
  <c r="ER661" i="3"/>
  <c r="ER666" i="3"/>
  <c r="ER643" i="3"/>
  <c r="ER658" i="3"/>
  <c r="ER644" i="3"/>
  <c r="ER642" i="3"/>
  <c r="ER669" i="3"/>
  <c r="ER653" i="3"/>
  <c r="ER635" i="3"/>
  <c r="DN755" i="3"/>
  <c r="DJ802" i="3"/>
  <c r="ER657" i="3"/>
  <c r="ER650" i="3"/>
  <c r="ER667" i="3"/>
  <c r="ER640" i="3"/>
  <c r="ER654" i="3"/>
  <c r="ER665" i="3"/>
  <c r="ER636" i="3"/>
  <c r="ER660" i="3"/>
  <c r="ER664" i="3"/>
  <c r="ER651" i="3"/>
  <c r="ER641" i="3"/>
  <c r="ER649" i="3"/>
  <c r="ER656" i="3"/>
  <c r="ER639" i="3"/>
  <c r="FO753" i="3"/>
  <c r="EM639" i="3"/>
  <c r="I5" i="7"/>
  <c r="K4" i="7"/>
  <c r="EC661" i="3"/>
  <c r="AT22" i="23"/>
  <c r="CT798" i="3"/>
  <c r="DU800" i="3" s="1"/>
  <c r="DU799" i="3"/>
  <c r="EM659" i="3"/>
  <c r="EM661" i="3"/>
  <c r="AX691" i="20"/>
  <c r="AX694" i="20" s="1"/>
  <c r="EM658" i="3"/>
  <c r="EM664" i="3"/>
  <c r="DI755" i="3"/>
  <c r="EM656" i="3"/>
  <c r="EM637" i="3"/>
  <c r="EM648" i="3"/>
  <c r="EM651" i="3"/>
  <c r="EM657" i="3"/>
  <c r="EM663" i="3"/>
  <c r="EM655" i="3"/>
  <c r="EM666" i="3"/>
  <c r="DE802" i="3"/>
  <c r="AB989" i="3" s="1"/>
  <c r="AJ989" i="3" s="1"/>
  <c r="EM668" i="3"/>
  <c r="EM665" i="3"/>
  <c r="EM640" i="3"/>
  <c r="EM635" i="3"/>
  <c r="EM662" i="3"/>
  <c r="EM645" i="3"/>
  <c r="EM643" i="3"/>
  <c r="EM667" i="3"/>
  <c r="EM650" i="3"/>
  <c r="EM647" i="3"/>
  <c r="EM660" i="3"/>
  <c r="EM653" i="3"/>
  <c r="EM636" i="3"/>
  <c r="EM641" i="3"/>
  <c r="EM654" i="3"/>
  <c r="EM669" i="3"/>
  <c r="EM638" i="3"/>
  <c r="EM649" i="3"/>
  <c r="EM642" i="3"/>
  <c r="EM644" i="3"/>
  <c r="EM646" i="3"/>
  <c r="EM652" i="3"/>
  <c r="B13" i="11"/>
  <c r="D13" i="11" s="1"/>
  <c r="B64" i="11"/>
  <c r="B98" i="11" s="1"/>
  <c r="B106" i="11" s="1"/>
  <c r="D9" i="11"/>
  <c r="R63" i="4"/>
  <c r="R97" i="4" s="1"/>
  <c r="R105" i="4" s="1"/>
  <c r="AC455" i="3"/>
  <c r="B105" i="13"/>
  <c r="AG269" i="20"/>
  <c r="BE101" i="3"/>
  <c r="B105" i="4"/>
  <c r="DX635" i="3"/>
  <c r="CT755" i="3"/>
  <c r="DU755" i="3" s="1"/>
  <c r="DX644" i="3"/>
  <c r="DX664" i="3"/>
  <c r="DX669" i="3"/>
  <c r="DX665" i="3"/>
  <c r="DX642" i="3"/>
  <c r="DX650" i="3"/>
  <c r="DX660" i="3"/>
  <c r="DX638" i="3"/>
  <c r="DX666" i="3"/>
  <c r="DX649" i="3"/>
  <c r="DX643" i="3"/>
  <c r="DX662" i="3"/>
  <c r="DX658" i="3"/>
  <c r="DX641" i="3"/>
  <c r="DX663" i="3"/>
  <c r="DX656" i="3"/>
  <c r="DX637" i="3"/>
  <c r="DX667" i="3"/>
  <c r="DX652" i="3"/>
  <c r="DX659" i="3"/>
  <c r="DX668" i="3"/>
  <c r="DX647" i="3"/>
  <c r="DX661" i="3"/>
  <c r="DX657" i="3"/>
  <c r="DX646" i="3"/>
  <c r="DO754" i="3"/>
  <c r="DX653" i="3"/>
  <c r="DX655" i="3"/>
  <c r="DX654" i="3"/>
  <c r="DX648" i="3"/>
  <c r="CP802" i="3"/>
  <c r="AB986" i="3" s="1"/>
  <c r="DX651" i="3"/>
  <c r="DX645" i="3"/>
  <c r="DX639" i="3"/>
  <c r="DX636" i="3"/>
  <c r="ER668" i="3"/>
  <c r="S58" i="7"/>
  <c r="U53" i="7"/>
  <c r="ER647" i="3"/>
  <c r="AX695" i="20" l="1"/>
  <c r="AO695" i="20" s="1"/>
  <c r="AY695" i="20"/>
  <c r="G6" i="7"/>
  <c r="E7" i="7"/>
  <c r="E11" i="7"/>
  <c r="E37" i="7" s="1"/>
  <c r="F28" i="21"/>
  <c r="G28" i="21" s="1"/>
  <c r="G52" i="21"/>
  <c r="G54" i="21" s="1"/>
  <c r="G56" i="21" s="1"/>
  <c r="E12" i="21" s="1"/>
  <c r="F27" i="21"/>
  <c r="G61" i="21"/>
  <c r="G63" i="21" s="1"/>
  <c r="G65" i="21" s="1"/>
  <c r="E13" i="21" s="1"/>
  <c r="G24" i="21"/>
  <c r="U58" i="7"/>
  <c r="W53" i="7"/>
  <c r="AW122" i="20"/>
  <c r="G45" i="21"/>
  <c r="G47" i="21" s="1"/>
  <c r="E10" i="21" s="1"/>
  <c r="AB266" i="20"/>
  <c r="AG268" i="20" s="1"/>
  <c r="N185" i="23"/>
  <c r="BE22" i="3"/>
  <c r="AC454" i="3"/>
  <c r="AB47" i="15"/>
  <c r="AB49" i="15" s="1"/>
  <c r="AY37" i="23"/>
  <c r="AY43" i="23"/>
  <c r="AT26" i="23"/>
  <c r="AT25" i="23"/>
  <c r="AT29" i="23"/>
  <c r="AY41" i="23"/>
  <c r="AT27" i="23"/>
  <c r="AY39" i="23"/>
  <c r="AY40" i="23"/>
  <c r="AY38" i="23"/>
  <c r="AT23" i="23"/>
  <c r="AY46" i="23"/>
  <c r="AY47" i="23"/>
  <c r="AT24" i="23"/>
  <c r="AY44" i="23"/>
  <c r="AY36" i="23"/>
  <c r="AT28" i="23"/>
  <c r="AY45" i="23"/>
  <c r="AY42" i="23"/>
  <c r="S97" i="4"/>
  <c r="E63" i="13"/>
  <c r="ER670" i="3"/>
  <c r="Y130" i="20" s="1"/>
  <c r="Y133" i="20" s="1"/>
  <c r="Y136" i="20" s="1"/>
  <c r="E103" i="20"/>
  <c r="E106" i="20" s="1"/>
  <c r="AP106" i="20" s="1"/>
  <c r="BE42" i="3"/>
  <c r="E93" i="20"/>
  <c r="E94" i="20" s="1"/>
  <c r="E95" i="20" s="1"/>
  <c r="AP95" i="20" s="1"/>
  <c r="AK109" i="20" s="1"/>
  <c r="T806" i="20" s="1"/>
  <c r="AF806" i="20" s="1"/>
  <c r="BE73" i="3" s="1"/>
  <c r="DX670" i="3"/>
  <c r="E130" i="20" s="1"/>
  <c r="E133" i="20" s="1"/>
  <c r="E136" i="20" s="1"/>
  <c r="H97" i="13"/>
  <c r="T105" i="4"/>
  <c r="C98" i="11"/>
  <c r="D64" i="11"/>
  <c r="BE9" i="3"/>
  <c r="BE10" i="3" s="1"/>
  <c r="T805" i="20"/>
  <c r="AF805" i="20" s="1"/>
  <c r="BE72" i="3" s="1"/>
  <c r="AG270" i="20"/>
  <c r="AK273" i="20" s="1"/>
  <c r="T812" i="20" s="1"/>
  <c r="AF812" i="20" s="1"/>
  <c r="BE77" i="3" s="1"/>
  <c r="AK191" i="20"/>
  <c r="T811" i="20" s="1"/>
  <c r="AF811" i="20" s="1"/>
  <c r="BE76" i="3" s="1"/>
  <c r="DU802" i="3"/>
  <c r="U373" i="20" s="1"/>
  <c r="O756" i="3"/>
  <c r="P421" i="3"/>
  <c r="AB991" i="3"/>
  <c r="AJ986" i="3"/>
  <c r="AJ992" i="3" s="1"/>
  <c r="AJ1045" i="3" s="1"/>
  <c r="AP552" i="20" s="1"/>
  <c r="EM670" i="3"/>
  <c r="T130" i="20" s="1"/>
  <c r="T133" i="20" s="1"/>
  <c r="T136" i="20" s="1"/>
  <c r="K9" i="7"/>
  <c r="M8" i="7"/>
  <c r="BU718" i="3"/>
  <c r="BU753" i="3" s="1"/>
  <c r="AH753" i="3" s="1"/>
  <c r="BE43" i="3" s="1"/>
  <c r="BT753" i="3"/>
  <c r="BE71" i="3"/>
  <c r="M4" i="7"/>
  <c r="K5" i="7"/>
  <c r="EC670" i="3"/>
  <c r="J130" i="20" s="1"/>
  <c r="J133" i="20" s="1"/>
  <c r="J136" i="20" s="1"/>
  <c r="K22" i="7"/>
  <c r="K35" i="7" s="1"/>
  <c r="M15" i="7"/>
  <c r="N196" i="23" l="1"/>
  <c r="N186" i="23"/>
  <c r="G27" i="21"/>
  <c r="F26" i="21"/>
  <c r="M22" i="7"/>
  <c r="M35" i="7" s="1"/>
  <c r="O15" i="7"/>
  <c r="S105" i="4"/>
  <c r="AZ1046" i="3"/>
  <c r="E97" i="13"/>
  <c r="E11" i="21"/>
  <c r="E49" i="7"/>
  <c r="E45" i="7"/>
  <c r="H105" i="13"/>
  <c r="T107" i="4"/>
  <c r="H107" i="13" s="1"/>
  <c r="AD11" i="15" s="1"/>
  <c r="AD23" i="15" s="1"/>
  <c r="AD26" i="15" s="1"/>
  <c r="AD28" i="15" s="1"/>
  <c r="I6" i="7"/>
  <c r="G7" i="7"/>
  <c r="G11" i="7"/>
  <c r="G37" i="7" s="1"/>
  <c r="D98" i="11"/>
  <c r="C106" i="11"/>
  <c r="D106" i="11" s="1"/>
  <c r="E138" i="20"/>
  <c r="E139" i="20" s="1"/>
  <c r="AK143" i="20" s="1"/>
  <c r="T807" i="20" s="1"/>
  <c r="AF807" i="20" s="1"/>
  <c r="BE74" i="3" s="1"/>
  <c r="W58" i="7"/>
  <c r="Y53" i="7"/>
  <c r="AP705" i="20"/>
  <c r="AJ711" i="20" s="1"/>
  <c r="AK794" i="20" s="1"/>
  <c r="T819" i="20" s="1"/>
  <c r="AF819" i="20" s="1"/>
  <c r="BE82" i="3" s="1"/>
  <c r="AP706" i="20"/>
  <c r="O8" i="7"/>
  <c r="M9" i="7"/>
  <c r="BE11" i="3"/>
  <c r="AB54" i="15"/>
  <c r="AB55" i="15" s="1"/>
  <c r="AJ994" i="3"/>
  <c r="AJ1032" i="3"/>
  <c r="AP550" i="20"/>
  <c r="AJ1029" i="3"/>
  <c r="AJ1007" i="3"/>
  <c r="O4" i="7"/>
  <c r="M5" i="7"/>
  <c r="BE44" i="3"/>
  <c r="F457" i="3"/>
  <c r="AJ1049" i="3"/>
  <c r="AP553" i="20" s="1"/>
  <c r="AP554" i="20" s="1"/>
  <c r="O22" i="7" l="1"/>
  <c r="O35" i="7" s="1"/>
  <c r="Q15" i="7"/>
  <c r="G26" i="21"/>
  <c r="F29" i="21"/>
  <c r="G29" i="21"/>
  <c r="S107" i="4"/>
  <c r="E105" i="13"/>
  <c r="G49" i="7"/>
  <c r="G45" i="7"/>
  <c r="E48" i="7"/>
  <c r="E47" i="7"/>
  <c r="E60" i="7"/>
  <c r="BE12" i="3"/>
  <c r="AA53" i="7"/>
  <c r="Y58" i="7"/>
  <c r="K6" i="7"/>
  <c r="I7" i="7"/>
  <c r="I11" i="7"/>
  <c r="I37" i="7" s="1"/>
  <c r="O5" i="7"/>
  <c r="Q4" i="7"/>
  <c r="Q8" i="7"/>
  <c r="O9" i="7"/>
  <c r="AJ1036" i="3"/>
  <c r="AJ1053" i="3" s="1"/>
  <c r="I15" i="21"/>
  <c r="BA1056" i="3"/>
  <c r="AZ1051" i="3"/>
  <c r="BA1055" i="3" s="1"/>
  <c r="BA1059" i="3" s="1"/>
  <c r="AP557" i="20" l="1"/>
  <c r="AP556" i="20" s="1"/>
  <c r="AP559" i="20" s="1"/>
  <c r="AF552" i="20" s="1"/>
  <c r="T24" i="15"/>
  <c r="I45" i="7"/>
  <c r="I49" i="7"/>
  <c r="G79" i="21"/>
  <c r="G80" i="21" s="1"/>
  <c r="E15" i="21" s="1"/>
  <c r="G31" i="21"/>
  <c r="G33" i="21" s="1"/>
  <c r="E9" i="21" s="1"/>
  <c r="G111" i="21"/>
  <c r="G96" i="21"/>
  <c r="G88" i="21"/>
  <c r="G90" i="21" s="1"/>
  <c r="E16" i="21" s="1"/>
  <c r="G60" i="7"/>
  <c r="G47" i="7"/>
  <c r="G48" i="7"/>
  <c r="M6" i="7"/>
  <c r="K7" i="7"/>
  <c r="K11" i="7"/>
  <c r="K37" i="7" s="1"/>
  <c r="S15" i="7"/>
  <c r="Q22" i="7"/>
  <c r="Q35" i="7" s="1"/>
  <c r="BE14" i="3"/>
  <c r="BE15" i="3" s="1"/>
  <c r="E62" i="7"/>
  <c r="E66" i="7"/>
  <c r="E70" i="7" s="1"/>
  <c r="E72" i="7" s="1"/>
  <c r="AC456" i="3"/>
  <c r="AA1056" i="3"/>
  <c r="AA1057" i="3" s="1"/>
  <c r="G1058" i="3" s="1"/>
  <c r="E107" i="13"/>
  <c r="T11" i="15" s="1"/>
  <c r="T23" i="15" s="1"/>
  <c r="T26" i="15" s="1"/>
  <c r="T28" i="15" s="1"/>
  <c r="T29" i="15" s="1"/>
  <c r="AF551" i="20"/>
  <c r="AF553" i="20" s="1"/>
  <c r="AK559" i="20" s="1"/>
  <c r="T818" i="20" s="1"/>
  <c r="AF818" i="20" s="1"/>
  <c r="AC53" i="7"/>
  <c r="AA58" i="7"/>
  <c r="BE13" i="3"/>
  <c r="Q9" i="7"/>
  <c r="S8" i="7"/>
  <c r="S4" i="7"/>
  <c r="Q5" i="7"/>
  <c r="G66" i="7" l="1"/>
  <c r="G70" i="7" s="1"/>
  <c r="G62" i="7"/>
  <c r="G72" i="7"/>
  <c r="U8" i="7"/>
  <c r="S9" i="7"/>
  <c r="U15" i="7"/>
  <c r="S22" i="7"/>
  <c r="S35" i="7" s="1"/>
  <c r="G113" i="21"/>
  <c r="G97" i="21"/>
  <c r="G101" i="21"/>
  <c r="I48" i="7"/>
  <c r="I47" i="7"/>
  <c r="I60" i="7"/>
  <c r="U4" i="7"/>
  <c r="S5" i="7"/>
  <c r="K49" i="7"/>
  <c r="K45" i="7"/>
  <c r="AE53" i="7"/>
  <c r="AC58" i="7"/>
  <c r="BE81" i="3"/>
  <c r="AF821" i="20"/>
  <c r="BE70" i="3" s="1"/>
  <c r="O6" i="7"/>
  <c r="M7" i="7"/>
  <c r="M11" i="7" s="1"/>
  <c r="M37" i="7" s="1"/>
  <c r="AD38" i="15"/>
  <c r="AD40" i="15" s="1"/>
  <c r="Y38" i="15"/>
  <c r="Y40" i="15" s="1"/>
  <c r="Y41" i="15" s="1"/>
  <c r="AB56" i="15" s="1"/>
  <c r="M45" i="7" l="1"/>
  <c r="M49" i="7"/>
  <c r="M26" i="3"/>
  <c r="AB57" i="15"/>
  <c r="AG53" i="7"/>
  <c r="AG58" i="7" s="1"/>
  <c r="AE58" i="7"/>
  <c r="U5" i="7"/>
  <c r="W4" i="7"/>
  <c r="O7" i="7"/>
  <c r="Q6" i="7"/>
  <c r="O11" i="7"/>
  <c r="O37" i="7" s="1"/>
  <c r="G115" i="21"/>
  <c r="E17" i="21" s="1"/>
  <c r="E14" i="21" s="1"/>
  <c r="E18" i="21" s="1"/>
  <c r="H3" i="21" s="1"/>
  <c r="K47" i="7"/>
  <c r="K48" i="7"/>
  <c r="K60" i="7"/>
  <c r="W15" i="7"/>
  <c r="U22" i="7"/>
  <c r="U35" i="7" s="1"/>
  <c r="U9" i="7"/>
  <c r="W8" i="7"/>
  <c r="I66" i="7"/>
  <c r="I70" i="7" s="1"/>
  <c r="I62" i="7"/>
  <c r="I72" i="7" s="1"/>
  <c r="Q7" i="7" l="1"/>
  <c r="S6" i="7"/>
  <c r="Q11" i="7"/>
  <c r="Q37" i="7" s="1"/>
  <c r="W9" i="7"/>
  <c r="Y8" i="7"/>
  <c r="BE19" i="3"/>
  <c r="P204" i="3"/>
  <c r="O49" i="7"/>
  <c r="O45" i="7"/>
  <c r="W22" i="7"/>
  <c r="W35" i="7" s="1"/>
  <c r="Y15" i="7"/>
  <c r="K62" i="7"/>
  <c r="K66" i="7"/>
  <c r="K70" i="7" s="1"/>
  <c r="K72" i="7" s="1"/>
  <c r="W5" i="7"/>
  <c r="Y4" i="7"/>
  <c r="AB59" i="15"/>
  <c r="AB77" i="15" s="1"/>
  <c r="AB78" i="15" s="1"/>
  <c r="M60" i="7"/>
  <c r="M48" i="7"/>
  <c r="M47" i="7"/>
  <c r="M62" i="7" l="1"/>
  <c r="M66" i="7"/>
  <c r="M70" i="7" s="1"/>
  <c r="M72" i="7"/>
  <c r="AA15" i="7"/>
  <c r="Y22" i="7"/>
  <c r="Y35" i="7" s="1"/>
  <c r="O60" i="7"/>
  <c r="O47" i="7"/>
  <c r="O48" i="7"/>
  <c r="M27" i="3"/>
  <c r="I10" i="21"/>
  <c r="I11" i="21" s="1"/>
  <c r="I18" i="21" s="1"/>
  <c r="H4" i="21" s="1"/>
  <c r="H5" i="21" s="1"/>
  <c r="BE83" i="3" s="1"/>
  <c r="AB79" i="15"/>
  <c r="AB81" i="15" s="1"/>
  <c r="J82" i="15" s="1"/>
  <c r="AA4" i="7"/>
  <c r="Y5" i="7"/>
  <c r="Y9" i="7"/>
  <c r="AA8" i="7"/>
  <c r="Q49" i="7"/>
  <c r="Q45" i="7"/>
  <c r="S7" i="7"/>
  <c r="U6" i="7"/>
  <c r="S11" i="7"/>
  <c r="S37" i="7" s="1"/>
  <c r="BE20" i="3" l="1"/>
  <c r="P205" i="3"/>
  <c r="S45" i="7"/>
  <c r="S49" i="7"/>
  <c r="Q60" i="7"/>
  <c r="Q48" i="7"/>
  <c r="Q47" i="7"/>
  <c r="W6" i="7"/>
  <c r="U7" i="7"/>
  <c r="U11" i="7"/>
  <c r="U37" i="7" s="1"/>
  <c r="O66" i="7"/>
  <c r="O70" i="7" s="1"/>
  <c r="O62" i="7"/>
  <c r="O72" i="7" s="1"/>
  <c r="AA9" i="7"/>
  <c r="AC8" i="7"/>
  <c r="AC15" i="7"/>
  <c r="AA22" i="7"/>
  <c r="AA35" i="7" s="1"/>
  <c r="AA5" i="7"/>
  <c r="AC4" i="7"/>
  <c r="U49" i="7" l="1"/>
  <c r="U45" i="7"/>
  <c r="Y6" i="7"/>
  <c r="W7" i="7"/>
  <c r="W11" i="7"/>
  <c r="W37" i="7" s="1"/>
  <c r="AE8" i="7"/>
  <c r="AC9" i="7"/>
  <c r="AE15" i="7"/>
  <c r="AC22" i="7"/>
  <c r="AC35" i="7" s="1"/>
  <c r="AC5" i="7"/>
  <c r="AE4" i="7"/>
  <c r="Q66" i="7"/>
  <c r="Q70" i="7" s="1"/>
  <c r="Q62" i="7"/>
  <c r="Q72" i="7"/>
  <c r="S48" i="7"/>
  <c r="S47" i="7"/>
  <c r="S60" i="7"/>
  <c r="AE9" i="7" l="1"/>
  <c r="AG8" i="7"/>
  <c r="AG9" i="7" s="1"/>
  <c r="AE22" i="7"/>
  <c r="AE35" i="7" s="1"/>
  <c r="AG15" i="7"/>
  <c r="AG22" i="7" s="1"/>
  <c r="AG35" i="7" s="1"/>
  <c r="W49" i="7"/>
  <c r="W45" i="7"/>
  <c r="S66" i="7"/>
  <c r="S70" i="7" s="1"/>
  <c r="S62" i="7"/>
  <c r="S72" i="7" s="1"/>
  <c r="Y7" i="7"/>
  <c r="Y11" i="7" s="1"/>
  <c r="Y37" i="7" s="1"/>
  <c r="AA6" i="7"/>
  <c r="U47" i="7"/>
  <c r="U60" i="7"/>
  <c r="U48" i="7"/>
  <c r="AE5" i="7"/>
  <c r="AG4" i="7"/>
  <c r="Y49" i="7" l="1"/>
  <c r="Y45" i="7"/>
  <c r="AC6" i="7"/>
  <c r="AA7" i="7"/>
  <c r="AA11" i="7"/>
  <c r="AA37" i="7" s="1"/>
  <c r="AG5" i="7"/>
  <c r="W60" i="7"/>
  <c r="W47" i="7"/>
  <c r="W48" i="7"/>
  <c r="U72" i="7"/>
  <c r="U66" i="7"/>
  <c r="U70" i="7" s="1"/>
  <c r="U62" i="7"/>
  <c r="W62" i="7" l="1"/>
  <c r="W66" i="7"/>
  <c r="W70" i="7" s="1"/>
  <c r="W72" i="7"/>
  <c r="AA49" i="7"/>
  <c r="AA45" i="7"/>
  <c r="AE6" i="7"/>
  <c r="AC7" i="7"/>
  <c r="AC11" i="7"/>
  <c r="AC37" i="7" s="1"/>
  <c r="Y47" i="7"/>
  <c r="Y48" i="7"/>
  <c r="Y60" i="7"/>
  <c r="AC45" i="7" l="1"/>
  <c r="AC49" i="7"/>
  <c r="AE7" i="7"/>
  <c r="AG6" i="7"/>
  <c r="AE11" i="7"/>
  <c r="AE37" i="7" s="1"/>
  <c r="Y62" i="7"/>
  <c r="Y66" i="7"/>
  <c r="Y70" i="7" s="1"/>
  <c r="Y72" i="7"/>
  <c r="AA60" i="7"/>
  <c r="AA47" i="7"/>
  <c r="AA48" i="7"/>
  <c r="AA62" i="7" l="1"/>
  <c r="AA66" i="7"/>
  <c r="AA70" i="7" s="1"/>
  <c r="AA72" i="7"/>
  <c r="AE45" i="7"/>
  <c r="AE49" i="7"/>
  <c r="AG7" i="7"/>
  <c r="AG11" i="7"/>
  <c r="AG37" i="7" s="1"/>
  <c r="AC60" i="7"/>
  <c r="AC47" i="7"/>
  <c r="AC48" i="7"/>
  <c r="AG45" i="7" l="1"/>
  <c r="AG49" i="7"/>
  <c r="AE47" i="7"/>
  <c r="AE60" i="7"/>
  <c r="AE48" i="7"/>
  <c r="AC66" i="7"/>
  <c r="AC70" i="7" s="1"/>
  <c r="AC62" i="7"/>
  <c r="AC72" i="7" s="1"/>
  <c r="AE62" i="7" l="1"/>
  <c r="AE66" i="7"/>
  <c r="AE70" i="7" s="1"/>
  <c r="AE72" i="7"/>
  <c r="AG47" i="7"/>
  <c r="AG60" i="7"/>
  <c r="AG48" i="7"/>
  <c r="AG62" i="7" l="1"/>
  <c r="AG72" i="7" s="1"/>
  <c r="AG66" i="7"/>
  <c r="AG70"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<sst xmlns="http://schemas.openxmlformats.org/spreadsheetml/2006/main" count="5149" uniqueCount="2772">
  <si>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</si>
  <si>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</si>
  <si>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</si>
  <si>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</si>
  <si>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</si>
  <si>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</si>
  <si>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</si>
  <si>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</si>
  <si>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</si>
  <si>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</si>
  <si>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</si>
  <si>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</si>
  <si>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</si>
  <si>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</si>
  <si>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</si>
  <si>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</si>
  <si>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</si>
  <si>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</si>
  <si>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</si>
  <si>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</si>
  <si>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</si>
  <si>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</si>
  <si>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</si>
  <si>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</si>
  <si>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</si>
  <si>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</si>
  <si>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</si>
  <si>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</si>
  <si>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</si>
  <si>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</si>
  <si>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</si>
  <si>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</si>
  <si>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</si>
  <si>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</si>
  <si>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</si>
  <si>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</si>
  <si>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</si>
  <si>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</si>
  <si>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</si>
  <si>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</si>
  <si>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</si>
  <si>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</si>
  <si>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</si>
  <si>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</si>
  <si>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</si>
  <si>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</si>
  <si>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</si>
  <si>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</si>
  <si>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</si>
  <si>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</si>
  <si>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</si>
  <si>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</si>
  <si>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</si>
  <si>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</si>
  <si>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</si>
  <si>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</si>
  <si>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</si>
  <si>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</si>
  <si>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</si>
  <si>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</si>
  <si>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</si>
  <si>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</si>
  <si>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</si>
  <si>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</si>
  <si>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</si>
  <si>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</si>
  <si>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</si>
  <si>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</si>
  <si>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</si>
  <si>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</si>
  <si>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</si>
  <si>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</si>
  <si>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</si>
  <si>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</si>
  <si>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</si>
  <si>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</si>
  <si>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</si>
  <si>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</si>
  <si>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</si>
  <si>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</si>
  <si>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</si>
  <si>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</si>
  <si>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</si>
  <si>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</si>
  <si>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</si>
  <si>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</si>
  <si>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</si>
  <si>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</si>
  <si>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</si>
  <si>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</si>
  <si>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</si>
  <si>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</si>
  <si>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</si>
  <si>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</si>
  <si>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</si>
  <si>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</si>
  <si>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</si>
  <si>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</si>
  <si>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</si>
  <si>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</si>
  <si>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</si>
  <si>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</si>
  <si>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</si>
  <si>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</si>
  <si>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</si>
  <si>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</si>
  <si>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</si>
  <si>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</si>
  <si>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</si>
  <si>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</si>
  <si>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</si>
  <si>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</si>
  <si>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</si>
  <si>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</si>
  <si>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</si>
  <si>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</si>
  <si>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</si>
  <si>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</si>
  <si>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</si>
  <si>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</si>
  <si>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</si>
  <si>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</si>
  <si>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</si>
  <si>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</si>
  <si>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</si>
  <si>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</si>
  <si>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</si>
  <si>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</si>
  <si>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</si>
  <si>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</si>
  <si>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</si>
  <si>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</si>
  <si>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</si>
  <si>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</si>
  <si>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</si>
  <si>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</si>
  <si>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</si>
  <si>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</si>
  <si>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</si>
  <si>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</si>
  <si>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</si>
  <si>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</si>
  <si>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</si>
  <si>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</si>
  <si>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</si>
  <si>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</si>
  <si>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</si>
  <si>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</si>
  <si>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</si>
  <si>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</si>
  <si>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</si>
  <si>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</si>
  <si>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</si>
  <si>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</si>
  <si>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</si>
  <si>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</si>
  <si>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</si>
  <si>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</si>
  <si>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</si>
  <si>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</si>
  <si>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</si>
  <si>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</si>
  <si>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</si>
  <si>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</si>
  <si>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</si>
  <si>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</si>
  <si>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</si>
  <si>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</si>
  <si>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</si>
  <si>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</si>
  <si>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</si>
  <si>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</si>
  <si>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</si>
  <si>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</si>
  <si>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</si>
  <si>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</si>
  <si>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</si>
  <si>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</si>
  <si>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</si>
  <si>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</si>
  <si>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</si>
  <si>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</si>
  <si>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</si>
  <si>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</si>
  <si>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</si>
  <si>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</si>
  <si>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</si>
  <si>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</si>
  <si>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</si>
  <si>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</si>
  <si>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</si>
  <si>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</si>
  <si>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</si>
  <si>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</si>
  <si>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</si>
  <si>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</si>
  <si>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</si>
  <si>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</si>
  <si>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</si>
  <si>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</si>
  <si>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</si>
  <si>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</si>
  <si>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</si>
  <si>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</si>
  <si>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</si>
  <si>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</si>
  <si>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</si>
  <si>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</si>
  <si>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</si>
  <si>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</si>
  <si>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</si>
  <si>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</si>
  <si>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</si>
  <si>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</si>
  <si>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</si>
  <si>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</si>
  <si>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</si>
  <si>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</si>
  <si>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</si>
  <si>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</si>
  <si>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</si>
  <si>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</si>
  <si>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</si>
  <si>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</si>
  <si>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</si>
  <si>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</si>
  <si>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</si>
  <si>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</si>
  <si>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</si>
  <si>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</si>
  <si>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</si>
  <si>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</si>
  <si>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</si>
  <si>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</si>
  <si>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</si>
  <si>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</si>
  <si>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</si>
  <si>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</si>
  <si>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</si>
  <si>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</si>
  <si>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</si>
  <si>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</si>
  <si>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</si>
  <si>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</si>
  <si>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</si>
  <si>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</si>
  <si>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</si>
  <si>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</si>
  <si>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</si>
  <si>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</si>
  <si>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</si>
  <si>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</si>
  <si>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</si>
  <si>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</si>
  <si>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</si>
  <si>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</si>
  <si>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</si>
  <si>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</si>
  <si>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</si>
  <si>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</si>
  <si>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</si>
  <si>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</si>
  <si>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</si>
  <si>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</si>
  <si>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</si>
  <si>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</si>
  <si>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</si>
  <si>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</si>
  <si>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</si>
  <si>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</si>
  <si>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</si>
  <si>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</si>
  <si>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</si>
  <si>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</si>
  <si>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</si>
  <si>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</si>
  <si>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</si>
  <si>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</si>
  <si>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</si>
  <si>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</si>
  <si>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</si>
  <si>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</si>
  <si>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</si>
  <si>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</si>
  <si>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</si>
  <si>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</si>
  <si>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</si>
  <si>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</si>
  <si>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</si>
  <si>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</si>
  <si>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</si>
  <si>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</si>
  <si>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</si>
  <si>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</si>
  <si>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</si>
  <si>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</si>
  <si>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</si>
  <si>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</si>
  <si>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</si>
  <si>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</si>
  <si>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</si>
  <si>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</si>
  <si>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</si>
  <si>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</si>
  <si>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</si>
  <si>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</si>
  <si>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</si>
  <si>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</si>
  <si>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</si>
  <si>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</si>
  <si>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</si>
  <si>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</si>
  <si>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</si>
  <si>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</si>
  <si>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</si>
  <si>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</si>
  <si>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</si>
  <si>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</si>
  <si>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</si>
  <si>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</si>
  <si>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</si>
  <si>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</si>
  <si>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</si>
  <si>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</si>
  <si>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</si>
  <si>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</si>
  <si>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</si>
  <si>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</si>
  <si>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</si>
  <si>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</si>
  <si>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</si>
  <si>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</si>
  <si>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</si>
  <si>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</si>
  <si>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</si>
  <si>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</si>
  <si>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</si>
  <si>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</si>
  <si>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</si>
  <si>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</si>
  <si>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</si>
  <si>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</si>
  <si>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</si>
  <si>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</si>
  <si>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</si>
  <si>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</si>
  <si>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</si>
  <si>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</si>
  <si>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</si>
  <si>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</si>
  <si>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</si>
  <si>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</si>
  <si>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</si>
  <si>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</si>
  <si>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</si>
  <si>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</si>
  <si>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</si>
  <si>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</si>
  <si>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</si>
  <si>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</si>
  <si>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</si>
  <si>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</si>
  <si>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</si>
  <si>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</si>
  <si>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</si>
  <si>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</si>
  <si>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</si>
  <si>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</si>
  <si>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</si>
  <si>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</si>
  <si>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</si>
  <si>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</si>
  <si>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</si>
  <si>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</si>
  <si>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</si>
  <si>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</si>
  <si>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</si>
  <si>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</si>
  <si>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</si>
  <si>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</si>
  <si>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</si>
  <si>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</si>
  <si>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</si>
  <si>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</si>
  <si>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</si>
  <si>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</si>
  <si>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</si>
  <si>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</si>
  <si>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</si>
  <si>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</si>
  <si>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</si>
  <si>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</si>
  <si>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</si>
  <si>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</si>
  <si>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</si>
  <si>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</si>
  <si>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</si>
  <si>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</si>
  <si>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</si>
  <si>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</si>
  <si>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</si>
  <si>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</si>
  <si>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</si>
  <si>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</si>
  <si>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</si>
  <si>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</si>
  <si>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</si>
  <si>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</si>
  <si>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</si>
  <si>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</si>
  <si>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</si>
  <si>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</si>
  <si>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</si>
  <si>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</si>
  <si>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</si>
  <si>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</si>
  <si>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</si>
  <si>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</si>
  <si>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</si>
  <si>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</si>
  <si>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</si>
  <si>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</si>
  <si>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</si>
  <si>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</si>
  <si>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</si>
  <si>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</si>
  <si>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</si>
  <si>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</si>
  <si>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</si>
  <si>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</si>
  <si>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</si>
  <si>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</si>
  <si>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</si>
  <si>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</si>
  <si>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</si>
  <si>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</si>
  <si>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</si>
  <si>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</si>
  <si>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</si>
  <si>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</si>
  <si>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</si>
  <si>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</si>
  <si>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</si>
  <si>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</si>
  <si>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</si>
  <si>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</si>
  <si>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</si>
  <si>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</si>
  <si>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</si>
  <si>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</si>
  <si>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</si>
  <si>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</si>
  <si>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</si>
  <si>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</si>
  <si>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</si>
  <si>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</si>
  <si>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</si>
  <si>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</si>
  <si>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</si>
  <si>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</si>
  <si>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</si>
  <si>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</si>
  <si>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</si>
  <si>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</si>
  <si>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</si>
  <si>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</si>
  <si>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</si>
  <si>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</si>
  <si>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</si>
  <si>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</si>
  <si>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</si>
  <si>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</si>
  <si>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</si>
  <si>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</si>
  <si>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</si>
  <si>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</si>
  <si>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</si>
  <si>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</si>
  <si>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</si>
  <si>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</si>
  <si>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</si>
  <si>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</si>
  <si>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</si>
  <si>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</si>
  <si>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</si>
  <si>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</si>
  <si>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</si>
  <si>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</si>
  <si>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</si>
  <si>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</si>
  <si>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</si>
  <si>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</si>
  <si>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</si>
  <si>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</si>
  <si>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</si>
  <si>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</si>
  <si>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</si>
  <si>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</si>
  <si>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</si>
  <si>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</si>
  <si>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</si>
  <si>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</si>
  <si>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</si>
  <si>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</si>
  <si>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</si>
  <si>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</si>
  <si>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</si>
  <si>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</si>
  <si>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</si>
  <si>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</si>
  <si>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</si>
  <si>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</si>
  <si>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</si>
  <si>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</si>
  <si>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</si>
  <si>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</si>
  <si>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</si>
  <si>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</si>
  <si>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</si>
  <si>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</si>
  <si>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</si>
  <si>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</si>
  <si>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</si>
  <si>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</si>
  <si>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</si>
  <si>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</si>
  <si>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</si>
  <si>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</si>
  <si>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</si>
  <si>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</si>
  <si>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</si>
  <si>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</si>
  <si>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</si>
  <si>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</si>
  <si>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</si>
  <si>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</si>
  <si>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</si>
  <si>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</si>
  <si>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</si>
  <si>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</si>
  <si>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</si>
  <si>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</si>
  <si>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</si>
  <si>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</si>
  <si>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</si>
  <si>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</si>
  <si>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</si>
  <si>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</si>
  <si>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</si>
  <si>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</si>
  <si>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</si>
  <si>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</si>
  <si>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</si>
  <si>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</si>
  <si>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</si>
  <si>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</si>
  <si>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</si>
  <si>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</si>
  <si>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</si>
  <si>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</si>
  <si>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</si>
  <si>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</si>
  <si>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</si>
  <si>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</si>
  <si>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</si>
  <si>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</si>
  <si>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</si>
  <si>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</si>
  <si>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</si>
  <si>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</si>
  <si>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</si>
  <si>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</si>
  <si>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</si>
  <si>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</si>
  <si>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</si>
  <si>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</si>
  <si>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</si>
  <si>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</si>
  <si>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</si>
  <si>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</si>
  <si>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</si>
  <si>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</si>
  <si>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</si>
  <si>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</si>
  <si>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</si>
  <si>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</si>
  <si>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</si>
  <si>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</si>
  <si>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</si>
  <si>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</si>
  <si>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</si>
  <si>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</si>
  <si>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</si>
  <si>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</si>
  <si>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</si>
  <si>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</si>
  <si>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</si>
  <si>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</si>
  <si>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</si>
  <si>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</si>
  <si>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</si>
  <si>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</si>
  <si>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</si>
  <si>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</si>
  <si>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</si>
  <si>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</si>
  <si>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</si>
  <si>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</si>
  <si>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</si>
  <si>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</si>
  <si>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</si>
  <si>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</si>
  <si>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</si>
  <si>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</si>
  <si>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</si>
  <si>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</si>
  <si>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</si>
  <si>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</si>
  <si>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</si>
  <si>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</si>
  <si>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</si>
  <si>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</si>
  <si>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</si>
  <si>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</si>
  <si>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</si>
  <si>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</si>
  <si>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</si>
  <si>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</si>
  <si>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</si>
  <si>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</si>
  <si>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</si>
  <si>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</si>
  <si>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</si>
  <si>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</si>
  <si>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</si>
  <si>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</si>
  <si>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</si>
  <si>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</si>
  <si>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</si>
  <si>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</si>
  <si>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</si>
  <si>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</si>
  <si>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</si>
  <si>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</si>
  <si>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</si>
  <si>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</si>
  <si>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</si>
  <si>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</si>
  <si>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</si>
  <si>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</si>
  <si>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</si>
  <si>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</si>
  <si>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</si>
  <si>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</si>
  <si>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</si>
  <si>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</si>
  <si>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</si>
  <si>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</si>
  <si>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</si>
  <si>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</si>
  <si>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</si>
  <si>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</si>
  <si>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</si>
  <si>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</si>
  <si>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</si>
  <si>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</si>
  <si>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</si>
  <si>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</si>
  <si>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</si>
  <si>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</si>
  <si>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</si>
  <si>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</si>
  <si>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</si>
  <si>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</si>
  <si>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</si>
  <si>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</si>
  <si>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</si>
  <si>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</si>
  <si>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</si>
  <si>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</si>
  <si>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</si>
  <si>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</si>
  <si>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</si>
  <si>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</si>
  <si>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</si>
  <si>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</si>
  <si>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</si>
  <si>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</si>
  <si>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</si>
  <si>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</si>
  <si>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</si>
  <si>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</si>
  <si>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</si>
  <si>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</si>
  <si>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</si>
  <si>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</si>
  <si>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</si>
  <si>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</si>
  <si>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</si>
  <si>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</si>
  <si>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</si>
  <si>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</si>
  <si>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</si>
  <si>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</si>
  <si>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</si>
  <si>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</si>
  <si>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</si>
  <si>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</si>
  <si>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</si>
  <si>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</si>
  <si>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</si>
  <si>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</si>
  <si>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</si>
  <si>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</si>
  <si>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</si>
  <si>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</si>
  <si>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</si>
  <si>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</si>
  <si>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</si>
  <si>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</si>
  <si>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</si>
  <si>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</si>
  <si>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</si>
  <si>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</si>
  <si>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</si>
  <si>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</si>
  <si>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</si>
  <si>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</si>
  <si>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</si>
  <si>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</si>
  <si>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</si>
  <si>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</si>
  <si>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</si>
  <si>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</si>
  <si>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</si>
  <si>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</si>
  <si>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</si>
  <si>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</si>
  <si>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</si>
  <si>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</si>
  <si>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</si>
  <si>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</si>
  <si>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</si>
  <si>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</si>
  <si>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</si>
  <si>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</si>
  <si>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</si>
  <si>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</si>
  <si>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</si>
  <si>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</si>
  <si>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</si>
  <si>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</si>
  <si>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</si>
  <si>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</si>
  <si>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</si>
  <si>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</si>
  <si>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</si>
  <si>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</si>
  <si>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</si>
  <si>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</si>
  <si>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</si>
  <si>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</si>
  <si>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</si>
  <si>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</si>
  <si>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</si>
  <si>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</si>
  <si>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</si>
  <si>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</si>
  <si>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</si>
  <si>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</si>
  <si>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</si>
  <si>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</si>
  <si>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</si>
  <si>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</si>
  <si>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</si>
  <si>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</si>
  <si>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</si>
  <si>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</si>
  <si>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</si>
  <si>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</si>
  <si>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</si>
  <si>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</si>
  <si>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</si>
  <si>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</si>
  <si>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</si>
  <si>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</si>
  <si>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</si>
  <si>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</si>
  <si>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</si>
  <si>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</si>
  <si>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</si>
  <si>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</si>
  <si>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</si>
  <si>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</si>
  <si>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</si>
  <si>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</si>
  <si>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</si>
  <si>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</si>
  <si>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</si>
  <si>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</si>
  <si>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</si>
  <si>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</si>
  <si>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</si>
  <si>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</si>
  <si>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</si>
  <si>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</si>
  <si>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</si>
  <si>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</si>
  <si>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</si>
  <si>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</si>
  <si>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</si>
  <si>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</si>
  <si>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</si>
  <si>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</si>
  <si>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</si>
  <si>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</si>
  <si>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</si>
  <si>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</si>
  <si>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</si>
  <si>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</si>
  <si>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</si>
  <si>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</si>
  <si>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</si>
  <si>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</si>
  <si>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</si>
  <si>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</si>
  <si>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</si>
  <si>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</si>
  <si>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</si>
  <si>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</si>
  <si>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</si>
  <si>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</si>
  <si>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</si>
  <si>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</si>
  <si>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</si>
  <si>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</si>
  <si>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</si>
  <si>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</si>
  <si>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</si>
  <si>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</si>
  <si>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</si>
  <si>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</si>
  <si>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</si>
  <si>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</si>
  <si>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</si>
  <si>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</si>
  <si>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</si>
  <si>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</si>
  <si>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</si>
  <si>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</si>
  <si>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</si>
  <si>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</si>
  <si>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</si>
  <si>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</si>
  <si>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</si>
  <si>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</si>
  <si>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</si>
  <si>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</si>
  <si>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</si>
  <si>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</si>
  <si>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</si>
  <si>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</si>
  <si>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</si>
  <si>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</si>
  <si>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</si>
  <si>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</si>
  <si>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</si>
  <si>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</si>
  <si>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</si>
  <si>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</si>
  <si>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</si>
  <si>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</si>
  <si>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</si>
  <si>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</si>
  <si>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</si>
  <si>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</si>
  <si>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</si>
  <si>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</si>
  <si>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</si>
  <si>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</si>
  <si>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</si>
  <si>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</si>
  <si>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</si>
  <si>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</si>
  <si>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</si>
  <si>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</si>
  <si>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</si>
  <si>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</si>
  <si>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</si>
  <si>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</si>
  <si>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</si>
  <si>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</si>
  <si>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</si>
  <si>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</si>
  <si>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</si>
  <si>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</si>
  <si>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</si>
  <si>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</si>
  <si>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</si>
  <si>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</si>
  <si>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</si>
  <si>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</si>
  <si>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</si>
  <si>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</si>
  <si>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</si>
  <si>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</si>
  <si>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</si>
  <si>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</si>
  <si>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</si>
  <si>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</si>
  <si>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</si>
  <si>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</si>
  <si>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</si>
  <si>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</si>
  <si>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</si>
  <si>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</si>
  <si>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</si>
  <si>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</si>
  <si>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</si>
  <si>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</si>
  <si>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</si>
  <si>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</si>
  <si>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</si>
  <si>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</si>
  <si>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</si>
  <si>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</si>
  <si>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</si>
  <si>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</si>
  <si>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</si>
  <si>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</si>
  <si>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</si>
  <si>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</si>
  <si>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</si>
  <si>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</si>
  <si>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</si>
  <si>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</si>
  <si>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</si>
  <si>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</si>
  <si>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</si>
  <si>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</si>
  <si>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</si>
  <si>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</si>
  <si>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</si>
  <si>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</si>
  <si>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</si>
  <si>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</si>
  <si>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</si>
  <si>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</si>
  <si>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</si>
  <si>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</si>
  <si>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</si>
  <si>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</si>
  <si>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</si>
  <si>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</si>
  <si>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</si>
  <si>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</si>
  <si>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</si>
  <si>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</si>
  <si>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</si>
  <si>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</si>
  <si>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</si>
  <si>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</si>
  <si>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</si>
  <si>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</si>
  <si>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</si>
  <si>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</si>
  <si>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</si>
  <si>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</si>
  <si>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</si>
  <si>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</si>
  <si>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</si>
  <si>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</si>
  <si>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</si>
  <si>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</si>
  <si>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</si>
  <si>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</si>
  <si>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</si>
  <si>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</si>
  <si>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</si>
  <si>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</si>
  <si>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</si>
  <si>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</si>
  <si>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</si>
  <si>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</si>
  <si>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</si>
  <si>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</si>
  <si>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</si>
  <si>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</si>
  <si>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</si>
  <si>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</si>
  <si>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</si>
  <si>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</si>
  <si>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</si>
  <si>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</si>
  <si>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</si>
  <si>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</si>
  <si>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</si>
  <si>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</si>
  <si>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</si>
  <si>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</si>
  <si>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</si>
  <si>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</si>
  <si>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</si>
  <si>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</si>
  <si>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</si>
  <si>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</si>
  <si>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</si>
  <si>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</si>
  <si>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</si>
  <si>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</si>
  <si>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</si>
  <si>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</si>
  <si>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</si>
  <si>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</si>
  <si>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</si>
  <si>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</si>
  <si>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</si>
  <si>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</si>
  <si>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</si>
  <si>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</si>
  <si>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</si>
  <si>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</si>
  <si>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</si>
  <si>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</si>
  <si>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</si>
  <si>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</si>
  <si>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</si>
  <si>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</si>
  <si>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</si>
  <si>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</si>
  <si>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</si>
  <si>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</si>
  <si>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</si>
  <si>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</si>
  <si>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</si>
  <si>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</si>
  <si>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</si>
  <si>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</si>
  <si>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</si>
  <si>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</si>
  <si>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</si>
  <si>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</si>
  <si>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</si>
  <si>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</si>
  <si>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</si>
  <si>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</si>
  <si>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</si>
  <si>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</si>
  <si>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</si>
  <si>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</si>
  <si>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</si>
  <si>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</si>
  <si>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</si>
  <si>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</si>
  <si>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</si>
  <si>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</si>
  <si>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</si>
  <si>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</si>
  <si>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</si>
  <si>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</si>
  <si>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</si>
  <si>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</si>
  <si>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</si>
  <si>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</si>
  <si>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</si>
  <si>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</si>
  <si>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</si>
  <si>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</si>
  <si>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</si>
  <si>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</si>
  <si>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</si>
  <si>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</si>
  <si>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</si>
  <si>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</si>
  <si>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</si>
  <si>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</si>
  <si>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</si>
  <si>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</si>
  <si>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</si>
  <si>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</si>
  <si>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</si>
  <si>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</si>
  <si>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</si>
  <si>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</si>
  <si>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</si>
  <si>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</si>
  <si>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</si>
  <si>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</si>
  <si>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</si>
  <si>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</si>
  <si>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</si>
  <si>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</si>
  <si>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</si>
  <si>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</si>
  <si>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</si>
  <si>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</si>
  <si>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</si>
  <si>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</si>
  <si>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</si>
  <si>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</si>
  <si>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</si>
  <si>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</si>
  <si>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</si>
  <si>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</si>
  <si>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</si>
  <si>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</si>
  <si>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</si>
  <si>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</si>
  <si>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</si>
  <si>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</si>
  <si>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</si>
  <si>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</si>
  <si>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</si>
  <si>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</si>
  <si>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</si>
  <si>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</si>
  <si>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</si>
  <si>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</si>
  <si>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</si>
  <si>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</si>
  <si>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</si>
  <si>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</si>
  <si>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</si>
  <si>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</si>
  <si>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</si>
  <si>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</si>
  <si>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</si>
  <si>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</si>
  <si>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</si>
  <si>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</si>
  <si>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</si>
  <si>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</si>
  <si>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</si>
  <si>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</si>
  <si>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</si>
  <si>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</si>
  <si>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</si>
  <si>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</si>
  <si>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</si>
  <si>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</si>
  <si>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</si>
  <si>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</si>
  <si>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</si>
  <si>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</si>
  <si>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</si>
  <si>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</si>
  <si>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</si>
  <si>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</si>
  <si>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</si>
  <si>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</si>
  <si>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</si>
  <si>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</si>
  <si>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</si>
  <si>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</si>
  <si>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</si>
  <si>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</si>
  <si>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</si>
  <si>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</si>
  <si>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</si>
  <si>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</si>
  <si>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</si>
  <si>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</si>
  <si>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</si>
  <si>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</si>
  <si>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</si>
  <si>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</si>
  <si>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</si>
  <si>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</si>
  <si>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</si>
  <si>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</si>
  <si>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</si>
  <si>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</si>
  <si>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</si>
  <si>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</si>
  <si>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</si>
  <si>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</si>
  <si>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</si>
  <si>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</si>
  <si>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</si>
  <si>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</si>
  <si>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</si>
  <si>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</si>
  <si>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</si>
  <si>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</si>
  <si>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</si>
  <si>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</si>
  <si>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</si>
  <si>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</si>
  <si>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</si>
  <si>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</si>
  <si>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</si>
  <si>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</si>
  <si>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</si>
  <si>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</si>
  <si>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</si>
  <si>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</si>
  <si>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</si>
  <si>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</si>
  <si>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</si>
  <si>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</si>
  <si>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</si>
  <si>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</si>
  <si>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</si>
  <si>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</si>
  <si>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</si>
  <si>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</si>
  <si>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</si>
  <si>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</si>
  <si>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</si>
  <si>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</si>
  <si>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</si>
  <si>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</si>
  <si>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</si>
  <si>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</si>
  <si>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</si>
  <si>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</si>
  <si>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</si>
  <si>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</si>
  <si>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</si>
  <si>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</si>
  <si>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</si>
  <si>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</si>
  <si>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</si>
  <si>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</si>
  <si>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</si>
  <si>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</si>
  <si>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</si>
  <si>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</si>
  <si>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</si>
  <si>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</si>
  <si>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</si>
  <si>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</si>
  <si>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</si>
  <si>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</si>
  <si>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</si>
  <si>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</si>
  <si>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</si>
  <si>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</si>
  <si>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</si>
  <si>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</si>
  <si>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</si>
  <si>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</si>
  <si>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</si>
  <si>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</si>
  <si>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</si>
  <si>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</si>
  <si>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</si>
  <si>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</si>
  <si>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</si>
  <si>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</si>
  <si>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</si>
  <si>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</si>
  <si>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</si>
  <si>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</si>
  <si>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</si>
  <si>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</si>
  <si>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</si>
  <si>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</si>
  <si>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</si>
  <si>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</si>
  <si>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</si>
  <si>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</si>
  <si>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</si>
  <si>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</si>
  <si>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</si>
  <si>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</si>
  <si>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</si>
  <si>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</si>
  <si>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</si>
  <si>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</si>
  <si>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</si>
  <si>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</si>
  <si>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</si>
  <si>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</si>
  <si>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</si>
  <si>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</si>
  <si>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</si>
  <si>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</si>
  <si>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</si>
  <si>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</si>
  <si>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</si>
  <si>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</si>
  <si>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</si>
  <si>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</si>
  <si>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</si>
  <si>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</si>
  <si>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</si>
  <si>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</si>
  <si>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</si>
  <si>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</si>
  <si>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</si>
  <si>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</si>
  <si>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</si>
  <si>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</si>
  <si>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</si>
  <si>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</si>
  <si>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</si>
  <si>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</si>
  <si>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</si>
  <si>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</si>
  <si>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</si>
  <si>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</si>
  <si>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</si>
  <si>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</si>
  <si>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</si>
  <si>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</si>
  <si>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</si>
  <si>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</si>
  <si>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</si>
  <si>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</si>
  <si>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</si>
  <si>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</si>
  <si>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</si>
  <si>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</si>
  <si>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</si>
  <si>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</si>
  <si>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</si>
  <si>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</si>
  <si>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</si>
  <si>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</si>
  <si>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</si>
  <si>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</si>
  <si>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</si>
  <si>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</si>
  <si>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</si>
  <si>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</si>
  <si>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</si>
  <si>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</si>
  <si>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</si>
  <si>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</si>
  <si>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</si>
  <si>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</si>
  <si>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</si>
  <si>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</si>
  <si>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</si>
  <si>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</si>
  <si>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</si>
  <si>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</si>
  <si>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</si>
  <si>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</si>
  <si>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</si>
  <si>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</si>
  <si>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</si>
  <si>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</si>
  <si>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</si>
  <si>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</si>
  <si>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</si>
  <si>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</si>
  <si>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</si>
  <si>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</si>
  <si>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</si>
  <si>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</si>
  <si>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</si>
  <si>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</si>
  <si>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</si>
  <si>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</si>
  <si>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</si>
  <si>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</si>
  <si>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</si>
  <si>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</si>
  <si>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</si>
  <si>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</si>
  <si>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</si>
  <si>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</si>
  <si>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</si>
  <si>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</si>
  <si>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</si>
  <si>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</si>
  <si>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</si>
  <si>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</si>
  <si>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</si>
  <si>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</si>
  <si>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</si>
  <si>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</si>
  <si>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</si>
  <si>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</si>
  <si>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</si>
  <si>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</si>
  <si>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</si>
  <si>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</si>
  <si>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</si>
  <si>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</si>
  <si>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</si>
  <si>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</si>
  <si>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</si>
  <si>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</si>
  <si>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</si>
  <si>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</si>
  <si>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</si>
  <si>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</si>
  <si>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</si>
  <si>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</si>
  <si>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</si>
  <si>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</si>
  <si>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</si>
  <si>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</si>
  <si>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</si>
  <si>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</si>
  <si>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</si>
  <si>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</si>
  <si>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</si>
  <si>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</si>
  <si>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</si>
  <si>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</si>
  <si>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</si>
  <si>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</si>
  <si>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</si>
  <si>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</si>
  <si>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</si>
  <si>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</si>
  <si>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</si>
  <si>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</si>
  <si>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</si>
  <si>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</si>
  <si>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</si>
  <si>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</si>
  <si>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</si>
  <si>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</si>
  <si>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</si>
  <si>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</si>
  <si>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</si>
  <si>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</si>
  <si>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</si>
  <si>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</si>
  <si>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</si>
  <si>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</si>
  <si>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</si>
  <si>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</si>
  <si>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</si>
  <si>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</si>
  <si>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</si>
  <si>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</si>
  <si>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</si>
  <si>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</si>
  <si>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</si>
  <si>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</si>
  <si>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</si>
  <si>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</si>
  <si>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</si>
  <si>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</si>
  <si>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</si>
  <si>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</si>
  <si>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</si>
  <si>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</si>
  <si>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</si>
  <si>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</si>
  <si>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</si>
  <si>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</si>
  <si>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</si>
  <si>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</si>
  <si>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</si>
  <si>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</si>
  <si>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</si>
  <si>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</si>
  <si>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</si>
  <si>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</si>
  <si>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</si>
  <si>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</si>
  <si>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</si>
  <si>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</si>
  <si>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</si>
  <si>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</si>
  <si>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</si>
  <si>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</si>
  <si>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</si>
  <si>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</si>
  <si>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</si>
  <si>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</si>
  <si>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</si>
  <si>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</si>
  <si>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</si>
  <si>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</si>
  <si>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</si>
  <si>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</si>
  <si>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</si>
  <si>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</si>
  <si>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</si>
  <si>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</si>
  <si>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</si>
  <si>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</si>
  <si>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</si>
  <si>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</si>
  <si>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</si>
  <si>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</si>
  <si>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</si>
  <si>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</si>
  <si>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</si>
  <si>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</si>
  <si>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</si>
  <si>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</si>
  <si>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</si>
  <si>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</si>
  <si>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</si>
  <si>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</si>
  <si>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</si>
  <si>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</si>
  <si>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</si>
  <si>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</si>
  <si>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</si>
  <si>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</si>
  <si>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</si>
  <si>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</si>
  <si>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</si>
  <si>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</si>
  <si>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</si>
  <si>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</si>
  <si>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</si>
  <si>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</si>
  <si>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</si>
  <si>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</si>
  <si>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</si>
  <si>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</si>
  <si>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</si>
  <si>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</si>
  <si>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</si>
  <si>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</si>
  <si>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</si>
  <si>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</si>
  <si>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</si>
  <si>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</si>
  <si>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</si>
  <si>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</si>
  <si>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</si>
  <si>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</si>
  <si>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</si>
  <si>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</si>
  <si>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</si>
  <si>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</si>
  <si>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</si>
  <si>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</si>
  <si>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</si>
  <si>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</si>
  <si>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</si>
  <si>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</si>
  <si>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</si>
  <si>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</si>
  <si>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</si>
  <si>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</si>
  <si>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</si>
  <si>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</si>
  <si>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</si>
  <si>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</si>
  <si>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</si>
  <si>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</si>
  <si>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</si>
  <si>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</si>
  <si>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</si>
  <si>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</si>
  <si>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</si>
  <si>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</si>
  <si>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</si>
  <si>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</si>
  <si>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</si>
  <si>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</si>
  <si>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</si>
  <si>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</si>
  <si>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</si>
  <si>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</si>
  <si>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</si>
  <si>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</si>
  <si>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</si>
  <si>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</si>
  <si>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</si>
  <si>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</si>
  <si>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</si>
  <si>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</si>
  <si>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</si>
  <si>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</si>
  <si>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</si>
  <si>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</si>
  <si>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</si>
  <si>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</si>
  <si>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</si>
  <si>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</si>
  <si>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</si>
  <si>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</si>
  <si>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</si>
  <si>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</si>
  <si>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</si>
  <si>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</si>
  <si>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</si>
  <si>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</si>
  <si>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</si>
  <si>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</si>
  <si>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</si>
  <si>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</si>
  <si>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</si>
  <si>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</si>
  <si>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</si>
  <si>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</si>
  <si>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</si>
  <si>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</si>
  <si>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</si>
  <si>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</si>
  <si>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</si>
  <si>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</si>
  <si>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</si>
  <si>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</si>
  <si>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</si>
  <si>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</si>
  <si>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</si>
  <si>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</si>
  <si>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</si>
  <si>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</si>
  <si>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</si>
  <si>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</si>
  <si>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</si>
  <si>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</si>
  <si>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</si>
  <si>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</si>
  <si>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</si>
  <si>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</si>
  <si>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</si>
  <si>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</si>
  <si>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</si>
  <si>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</si>
  <si>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</si>
  <si>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</si>
  <si>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</si>
  <si>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</si>
  <si>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</si>
  <si>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</si>
  <si>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</si>
  <si>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</si>
  <si>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</si>
  <si>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</si>
  <si>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</si>
  <si>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</si>
  <si>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</si>
  <si>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</si>
  <si>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</si>
  <si>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</si>
  <si>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</si>
  <si>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</si>
  <si>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</si>
  <si>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</si>
  <si>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</si>
  <si>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</si>
  <si>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</si>
  <si>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</si>
  <si>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</si>
  <si>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</si>
  <si>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</si>
  <si>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</si>
  <si>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</si>
  <si>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</si>
  <si>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</si>
  <si>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</si>
  <si>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</si>
  <si>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</si>
  <si>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</si>
  <si>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</si>
  <si>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</si>
  <si>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</si>
  <si>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</si>
  <si>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</si>
  <si>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</si>
  <si>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</si>
  <si>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</si>
  <si>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</si>
  <si>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</si>
  <si>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</si>
  <si>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</si>
  <si>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</si>
  <si>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</si>
  <si>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</si>
  <si>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</si>
  <si>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</si>
  <si>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</si>
  <si>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</si>
  <si>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</si>
  <si>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</si>
  <si>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</si>
  <si>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</si>
  <si>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</si>
  <si>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</si>
  <si>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</si>
  <si>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</si>
  <si>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</si>
  <si>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</si>
  <si>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</si>
  <si>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</si>
  <si>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</si>
  <si>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</si>
  <si>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</si>
  <si>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</si>
  <si>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</si>
  <si>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</si>
  <si>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</si>
  <si>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</si>
  <si>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</si>
  <si>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</si>
  <si>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</si>
  <si>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</si>
  <si>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</si>
  <si>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</si>
  <si>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</si>
  <si>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</si>
  <si>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</si>
  <si>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</si>
  <si>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</si>
  <si>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</si>
  <si>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</si>
  <si>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</si>
  <si>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</si>
  <si>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</si>
  <si>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</si>
  <si>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</si>
  <si>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</si>
  <si>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</si>
  <si>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</si>
  <si>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</si>
  <si>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</si>
  <si>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</si>
  <si>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</si>
  <si>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</si>
  <si>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</si>
  <si>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</si>
  <si>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</si>
  <si>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</si>
  <si>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</si>
  <si>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</si>
  <si>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</si>
  <si>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</si>
  <si>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</si>
  <si>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</si>
  <si>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</si>
  <si>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</si>
  <si>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</si>
  <si>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</si>
  <si>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</si>
  <si>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</si>
  <si>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</si>
  <si>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</si>
  <si>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</si>
  <si>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</si>
  <si>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</si>
  <si>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</si>
  <si>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</si>
  <si>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</si>
  <si>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</si>
  <si>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</si>
  <si>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</si>
  <si>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</si>
  <si>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</si>
  <si>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</si>
  <si>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</si>
  <si>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</si>
  <si>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</si>
  <si>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</si>
  <si>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</si>
  <si>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</si>
  <si>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</si>
  <si>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</si>
  <si>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</si>
  <si>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</si>
  <si>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</si>
  <si>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</si>
  <si>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</si>
  <si>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</si>
  <si>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</si>
  <si>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</si>
  <si>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</si>
  <si>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</si>
  <si>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</si>
  <si>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</si>
  <si>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</si>
  <si>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</si>
  <si>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</si>
  <si>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</si>
  <si>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</si>
  <si>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</si>
  <si>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</si>
  <si>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</si>
  <si>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</si>
  <si>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</si>
  <si>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</si>
  <si>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</si>
  <si>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</si>
  <si>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</si>
  <si>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</si>
  <si>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</si>
  <si>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</si>
  <si>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</si>
  <si>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</si>
  <si>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</si>
  <si>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</si>
  <si>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</si>
  <si>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</si>
  <si>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</si>
  <si>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</si>
  <si>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</si>
  <si>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</si>
  <si>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</si>
  <si>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</si>
  <si>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</si>
  <si>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</si>
  <si>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</si>
  <si>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</si>
  <si>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</si>
  <si>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</si>
  <si>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</si>
  <si>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</si>
  <si>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</si>
  <si>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</si>
  <si>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</si>
  <si>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</si>
  <si>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</si>
  <si>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</si>
  <si>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</si>
  <si>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</si>
  <si>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</si>
  <si>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</si>
  <si>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</si>
  <si>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</si>
  <si>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</si>
  <si>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</si>
  <si>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</si>
  <si>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</si>
  <si>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</si>
  <si>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</si>
  <si>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</si>
  <si>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</si>
  <si>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</si>
  <si>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</si>
  <si>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</si>
  <si>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</si>
  <si>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</si>
  <si>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</si>
  <si>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</si>
  <si>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</si>
  <si>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</si>
  <si>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</si>
  <si>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</si>
  <si>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</si>
  <si>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</si>
  <si>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</si>
  <si>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</si>
  <si>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</si>
  <si>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</si>
  <si>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</si>
  <si>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</si>
  <si>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</si>
  <si>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</si>
  <si>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</si>
  <si>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</si>
  <si>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</si>
  <si>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</si>
  <si>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</si>
  <si>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</si>
  <si>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</si>
  <si>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</si>
  <si>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</si>
  <si>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</si>
  <si>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</si>
  <si>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</si>
  <si>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</si>
  <si>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</si>
  <si>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</si>
  <si>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</si>
  <si>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</si>
  <si>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</si>
  <si>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</si>
  <si>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</si>
  <si>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</si>
  <si>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</si>
  <si>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</si>
  <si>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</si>
  <si>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</si>
  <si>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</si>
  <si>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</si>
  <si>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</si>
  <si>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</si>
  <si>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</si>
  <si>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</si>
  <si>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</si>
  <si>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</si>
  <si>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</si>
  <si>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</si>
  <si>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</si>
  <si>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</si>
  <si>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</si>
  <si>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</si>
  <si>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</si>
  <si>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</si>
  <si>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</si>
  <si>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</si>
  <si>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</si>
  <si>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</si>
  <si>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</si>
  <si>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</si>
  <si>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</si>
  <si>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</si>
  <si>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</si>
  <si>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</si>
  <si>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</si>
  <si>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</si>
  <si>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</si>
  <si>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</si>
  <si>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</si>
  <si>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</si>
  <si>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</si>
  <si>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</si>
  <si>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</si>
  <si>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</si>
  <si>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</si>
  <si>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</si>
  <si>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</si>
  <si>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</si>
  <si>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</si>
  <si>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</si>
  <si>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</si>
  <si>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</si>
  <si>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</si>
  <si>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</si>
  <si>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</si>
  <si>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</si>
  <si>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</si>
  <si>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</si>
  <si>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</si>
  <si>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</si>
  <si>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</si>
  <si>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</si>
  <si>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</si>
  <si>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</si>
  <si>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</si>
  <si>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</si>
  <si>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</si>
  <si>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</si>
  <si>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</si>
  <si>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</si>
  <si>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</si>
  <si>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</si>
  <si>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</si>
  <si>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</si>
  <si>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</si>
  <si>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</si>
  <si>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</si>
  <si>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</si>
  <si>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</si>
  <si>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</si>
  <si>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</si>
  <si>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</si>
  <si>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</si>
  <si>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</si>
  <si>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</si>
  <si>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</si>
  <si>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</si>
  <si>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</si>
  <si>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</si>
  <si>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</si>
  <si>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</si>
  <si>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</si>
  <si>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</si>
  <si>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</si>
  <si>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</si>
  <si>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</si>
  <si>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</si>
  <si>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</si>
  <si>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</si>
  <si>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</si>
  <si>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</si>
  <si>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</si>
  <si>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</si>
  <si>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</si>
  <si>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</si>
  <si>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</si>
  <si>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</si>
  <si>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</si>
  <si>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</si>
  <si>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</si>
  <si>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</si>
  <si>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</si>
  <si>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</si>
  <si>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</si>
  <si>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</si>
  <si>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</si>
  <si>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</si>
  <si>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</si>
  <si>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</si>
  <si>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</si>
  <si>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</si>
  <si>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</si>
  <si>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</si>
  <si>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</si>
  <si>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</si>
  <si>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</si>
  <si>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</si>
  <si>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</si>
  <si>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</si>
  <si>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</si>
  <si>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</si>
  <si>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</si>
  <si>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</si>
  <si>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</si>
  <si>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</si>
  <si>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</si>
  <si>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</si>
  <si>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</si>
  <si>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</si>
  <si>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</si>
  <si>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</si>
  <si>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</si>
  <si>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</si>
  <si>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</si>
  <si>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</si>
  <si>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</si>
  <si>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</si>
  <si>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</si>
  <si>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</si>
  <si>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</si>
  <si>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</si>
  <si>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</si>
  <si>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</si>
  <si>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</si>
  <si>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</si>
  <si>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</si>
  <si>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</si>
  <si>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</si>
  <si>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</si>
  <si>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</si>
  <si>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</si>
  <si>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</si>
  <si>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</si>
  <si>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</si>
  <si>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</si>
  <si>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</si>
  <si>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</si>
  <si>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</si>
  <si>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</si>
  <si>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</si>
  <si>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</si>
  <si>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</si>
  <si>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</si>
  <si>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</si>
  <si>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</si>
  <si>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</si>
  <si>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</si>
  <si>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</si>
  <si>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</si>
  <si>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</si>
  <si>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</si>
  <si>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</si>
  <si>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</si>
  <si>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</si>
  <si>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</si>
  <si>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</si>
  <si>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</si>
  <si>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</si>
  <si>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</si>
  <si>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</si>
  <si>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</si>
  <si>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</si>
  <si>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</si>
  <si>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</si>
  <si>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</si>
  <si>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</si>
  <si>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</si>
  <si>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</si>
  <si>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</si>
  <si>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</si>
  <si>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</si>
  <si>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</si>
  <si>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</si>
  <si>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</si>
  <si>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</si>
  <si>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</si>
  <si>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</si>
  <si>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</si>
  <si>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</si>
  <si>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</si>
  <si>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</si>
  <si>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</si>
  <si>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</si>
  <si>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</si>
  <si>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</si>
  <si>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</si>
  <si>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</si>
  <si>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</si>
  <si>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</si>
  <si>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</si>
  <si>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</si>
  <si>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</si>
  <si>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</si>
  <si>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</si>
  <si>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</si>
  <si>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</si>
  <si>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</si>
  <si>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</si>
  <si>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</si>
  <si>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</si>
  <si>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</si>
  <si>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</si>
  <si>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</si>
  <si>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</si>
  <si>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</si>
  <si>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</si>
  <si>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</si>
  <si>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</si>
  <si>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</si>
  <si>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</si>
  <si>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</si>
  <si>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</si>
  <si>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</si>
  <si>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</si>
  <si>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</si>
  <si>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</si>
  <si>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</si>
  <si>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</si>
  <si>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</si>
  <si>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</si>
  <si>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</si>
  <si>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</si>
  <si>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</si>
  <si>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</si>
  <si>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</si>
  <si>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</si>
  <si>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</si>
  <si>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</si>
  <si>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</si>
  <si>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</si>
  <si>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</si>
  <si>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</si>
  <si>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</si>
  <si>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</si>
  <si>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</si>
  <si>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</si>
  <si>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</si>
  <si>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</si>
  <si>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</si>
  <si>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</si>
  <si>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</si>
  <si>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</si>
  <si>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</si>
  <si>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</si>
  <si>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</si>
  <si>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</si>
  <si>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</si>
  <si>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</si>
  <si>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</si>
  <si>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</si>
  <si>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</si>
  <si>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</si>
  <si>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</si>
  <si>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</si>
  <si>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</si>
  <si>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</si>
  <si>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</si>
  <si>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</si>
  <si>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</si>
  <si>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</si>
  <si>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</si>
  <si>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</si>
  <si>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</si>
  <si>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</si>
  <si>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</si>
  <si>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</si>
  <si>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</si>
  <si>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</si>
  <si>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</si>
  <si>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</si>
  <si>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</si>
  <si>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</si>
  <si>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</si>
  <si>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</si>
  <si>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</si>
  <si>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</si>
  <si>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</si>
  <si>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</si>
  <si>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</si>
  <si>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</si>
  <si>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</si>
  <si>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</si>
  <si>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</si>
  <si>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</si>
  <si>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</si>
  <si>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</si>
  <si>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</si>
  <si>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</si>
  <si>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</si>
  <si>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</si>
  <si>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</si>
  <si>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</si>
  <si>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</si>
  <si>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</si>
  <si>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</si>
  <si>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</si>
  <si>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</si>
  <si>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</si>
  <si>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</si>
  <si>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</si>
  <si>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</si>
  <si>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</si>
  <si>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</si>
  <si>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</si>
  <si>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</si>
  <si>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</si>
  <si>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</si>
  <si>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</si>
  <si>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</si>
  <si>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</si>
  <si>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</si>
  <si>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</si>
  <si>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</si>
  <si>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</si>
  <si>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</si>
  <si>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</si>
  <si>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</si>
  <si>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</si>
  <si>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</si>
  <si>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</si>
  <si>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</si>
  <si>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</si>
  <si>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</si>
  <si>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</si>
  <si>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</si>
  <si>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</si>
  <si>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</si>
  <si>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</si>
  <si>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</si>
  <si>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</si>
  <si>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</si>
  <si>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</si>
  <si>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</si>
  <si>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</si>
  <si>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</si>
  <si>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</si>
  <si>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</si>
  <si>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</si>
  <si>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</si>
  <si>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</si>
  <si>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</si>
  <si>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</si>
  <si>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</si>
  <si>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</si>
  <si>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</si>
  <si>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</si>
  <si>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</si>
  <si>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</si>
  <si>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</si>
  <si>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</si>
  <si>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</si>
  <si>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</si>
  <si>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</si>
  <si>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</si>
  <si>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</si>
  <si>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</si>
  <si>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</si>
  <si>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</si>
  <si>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</si>
  <si>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</si>
  <si>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</si>
  <si>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</si>
  <si>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</si>
  <si>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</si>
  <si>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</si>
  <si>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</si>
  <si>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</si>
  <si>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</si>
  <si>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</si>
  <si>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</si>
  <si>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</si>
  <si>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</si>
  <si>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</si>
  <si>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</si>
  <si>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</si>
  <si>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</si>
  <si>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</si>
  <si>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</si>
  <si>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</si>
  <si>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</si>
  <si>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</si>
  <si>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</si>
  <si>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</si>
  <si>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</si>
  <si>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</si>
  <si>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</si>
  <si>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</si>
  <si>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</si>
  <si>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</si>
  <si>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</si>
  <si>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</si>
  <si>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</si>
  <si>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</si>
  <si>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</si>
  <si>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</si>
  <si>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</si>
  <si>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</si>
  <si>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</si>
  <si>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</si>
  <si>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</si>
  <si>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</si>
  <si>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</si>
  <si>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</si>
  <si>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</si>
  <si>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</si>
  <si>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</si>
  <si>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</si>
  <si>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</si>
  <si>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</si>
  <si>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</si>
  <si>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</si>
  <si>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</si>
  <si>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</si>
  <si>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</si>
  <si>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</si>
  <si>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</si>
  <si>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</si>
  <si>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</si>
  <si>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</si>
  <si>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</si>
  <si>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</si>
  <si>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</si>
  <si>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</si>
  <si>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</si>
  <si>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</si>
  <si>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</si>
  <si>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</si>
  <si>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</si>
  <si>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</si>
  <si>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</si>
  <si>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</si>
  <si>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</si>
  <si>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</si>
  <si>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</si>
  <si>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</si>
  <si>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</si>
  <si>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</si>
  <si>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</si>
  <si>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</si>
  <si>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</si>
  <si>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</si>
  <si>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</si>
  <si>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</si>
  <si>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</si>
  <si>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</si>
  <si>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</si>
  <si>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</si>
  <si>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</si>
  <si>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</si>
  <si>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</si>
  <si>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</si>
  <si>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</si>
  <si>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</si>
  <si>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</si>
  <si>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</si>
  <si>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</si>
  <si>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</si>
  <si>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</si>
  <si>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</si>
  <si>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</si>
  <si>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</si>
  <si>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</si>
  <si>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</si>
  <si>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</si>
  <si>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</si>
  <si>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</si>
  <si>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</si>
  <si>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</si>
  <si>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</si>
  <si>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</si>
  <si>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</si>
  <si>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</si>
  <si>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</si>
  <si>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</si>
  <si>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</si>
  <si>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</si>
  <si>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</si>
  <si>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</si>
  <si>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</si>
  <si>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</si>
  <si>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</si>
  <si>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</si>
  <si>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</si>
  <si>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</si>
  <si>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</si>
  <si>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</si>
  <si>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</si>
  <si>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</si>
  <si>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</si>
  <si>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</si>
  <si>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</si>
  <si>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</si>
  <si>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</si>
  <si>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</si>
  <si>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</si>
  <si>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</si>
  <si>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</si>
  <si>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</si>
  <si>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</si>
  <si>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</si>
  <si>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</si>
  <si>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</si>
  <si>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</si>
  <si>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</si>
  <si>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</si>
  <si>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</si>
  <si>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</si>
  <si>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</si>
  <si>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</si>
  <si>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</si>
  <si>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</si>
  <si>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</si>
  <si>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</si>
  <si>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</si>
  <si>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</si>
  <si>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</si>
  <si>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</si>
  <si>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</si>
  <si>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</si>
  <si>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</si>
  <si>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</si>
  <si>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</si>
  <si>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</si>
  <si>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</si>
  <si>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</si>
  <si>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</si>
  <si>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</si>
  <si>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</si>
  <si>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</si>
  <si>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</si>
  <si>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</si>
  <si>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</si>
  <si>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</si>
  <si>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</si>
  <si>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</si>
  <si>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</si>
  <si>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</si>
  <si>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</si>
  <si>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</si>
  <si>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</si>
  <si>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</si>
  <si>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</si>
  <si>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</si>
  <si>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</si>
  <si>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</si>
  <si>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</si>
  <si>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</si>
  <si>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</si>
  <si>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</si>
  <si>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</si>
  <si>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</si>
  <si>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</si>
  <si>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</si>
  <si>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</si>
  <si>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</si>
  <si>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</si>
  <si>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</si>
  <si>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</si>
  <si>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</si>
  <si>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</si>
  <si>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</si>
  <si>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</si>
  <si>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</si>
  <si>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</si>
  <si>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</si>
  <si>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</si>
  <si>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</si>
  <si>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</si>
  <si>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</si>
  <si>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</si>
  <si>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</si>
  <si>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</si>
  <si>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</si>
  <si>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</si>
  <si>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</si>
  <si>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</si>
  <si>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</si>
  <si>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</si>
  <si>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</si>
  <si>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</si>
  <si>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</si>
  <si>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</si>
  <si>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</si>
  <si>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</si>
  <si>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</si>
  <si>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</si>
  <si>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</si>
  <si>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</si>
  <si>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</si>
  <si>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</si>
  <si>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</si>
  <si>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</si>
  <si>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</si>
  <si>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</si>
  <si>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</si>
  <si>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</si>
  <si>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</si>
  <si>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</si>
  <si>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</si>
  <si>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</si>
  <si>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</si>
  <si>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</si>
  <si>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</si>
  <si>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</si>
  <si>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</si>
  <si>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</si>
  <si>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</si>
  <si>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</si>
  <si>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</si>
  <si>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</si>
  <si>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</si>
  <si>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</si>
  <si>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</si>
  <si>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</si>
  <si>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</si>
  <si>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</si>
  <si>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</si>
  <si>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</si>
  <si>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</si>
  <si>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</si>
  <si>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</si>
  <si>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</si>
  <si>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</si>
  <si>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</si>
  <si>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</si>
  <si>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</si>
  <si>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</si>
  <si>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</si>
  <si>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</si>
  <si>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</si>
  <si>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</si>
  <si>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</si>
  <si>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</si>
  <si>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</si>
  <si>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</si>
  <si>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</si>
  <si>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</si>
  <si>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</si>
  <si>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</si>
  <si>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</si>
  <si>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</si>
  <si>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</si>
  <si>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</si>
  <si>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</si>
  <si>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</si>
  <si>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</si>
  <si>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</si>
  <si>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</si>
  <si>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</si>
  <si>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</si>
  <si>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</si>
  <si>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</si>
  <si>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</si>
  <si>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</si>
  <si>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</si>
  <si>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</si>
  <si>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</si>
  <si>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</si>
  <si>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</si>
  <si>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</si>
  <si>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</si>
  <si>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</si>
  <si>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</si>
  <si>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</si>
  <si>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</si>
  <si>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</si>
  <si>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</si>
  <si>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</si>
  <si>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</si>
  <si>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</si>
  <si>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</si>
  <si>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</si>
  <si>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</si>
  <si>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</si>
  <si>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</si>
  <si>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</si>
  <si>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</si>
  <si>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</si>
  <si>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</si>
  <si>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</si>
  <si>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</si>
  <si>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</si>
  <si>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</si>
  <si>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</si>
  <si>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</si>
  <si>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</si>
  <si>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</si>
  <si>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</si>
  <si>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</si>
  <si>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</si>
  <si>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</si>
  <si>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</si>
  <si>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</si>
  <si>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</si>
  <si>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</si>
  <si>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</si>
  <si>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</si>
  <si>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</si>
  <si>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</si>
  <si>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</si>
  <si>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</si>
  <si>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</si>
  <si>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</si>
  <si>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</si>
  <si>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</si>
  <si>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</si>
  <si>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</si>
  <si>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</si>
  <si>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</si>
  <si>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</si>
  <si>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</si>
  <si>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</si>
  <si>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</si>
  <si>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</si>
  <si>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</si>
  <si>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</si>
  <si>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</si>
  <si>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</si>
  <si>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</si>
  <si>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</si>
  <si>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</si>
  <si>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Berryessa TOD</t>
  </si>
  <si>
    <t>Compass for Affordable Housing</t>
  </si>
  <si>
    <t>City of San Jose</t>
  </si>
  <si>
    <t>Erik Solivan</t>
  </si>
  <si>
    <t>Housing Director</t>
  </si>
  <si>
    <t>(669) 314-3611</t>
  </si>
  <si>
    <t>(408) 292-6203</t>
  </si>
  <si>
    <t>erik.solivan@sanjoseca.gov</t>
  </si>
  <si>
    <t>200 E Santa Clara Street, 12th Floor</t>
  </si>
  <si>
    <t>San Jose</t>
  </si>
  <si>
    <t>1565 Mabury Road</t>
  </si>
  <si>
    <t>N/A address established</t>
  </si>
  <si>
    <t>254-17-113</t>
  </si>
  <si>
    <t>40%/60%</t>
  </si>
  <si>
    <t>13520 Evening Creek Drive N, Suite 560</t>
  </si>
  <si>
    <t>CA</t>
  </si>
  <si>
    <t>858.386.4211</t>
  </si>
  <si>
    <t>Robin Martinez</t>
  </si>
  <si>
    <t>robin@compassfah.org</t>
  </si>
  <si>
    <t>Administrative GP</t>
  </si>
  <si>
    <t>Affirmed Housing Group, Inc.</t>
  </si>
  <si>
    <t>13520 Evening Creek Drive N, Suite 160</t>
  </si>
  <si>
    <t>James P. Silverwood</t>
  </si>
  <si>
    <t>858.386.5178</t>
  </si>
  <si>
    <t>858.679.9076</t>
  </si>
  <si>
    <t>AHG Berryessa, LLC</t>
  </si>
  <si>
    <t>James@affirmedhousing.com</t>
  </si>
  <si>
    <t>CFAH Housing, LLC</t>
  </si>
  <si>
    <t>Managing GP</t>
  </si>
  <si>
    <t>Jacob Billitteri</t>
  </si>
  <si>
    <t>312.550.6381</t>
  </si>
  <si>
    <t>Jake@affirmedhousing.com</t>
  </si>
  <si>
    <t>Developer</t>
  </si>
  <si>
    <t>We understand that some of the 49 homeless units will include</t>
  </si>
  <si>
    <t>individuals with disabilities as some County level financing may be</t>
  </si>
  <si>
    <t>provided through the NPLH program.</t>
  </si>
  <si>
    <t>Katten Muchin Rosenman LLP</t>
  </si>
  <si>
    <t>San Diego, CA, 92128</t>
  </si>
  <si>
    <t>Dahlin Group, Inc.</t>
  </si>
  <si>
    <t>5685 Owens Drive</t>
  </si>
  <si>
    <t>Pleasanton, CA, 94588</t>
  </si>
  <si>
    <t>925.251.7200</t>
  </si>
  <si>
    <t>Sean M. Whitacre</t>
  </si>
  <si>
    <t>sean.whitacre@dahlingroup.com</t>
  </si>
  <si>
    <t>2029 Century Park East, Suite 2600</t>
  </si>
  <si>
    <t>Los Angeles, CA, 90067</t>
  </si>
  <si>
    <t>312.902.5284</t>
  </si>
  <si>
    <t>David Cohen</t>
  </si>
  <si>
    <t>david.cohen@kattenlaw.com</t>
  </si>
  <si>
    <t>312.902.1061</t>
  </si>
  <si>
    <t>TBD</t>
  </si>
  <si>
    <t>Novogradac &amp; Company, LLP</t>
  </si>
  <si>
    <t>Sun-Ae Woo</t>
  </si>
  <si>
    <t>925.949.4223</t>
  </si>
  <si>
    <t>sun-ae.woo@novoco.com</t>
  </si>
  <si>
    <t>Bright Green Strategies</t>
  </si>
  <si>
    <t>Steve Davis</t>
  </si>
  <si>
    <t>831.454.9956</t>
  </si>
  <si>
    <t>Steve@brightgreenstrategies.com</t>
  </si>
  <si>
    <t>820 Delaware Street</t>
  </si>
  <si>
    <t>Berkeley, CA, 94710</t>
  </si>
  <si>
    <t>WNC</t>
  </si>
  <si>
    <t>Integra Realty Resources</t>
  </si>
  <si>
    <t>555 Meridian Avenue, STE. C</t>
  </si>
  <si>
    <t>San Jose, CA, 95126</t>
  </si>
  <si>
    <t>Jeffrey Fillmore</t>
  </si>
  <si>
    <t>408.299.0444</t>
  </si>
  <si>
    <t>jfillmore@irr.com</t>
  </si>
  <si>
    <t>Raney Planning &amp; Management, Inc.</t>
  </si>
  <si>
    <t>1501 Sports Drive, STE. A</t>
  </si>
  <si>
    <t>Sacremento, CA 95834</t>
  </si>
  <si>
    <t>Stefanie Williams</t>
  </si>
  <si>
    <t>916.372.6100</t>
  </si>
  <si>
    <t>916.419.6108</t>
  </si>
  <si>
    <t>swilliams@laurinassociates.com</t>
  </si>
  <si>
    <t>Solari Enterprises, Inc.</t>
  </si>
  <si>
    <t>San Jose, CA</t>
  </si>
  <si>
    <t>Shelsy Bass</t>
  </si>
  <si>
    <t>200 E. Santa Clara Street, 12th Floor</t>
  </si>
  <si>
    <t>408.975.3797</t>
  </si>
  <si>
    <t>shelsy.bass@sanjoseca.gov</t>
  </si>
  <si>
    <t>1507 W Yale Avenue</t>
  </si>
  <si>
    <t>Orange, CA, 92867</t>
  </si>
  <si>
    <t>Gianna Richards</t>
  </si>
  <si>
    <t>714.282.2520</t>
  </si>
  <si>
    <t>Gianna@solari-ent.com</t>
  </si>
  <si>
    <t>Santa Clara Valley Transportation Authority</t>
  </si>
  <si>
    <t>Carolyn M. Gonot</t>
  </si>
  <si>
    <t>Ed Moran</t>
  </si>
  <si>
    <t>General Manager/CEO</t>
  </si>
  <si>
    <t>Senior Assistant Counsel</t>
  </si>
  <si>
    <t>3331 North First Street, Building A, San Jose, CA, 95113</t>
  </si>
  <si>
    <t>669.588.1738</t>
  </si>
  <si>
    <t>Secured by Leasehold Interest</t>
  </si>
  <si>
    <t>Berryessa Affordable Housing, LP</t>
  </si>
  <si>
    <t>Inner City Infill Site</t>
  </si>
  <si>
    <t>Urban Village</t>
  </si>
  <si>
    <t>Berryessa BART Urban Village (300 du/acre)</t>
  </si>
  <si>
    <t>270' Max (building is 121')</t>
  </si>
  <si>
    <t>48 (8 in structure)</t>
  </si>
  <si>
    <t>AHSC</t>
  </si>
  <si>
    <t>City of San Jose/County of Santa Clara/Santa Clara County Housing Authority</t>
  </si>
  <si>
    <t>Project-based vouchers (PBVs)</t>
  </si>
  <si>
    <t>Santa Clara County Housing Authority</t>
  </si>
  <si>
    <t>County of Santa Clara</t>
  </si>
  <si>
    <t>Citibank</t>
  </si>
  <si>
    <t>Costs Deferred to Conversion</t>
  </si>
  <si>
    <t>San Francisco Housing Accelerator Fund</t>
  </si>
  <si>
    <t>Variable</t>
  </si>
  <si>
    <t>Fixed</t>
  </si>
  <si>
    <t>HCD - AHSC</t>
  </si>
  <si>
    <t>Credit Checks, Late Fees, Etc.</t>
  </si>
  <si>
    <t>Onsite/Offsite Office Expenses</t>
  </si>
  <si>
    <t>Payroll Tax/Admin</t>
  </si>
  <si>
    <t>Cleaning Supplies</t>
  </si>
  <si>
    <t>Fire Monitoring</t>
  </si>
  <si>
    <t>Other: Solar</t>
  </si>
  <si>
    <t>Other: Bank Construction Inspections</t>
  </si>
  <si>
    <t>Other: Agency Standby and Bond Underwriting</t>
  </si>
  <si>
    <t>Other: Lease Up Costs</t>
  </si>
  <si>
    <t>Other: Property Management Start Up Fees</t>
  </si>
  <si>
    <t>AHG Berryessa, LLC; Managed By Affirmed Housing Group, Inc.</t>
  </si>
  <si>
    <t xml:space="preserve">County of Santa Clara </t>
  </si>
  <si>
    <t>1 bedroom</t>
  </si>
  <si>
    <t>2 bedroom</t>
  </si>
  <si>
    <t>3 bedroom</t>
  </si>
  <si>
    <t>County of Santa Clara/City of San Jose</t>
  </si>
  <si>
    <t>564 Market Street, Suite 225</t>
  </si>
  <si>
    <t>San Francisco, CA</t>
  </si>
  <si>
    <t>Jan Lindenthal-Cox</t>
  </si>
  <si>
    <t>150 W Tasman Drive</t>
  </si>
  <si>
    <t>Adonis Bill</t>
  </si>
  <si>
    <t>200 E. Santa Clara Street - 12th Floor</t>
  </si>
  <si>
    <t>Lucy Ma</t>
  </si>
  <si>
    <t>669.309.4212</t>
  </si>
  <si>
    <t>650.465.9864</t>
  </si>
  <si>
    <t>408.278.6467</t>
  </si>
  <si>
    <t>Donna Walker</t>
  </si>
  <si>
    <t>916.620.2846</t>
  </si>
  <si>
    <t>651 Bannon Street - 8th Floor</t>
  </si>
  <si>
    <t>Sacramento, CA</t>
  </si>
  <si>
    <t>City, County, HCD, HAF RR Payment</t>
  </si>
  <si>
    <t>16601 Ventura Boulevard, STE. 200</t>
  </si>
  <si>
    <t>Encino, CA</t>
  </si>
  <si>
    <t>Matt Knipprath</t>
  </si>
  <si>
    <t>805.368.8713</t>
  </si>
  <si>
    <t>17782 Sky Park Circle</t>
  </si>
  <si>
    <t>Irvine, CA</t>
  </si>
  <si>
    <t>Jessica Captanis</t>
  </si>
  <si>
    <t>949.439.2616</t>
  </si>
  <si>
    <t>WNC &amp; Associates, Inc.</t>
  </si>
  <si>
    <t>Irvine, CA, 92614</t>
  </si>
  <si>
    <t>jcaptanis@wncinc.com</t>
  </si>
  <si>
    <t>1255 Treat Boulevard, STE. 410</t>
  </si>
  <si>
    <t>Walnut Creek, CA, 94597</t>
  </si>
  <si>
    <t>SOFR</t>
  </si>
  <si>
    <t>Provided</t>
  </si>
  <si>
    <t>Need to Provide</t>
  </si>
  <si>
    <t>Not Applicable</t>
  </si>
  <si>
    <t>Affirmed Housing Group,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</si>
</sst>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top/>
      <bottom style="thin">
        <color auto="1"/>
      </bottom>
      <diagonal/>
    </border>
  </borders>
  <cellStyleXfs count="25615">
    <xf numFmtId="0" fontId="0" fillId="0" borderId="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8" fillId="36" borderId="18" applyNumberFormat="0" applyAlignment="0" applyProtection="0"/>
    <xf numFmtId="0" fontId="88" fillId="36" borderId="18" applyNumberFormat="0" applyAlignment="0" applyProtection="0"/>
    <xf numFmtId="0" fontId="89" fillId="37" borderId="19"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1" fillId="0" borderId="0" applyFont="0" applyFill="0" applyBorder="0" applyAlignment="0" applyProtection="0"/>
    <xf numFmtId="43" fontId="26" fillId="0" borderId="0" applyFont="0" applyFill="0" applyBorder="0" applyAlignment="0" applyProtection="0"/>
    <xf numFmtId="43"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80"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alignment vertical="top"/>
    </xf>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1"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1" fillId="0" borderId="0" applyFont="0" applyFill="0" applyBorder="0" applyAlignment="0" applyProtection="0"/>
    <xf numFmtId="44" fontId="26"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76" fillId="0" borderId="0" applyFont="0" applyFill="0" applyBorder="0" applyAlignment="0" applyProtection="0"/>
    <xf numFmtId="44" fontId="26" fillId="0" borderId="0" applyFont="0" applyFill="0" applyBorder="0" applyAlignment="0" applyProtection="0"/>
    <xf numFmtId="0" fontId="90" fillId="0" borderId="0" applyNumberFormat="0" applyFill="0" applyBorder="0" applyAlignment="0" applyProtection="0"/>
    <xf numFmtId="0" fontId="91" fillId="38" borderId="0" applyNumberFormat="0" applyBorder="0" applyAlignment="0" applyProtection="0"/>
    <xf numFmtId="0" fontId="92" fillId="0" borderId="20" applyNumberFormat="0" applyFill="0" applyAlignment="0" applyProtection="0"/>
    <xf numFmtId="0" fontId="92" fillId="0" borderId="20"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4" fillId="0" borderId="22" applyNumberFormat="0" applyFill="0" applyAlignment="0" applyProtection="0"/>
    <xf numFmtId="0" fontId="94" fillId="0" borderId="22"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2" fillId="0" borderId="0" applyNumberFormat="0" applyFill="0" applyBorder="0" applyAlignment="0" applyProtection="0">
      <alignment vertical="top"/>
      <protection locked="0"/>
    </xf>
    <xf numFmtId="0" fontId="9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96" fillId="0" borderId="23" applyNumberFormat="0" applyFill="0" applyAlignment="0" applyProtection="0"/>
    <xf numFmtId="0" fontId="97" fillId="40" borderId="0" applyNumberFormat="0" applyBorder="0" applyAlignment="0" applyProtection="0"/>
    <xf numFmtId="0" fontId="98" fillId="0" borderId="0"/>
    <xf numFmtId="0" fontId="61" fillId="0" borderId="0"/>
    <xf numFmtId="0" fontId="98" fillId="0" borderId="0"/>
    <xf numFmtId="0" fontId="61" fillId="0" borderId="0"/>
    <xf numFmtId="0" fontId="61"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1" fillId="0" borderId="0"/>
    <xf numFmtId="169" fontId="62" fillId="0" borderId="0"/>
    <xf numFmtId="0" fontId="85" fillId="0" borderId="0"/>
    <xf numFmtId="0" fontId="26" fillId="0" borderId="0"/>
    <xf numFmtId="0" fontId="26" fillId="0" borderId="0"/>
    <xf numFmtId="0" fontId="67" fillId="0" borderId="0"/>
    <xf numFmtId="0" fontId="61" fillId="0" borderId="0"/>
    <xf numFmtId="0" fontId="67" fillId="0" borderId="0"/>
    <xf numFmtId="0" fontId="61" fillId="0" borderId="0"/>
    <xf numFmtId="0" fontId="73" fillId="0" borderId="0"/>
    <xf numFmtId="0" fontId="61"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85" fillId="0" borderId="0"/>
    <xf numFmtId="0" fontId="85" fillId="0" borderId="0"/>
    <xf numFmtId="0" fontId="85" fillId="0" borderId="0"/>
    <xf numFmtId="0" fontId="85" fillId="0" borderId="0"/>
    <xf numFmtId="0" fontId="73" fillId="0" borderId="0"/>
    <xf numFmtId="0" fontId="61" fillId="0" borderId="0">
      <alignment vertical="top"/>
    </xf>
    <xf numFmtId="0" fontId="85" fillId="0" borderId="0"/>
    <xf numFmtId="0" fontId="85" fillId="0" borderId="0"/>
    <xf numFmtId="0" fontId="85" fillId="0" borderId="0"/>
    <xf numFmtId="0" fontId="85" fillId="0" borderId="0"/>
    <xf numFmtId="0" fontId="73" fillId="0" borderId="0"/>
    <xf numFmtId="0" fontId="26" fillId="0" borderId="0"/>
    <xf numFmtId="0" fontId="85" fillId="0" borderId="0"/>
    <xf numFmtId="0" fontId="26" fillId="0" borderId="0"/>
    <xf numFmtId="0" fontId="85" fillId="0" borderId="0"/>
    <xf numFmtId="0" fontId="85" fillId="0" borderId="0"/>
    <xf numFmtId="0" fontId="85" fillId="0" borderId="0"/>
    <xf numFmtId="0" fontId="85" fillId="0" borderId="0"/>
    <xf numFmtId="0" fontId="67" fillId="0" borderId="0"/>
    <xf numFmtId="0" fontId="61" fillId="0" borderId="0">
      <alignment vertical="top"/>
    </xf>
    <xf numFmtId="0" fontId="67" fillId="0" borderId="0"/>
    <xf numFmtId="0" fontId="61" fillId="0" borderId="0">
      <alignment vertical="top"/>
    </xf>
    <xf numFmtId="0" fontId="61" fillId="0" borderId="0">
      <alignment vertical="top"/>
    </xf>
    <xf numFmtId="0" fontId="85" fillId="0" borderId="0"/>
    <xf numFmtId="0" fontId="67"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61" fillId="0" borderId="0">
      <alignment vertical="top"/>
    </xf>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61" fillId="0" borderId="0">
      <alignment vertical="top"/>
    </xf>
    <xf numFmtId="0" fontId="61" fillId="0" borderId="0">
      <alignment vertical="top"/>
    </xf>
    <xf numFmtId="0" fontId="61" fillId="0" borderId="0"/>
    <xf numFmtId="0" fontId="61" fillId="0" borderId="0">
      <alignment vertical="top"/>
    </xf>
    <xf numFmtId="0" fontId="61" fillId="0" borderId="0"/>
    <xf numFmtId="0" fontId="6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17" fillId="0" borderId="0" applyProtection="0">
      <protection locked="0"/>
    </xf>
    <xf numFmtId="0" fontId="26" fillId="0" borderId="0" applyProtection="0">
      <protection locked="0"/>
    </xf>
    <xf numFmtId="0" fontId="26" fillId="0" borderId="0" applyProtection="0">
      <protection locked="0"/>
    </xf>
    <xf numFmtId="0" fontId="62" fillId="0" borderId="0"/>
    <xf numFmtId="0" fontId="17" fillId="0" borderId="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100" fillId="36" borderId="25" applyNumberFormat="0" applyAlignment="0" applyProtection="0"/>
    <xf numFmtId="0" fontId="100" fillId="36" borderId="25" applyNumberFormat="0" applyAlignment="0" applyProtection="0"/>
    <xf numFmtId="0" fontId="22" fillId="0" borderId="0" applyNumberFormat="0" applyFill="0" applyBorder="0">
      <alignment horizontal="left"/>
    </xf>
    <xf numFmtId="0" fontId="101" fillId="0" borderId="0" applyNumberFormat="0" applyFill="0" applyBorder="0" applyAlignment="0" applyProtection="0"/>
    <xf numFmtId="0" fontId="102" fillId="0" borderId="26" applyNumberFormat="0" applyFill="0" applyAlignment="0" applyProtection="0"/>
    <xf numFmtId="0" fontId="102" fillId="0" borderId="26" applyNumberFormat="0" applyFill="0" applyAlignment="0" applyProtection="0"/>
    <xf numFmtId="0" fontId="10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8"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110"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111"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0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20" fillId="0" borderId="0" applyFont="0" applyFill="0" applyBorder="0" applyAlignment="0" applyProtection="0"/>
    <xf numFmtId="0" fontId="120"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48"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50"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03">
    <xf numFmtId="0" fontId="0" fillId="0" borderId="0" xfId="0"/>
    <xf numFmtId="0" fontId="0" fillId="0" borderId="0" xfId="0" applyAlignment="1">
      <alignment horizontal="center"/>
    </xf>
    <xf numFmtId="0" fontId="24" fillId="0" borderId="0" xfId="0" applyFont="1"/>
    <xf numFmtId="0" fontId="17" fillId="0" borderId="0" xfId="0" applyFont="1"/>
    <xf numFmtId="0" fontId="26" fillId="0" borderId="0" xfId="0" applyFont="1"/>
    <xf numFmtId="0" fontId="0" fillId="0" borderId="4" xfId="0" applyBorder="1"/>
    <xf numFmtId="0" fontId="26" fillId="0" borderId="0" xfId="0" applyFont="1" applyAlignment="1">
      <alignment horizontal="center"/>
    </xf>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24" fillId="0" borderId="0" xfId="0" applyFont="1" applyAlignment="1">
      <alignment horizontal="center"/>
    </xf>
    <xf numFmtId="0" fontId="17" fillId="0" borderId="0" xfId="543"/>
    <xf numFmtId="0" fontId="26" fillId="0" borderId="0" xfId="0" applyFont="1" applyAlignment="1">
      <alignment horizontal="left" vertical="top" wrapText="1"/>
    </xf>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horizontal="left" indent="4"/>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0" fontId="37" fillId="0" borderId="0" xfId="543"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36" fillId="0" borderId="0" xfId="0" applyFont="1"/>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6" fillId="0" borderId="0" xfId="0" applyFont="1" applyAlignment="1">
      <alignment horizontal="right"/>
    </xf>
    <xf numFmtId="0" fontId="40" fillId="0" borderId="0" xfId="0" applyFont="1"/>
    <xf numFmtId="0" fontId="26" fillId="0" borderId="0" xfId="0" applyFont="1" applyAlignment="1">
      <alignment horizontal="left"/>
    </xf>
    <xf numFmtId="0" fontId="28" fillId="0" borderId="0" xfId="0" applyFont="1"/>
    <xf numFmtId="0" fontId="30" fillId="0" borderId="0" xfId="0" applyFont="1"/>
    <xf numFmtId="0" fontId="24"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4" fillId="0" borderId="1" xfId="0" applyFont="1" applyBorder="1" applyAlignment="1">
      <alignment horizontal="center" wrapText="1"/>
    </xf>
    <xf numFmtId="0" fontId="24"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4" fillId="0" borderId="4" xfId="0" applyFont="1" applyBorder="1" applyAlignment="1">
      <alignment horizontal="center"/>
    </xf>
    <xf numFmtId="0" fontId="33" fillId="0" borderId="3" xfId="0" applyFont="1" applyBorder="1" applyAlignment="1">
      <alignment horizontal="left"/>
    </xf>
    <xf numFmtId="0" fontId="33" fillId="0" borderId="9" xfId="0" applyFont="1" applyBorder="1" applyAlignment="1">
      <alignment horizontal="left"/>
    </xf>
    <xf numFmtId="0" fontId="24" fillId="0" borderId="4" xfId="0" applyFont="1" applyBorder="1" applyAlignment="1">
      <alignment horizontal="right"/>
    </xf>
    <xf numFmtId="0" fontId="24" fillId="0" borderId="5" xfId="0" applyFont="1" applyBorder="1" applyAlignment="1">
      <alignment horizontal="righ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6" fillId="0" borderId="11" xfId="0" applyFont="1" applyBorder="1" applyAlignment="1">
      <alignment horizontal="left"/>
    </xf>
    <xf numFmtId="0" fontId="24" fillId="0" borderId="9" xfId="0" applyFont="1" applyBorder="1"/>
    <xf numFmtId="164" fontId="0" fillId="0" borderId="0" xfId="0" applyNumberFormat="1" applyAlignment="1">
      <alignment horizontal="center"/>
    </xf>
    <xf numFmtId="0" fontId="0" fillId="0" borderId="12" xfId="0" applyBorder="1"/>
    <xf numFmtId="0" fontId="26" fillId="0" borderId="3" xfId="0" applyFont="1" applyBorder="1"/>
    <xf numFmtId="0" fontId="26" fillId="0" borderId="0" xfId="543" applyFont="1"/>
    <xf numFmtId="0" fontId="42" fillId="0" borderId="0" xfId="543" applyFont="1"/>
    <xf numFmtId="49" fontId="17" fillId="0" borderId="0" xfId="543" applyNumberFormat="1"/>
    <xf numFmtId="0" fontId="40" fillId="0" borderId="0" xfId="543" applyFont="1"/>
    <xf numFmtId="168" fontId="37" fillId="0" borderId="6" xfId="543" applyNumberFormat="1" applyFont="1" applyBorder="1" applyAlignment="1">
      <alignment horizontal="left"/>
    </xf>
    <xf numFmtId="168" fontId="37" fillId="0" borderId="6" xfId="543" applyNumberFormat="1" applyFont="1" applyBorder="1" applyAlignment="1">
      <alignment horizontal="center"/>
    </xf>
    <xf numFmtId="0" fontId="17" fillId="0" borderId="8" xfId="543" applyBorder="1"/>
    <xf numFmtId="0" fontId="37" fillId="0" borderId="0" xfId="543" applyFont="1" applyAlignment="1">
      <alignment horizontal="center"/>
    </xf>
    <xf numFmtId="0" fontId="36" fillId="0" borderId="9" xfId="543" applyFont="1" applyBorder="1" applyAlignment="1">
      <alignment horizontal="left" vertical="top" wrapText="1"/>
    </xf>
    <xf numFmtId="0" fontId="36" fillId="0" borderId="6" xfId="543" applyFont="1" applyBorder="1" applyAlignment="1">
      <alignment horizontal="center" vertical="top" wrapText="1"/>
    </xf>
    <xf numFmtId="0" fontId="17" fillId="0" borderId="9" xfId="543" applyBorder="1"/>
    <xf numFmtId="0" fontId="17" fillId="0" borderId="10" xfId="543" applyBorder="1"/>
    <xf numFmtId="0" fontId="17" fillId="0" borderId="1" xfId="543" applyBorder="1"/>
    <xf numFmtId="0" fontId="37" fillId="0" borderId="2" xfId="543" applyFont="1" applyBorder="1" applyAlignment="1">
      <alignment horizontal="center"/>
    </xf>
    <xf numFmtId="0" fontId="39" fillId="0" borderId="8" xfId="543" applyFont="1" applyBorder="1" applyAlignment="1">
      <alignment horizontal="left" vertical="top" wrapText="1"/>
    </xf>
    <xf numFmtId="0" fontId="36" fillId="0" borderId="0" xfId="543" applyFont="1" applyAlignment="1">
      <alignment horizontal="center" vertical="top" wrapText="1"/>
    </xf>
    <xf numFmtId="0" fontId="17" fillId="0" borderId="12" xfId="543" applyBorder="1"/>
    <xf numFmtId="0" fontId="39" fillId="0" borderId="0" xfId="543" applyFont="1" applyAlignment="1">
      <alignment horizontal="center" vertical="top" wrapText="1"/>
    </xf>
    <xf numFmtId="0" fontId="39" fillId="0" borderId="9" xfId="543" applyFont="1" applyBorder="1" applyAlignment="1">
      <alignment horizontal="left" vertical="top" wrapText="1"/>
    </xf>
    <xf numFmtId="0" fontId="17" fillId="0" borderId="2" xfId="543" applyBorder="1"/>
    <xf numFmtId="0" fontId="17" fillId="0" borderId="7" xfId="543" applyBorder="1"/>
    <xf numFmtId="0" fontId="36" fillId="0" borderId="0" xfId="543" applyFont="1"/>
    <xf numFmtId="0" fontId="17" fillId="0" borderId="0" xfId="543" applyAlignment="1">
      <alignment horizontal="center"/>
    </xf>
    <xf numFmtId="0" fontId="25" fillId="0" borderId="6" xfId="543" applyFont="1" applyBorder="1" applyAlignment="1">
      <alignment vertical="top" wrapText="1"/>
    </xf>
    <xf numFmtId="0" fontId="26" fillId="0" borderId="0" xfId="0" applyFont="1" applyAlignment="1">
      <alignment horizontal="left" vertical="top"/>
    </xf>
    <xf numFmtId="0" fontId="0" fillId="2" borderId="2" xfId="0" applyFill="1" applyBorder="1"/>
    <xf numFmtId="0" fontId="0" fillId="2" borderId="7" xfId="0" applyFill="1" applyBorder="1"/>
    <xf numFmtId="0" fontId="24" fillId="0" borderId="6" xfId="0" applyFont="1" applyBorder="1" applyAlignment="1">
      <alignment horizontal="right"/>
    </xf>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7"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9" fillId="0" borderId="4" xfId="543" applyFont="1" applyBorder="1" applyAlignment="1">
      <alignment horizontal="right" vertical="top" wrapText="1"/>
    </xf>
    <xf numFmtId="0" fontId="26" fillId="0" borderId="6" xfId="0" applyFont="1" applyBorder="1"/>
    <xf numFmtId="0" fontId="26" fillId="0" borderId="2" xfId="0" applyFont="1" applyBorder="1"/>
    <xf numFmtId="0" fontId="26" fillId="0" borderId="7" xfId="0" applyFont="1" applyBorder="1"/>
    <xf numFmtId="0" fontId="26" fillId="0" borderId="12" xfId="0" applyFont="1" applyBorder="1"/>
    <xf numFmtId="0" fontId="26" fillId="0" borderId="9" xfId="0" applyFont="1" applyBorder="1"/>
    <xf numFmtId="0" fontId="26" fillId="0" borderId="10" xfId="0" applyFont="1"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26" fillId="0" borderId="0" xfId="0" applyFont="1" applyAlignment="1">
      <alignment vertical="top"/>
    </xf>
    <xf numFmtId="0" fontId="26" fillId="0" borderId="0" xfId="0" applyFont="1" applyAlignment="1">
      <alignment vertical="top" wrapText="1"/>
    </xf>
    <xf numFmtId="0" fontId="17" fillId="0" borderId="0" xfId="0" applyFont="1" applyAlignment="1">
      <alignment horizontal="left"/>
    </xf>
    <xf numFmtId="0" fontId="17" fillId="0" borderId="0" xfId="0" applyFont="1" applyAlignment="1">
      <alignment vertical="top"/>
    </xf>
    <xf numFmtId="0" fontId="46" fillId="0" borderId="0" xfId="0" applyFont="1"/>
    <xf numFmtId="0" fontId="17" fillId="0" borderId="3" xfId="0" applyFont="1" applyBorder="1"/>
    <xf numFmtId="0" fontId="17"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9" fillId="0" borderId="0" xfId="0" applyFont="1"/>
    <xf numFmtId="0" fontId="26" fillId="0" borderId="4" xfId="0" applyFont="1" applyBorder="1"/>
    <xf numFmtId="0" fontId="24" fillId="0" borderId="2" xfId="0" applyFont="1" applyBorder="1" applyAlignment="1">
      <alignment horizontal="center"/>
    </xf>
    <xf numFmtId="0" fontId="24" fillId="0" borderId="0" xfId="0" applyFont="1" applyAlignment="1">
      <alignment horizontal="center" vertical="center" wrapText="1"/>
    </xf>
    <xf numFmtId="0" fontId="24" fillId="0" borderId="7" xfId="543" applyFont="1" applyBorder="1" applyAlignment="1">
      <alignment horizontal="right"/>
    </xf>
    <xf numFmtId="0" fontId="25" fillId="0" borderId="9" xfId="543" applyFont="1" applyBorder="1"/>
    <xf numFmtId="0" fontId="26" fillId="0" borderId="6" xfId="543" applyFont="1" applyBorder="1"/>
    <xf numFmtId="0" fontId="25" fillId="0" borderId="6" xfId="543" applyFont="1" applyBorder="1" applyAlignment="1">
      <alignment horizontal="right"/>
    </xf>
    <xf numFmtId="0" fontId="24" fillId="0" borderId="0" xfId="0" applyFont="1" applyAlignment="1">
      <alignment horizontal="center" vertical="center"/>
    </xf>
    <xf numFmtId="0" fontId="26" fillId="0" borderId="0" xfId="0" applyFont="1" applyAlignment="1">
      <alignment horizontal="left" vertical="center"/>
    </xf>
    <xf numFmtId="0" fontId="54" fillId="0" borderId="3" xfId="0" applyFont="1" applyBorder="1" applyAlignment="1">
      <alignment horizontal="left" vertical="top"/>
    </xf>
    <xf numFmtId="0" fontId="54" fillId="0" borderId="13" xfId="0" applyFont="1" applyBorder="1" applyAlignment="1">
      <alignment horizontal="center" wrapText="1"/>
    </xf>
    <xf numFmtId="0" fontId="54" fillId="0" borderId="13" xfId="0" applyFont="1" applyBorder="1" applyAlignment="1">
      <alignment horizontal="center" vertical="top" wrapText="1"/>
    </xf>
    <xf numFmtId="0" fontId="54" fillId="2" borderId="13" xfId="0" applyFont="1" applyFill="1" applyBorder="1" applyAlignment="1">
      <alignment horizontal="center" wrapText="1"/>
    </xf>
    <xf numFmtId="0" fontId="55" fillId="2" borderId="11" xfId="0" applyFont="1" applyFill="1" applyBorder="1" applyAlignment="1">
      <alignment horizontal="left" vertical="top" wrapText="1"/>
    </xf>
    <xf numFmtId="0" fontId="56" fillId="4" borderId="11" xfId="0" applyFont="1" applyFill="1" applyBorder="1" applyAlignment="1">
      <alignment vertical="top" wrapText="1"/>
    </xf>
    <xf numFmtId="0" fontId="56" fillId="2" borderId="11" xfId="0" applyFont="1" applyFill="1" applyBorder="1" applyAlignment="1">
      <alignment vertical="top" wrapText="1"/>
    </xf>
    <xf numFmtId="0" fontId="56" fillId="0" borderId="11" xfId="0" applyFont="1" applyBorder="1" applyAlignment="1">
      <alignment vertical="top" wrapText="1"/>
    </xf>
    <xf numFmtId="0" fontId="56" fillId="0" borderId="11" xfId="0" applyFont="1" applyBorder="1" applyAlignment="1">
      <alignment horizontal="right" vertical="top" wrapText="1"/>
    </xf>
    <xf numFmtId="168" fontId="56" fillId="0" borderId="11" xfId="0" applyNumberFormat="1" applyFont="1" applyBorder="1" applyAlignment="1">
      <alignment vertical="top" wrapText="1"/>
    </xf>
    <xf numFmtId="168" fontId="56" fillId="5" borderId="11" xfId="0" applyNumberFormat="1" applyFont="1" applyFill="1" applyBorder="1" applyAlignment="1" applyProtection="1">
      <alignment vertical="top" wrapText="1"/>
      <protection locked="0"/>
    </xf>
    <xf numFmtId="168" fontId="56" fillId="6" borderId="11" xfId="0" applyNumberFormat="1" applyFont="1" applyFill="1" applyBorder="1" applyAlignment="1">
      <alignment horizontal="center"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6" fillId="4" borderId="11" xfId="0" applyNumberFormat="1"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20" fillId="0" borderId="11" xfId="0" applyFont="1" applyBorder="1" applyAlignment="1">
      <alignment horizontal="right" vertical="top" wrapText="1"/>
    </xf>
    <xf numFmtId="0" fontId="56" fillId="0" borderId="11" xfId="0" applyFont="1" applyBorder="1" applyAlignment="1" applyProtection="1">
      <alignment horizontal="right" vertical="top" wrapText="1"/>
      <protection locked="0"/>
    </xf>
    <xf numFmtId="0" fontId="54" fillId="0" borderId="0" xfId="0" applyFont="1" applyAlignment="1">
      <alignment horizontal="left" vertical="top"/>
    </xf>
    <xf numFmtId="0" fontId="56" fillId="0" borderId="0" xfId="0" applyFont="1" applyAlignment="1">
      <alignment horizontal="left" vertical="top"/>
    </xf>
    <xf numFmtId="0" fontId="56" fillId="0" borderId="0" xfId="0" applyFont="1" applyAlignment="1">
      <alignment vertical="top" wrapText="1"/>
    </xf>
    <xf numFmtId="0" fontId="56" fillId="0" borderId="0" xfId="0" applyFont="1" applyAlignment="1">
      <alignment vertical="top"/>
    </xf>
    <xf numFmtId="0" fontId="54" fillId="0" borderId="0" xfId="0" applyFont="1" applyAlignment="1">
      <alignment horizontal="right" vertical="top"/>
    </xf>
    <xf numFmtId="0" fontId="56" fillId="2" borderId="0" xfId="0" applyFont="1" applyFill="1" applyAlignment="1">
      <alignment vertical="top" wrapText="1"/>
    </xf>
    <xf numFmtId="0" fontId="54" fillId="0" borderId="0" xfId="0" applyFont="1" applyAlignment="1">
      <alignment vertical="top"/>
    </xf>
    <xf numFmtId="166" fontId="26" fillId="0" borderId="0" xfId="0" applyNumberFormat="1" applyFont="1" applyAlignment="1">
      <alignment horizontal="left"/>
    </xf>
    <xf numFmtId="0" fontId="57" fillId="0" borderId="0" xfId="0" applyFont="1"/>
    <xf numFmtId="0" fontId="17" fillId="0" borderId="0" xfId="244" applyFont="1" applyFill="1" applyBorder="1" applyAlignment="1" applyProtection="1">
      <alignment horizontal="left"/>
    </xf>
    <xf numFmtId="0" fontId="48" fillId="0" borderId="0" xfId="0" applyFont="1"/>
    <xf numFmtId="0" fontId="48" fillId="0" borderId="0" xfId="244" applyFont="1" applyFill="1" applyBorder="1" applyAlignment="1" applyProtection="1">
      <alignment horizontal="left"/>
    </xf>
    <xf numFmtId="0" fontId="23" fillId="3" borderId="11" xfId="0" applyFont="1" applyFill="1" applyBorder="1" applyAlignment="1">
      <alignment vertical="top"/>
    </xf>
    <xf numFmtId="0" fontId="0" fillId="7" borderId="0" xfId="0" applyFill="1"/>
    <xf numFmtId="0" fontId="37" fillId="0" borderId="0" xfId="0" applyFont="1"/>
    <xf numFmtId="0" fontId="59" fillId="0" borderId="0" xfId="0" applyFont="1"/>
    <xf numFmtId="0" fontId="35" fillId="0" borderId="0" xfId="0" applyFont="1" applyAlignment="1">
      <alignment horizontal="center"/>
    </xf>
    <xf numFmtId="0" fontId="35" fillId="0" borderId="0" xfId="0" applyFont="1" applyAlignment="1">
      <alignment horizontal="left"/>
    </xf>
    <xf numFmtId="49" fontId="24" fillId="0" borderId="0" xfId="0" applyNumberFormat="1" applyFont="1" applyAlignment="1">
      <alignment horizontal="center"/>
    </xf>
    <xf numFmtId="0" fontId="51" fillId="0" borderId="0" xfId="0" applyFont="1" applyAlignment="1">
      <alignment horizontal="center"/>
    </xf>
    <xf numFmtId="168" fontId="26" fillId="0" borderId="0" xfId="0" applyNumberFormat="1" applyFont="1" applyAlignment="1">
      <alignment horizontal="center"/>
    </xf>
    <xf numFmtId="168" fontId="36" fillId="0" borderId="0" xfId="0" applyNumberFormat="1" applyFont="1" applyAlignment="1">
      <alignment horizontal="left" vertical="top" wrapText="1"/>
    </xf>
    <xf numFmtId="0" fontId="53" fillId="0" borderId="3" xfId="0" applyFont="1" applyBorder="1"/>
    <xf numFmtId="168" fontId="0" fillId="0" borderId="0" xfId="0" applyNumberFormat="1" applyAlignment="1">
      <alignment horizontal="center"/>
    </xf>
    <xf numFmtId="0" fontId="37" fillId="0" borderId="0" xfId="0" applyFont="1" applyAlignment="1">
      <alignment vertical="top" wrapText="1"/>
    </xf>
    <xf numFmtId="0" fontId="54" fillId="0" borderId="4" xfId="0" applyFont="1" applyBorder="1" applyAlignment="1">
      <alignment horizontal="right"/>
    </xf>
    <xf numFmtId="0" fontId="61" fillId="0" borderId="0" xfId="0" applyFont="1"/>
    <xf numFmtId="3" fontId="26" fillId="0" borderId="0" xfId="0" applyNumberFormat="1" applyFont="1" applyAlignment="1">
      <alignment horizontal="center"/>
    </xf>
    <xf numFmtId="168" fontId="17" fillId="0" borderId="0" xfId="0" applyNumberFormat="1" applyFont="1" applyAlignment="1">
      <alignment horizontal="left" vertical="top"/>
    </xf>
    <xf numFmtId="168" fontId="26" fillId="0" borderId="0" xfId="0" applyNumberFormat="1" applyFont="1" applyAlignment="1">
      <alignment horizontal="left" vertical="top"/>
    </xf>
    <xf numFmtId="0" fontId="56" fillId="0" borderId="11" xfId="0" applyFont="1" applyBorder="1" applyAlignment="1">
      <alignment horizontal="right" vertical="top"/>
    </xf>
    <xf numFmtId="0" fontId="56" fillId="0" borderId="0" xfId="0" applyFont="1" applyAlignment="1">
      <alignment horizontal="right" vertical="top" wrapText="1"/>
    </xf>
    <xf numFmtId="0" fontId="56" fillId="2" borderId="12" xfId="0" applyFont="1" applyFill="1" applyBorder="1" applyAlignment="1">
      <alignment vertical="top" wrapText="1"/>
    </xf>
    <xf numFmtId="0" fontId="56" fillId="0" borderId="14" xfId="0" applyFont="1" applyBorder="1" applyAlignment="1">
      <alignment vertical="top" wrapText="1"/>
    </xf>
    <xf numFmtId="168" fontId="56" fillId="5" borderId="11" xfId="0" applyNumberFormat="1" applyFont="1" applyFill="1" applyBorder="1" applyAlignment="1" applyProtection="1">
      <alignment vertical="top"/>
      <protection locked="0"/>
    </xf>
    <xf numFmtId="0" fontId="56" fillId="2" borderId="11" xfId="0" applyFont="1" applyFill="1" applyBorder="1" applyAlignment="1" applyProtection="1">
      <alignment vertical="top"/>
      <protection locked="0"/>
    </xf>
    <xf numFmtId="0" fontId="56" fillId="0" borderId="11" xfId="0" applyFont="1" applyBorder="1" applyAlignment="1" applyProtection="1">
      <alignment vertical="top"/>
      <protection locked="0"/>
    </xf>
    <xf numFmtId="168" fontId="56" fillId="0" borderId="11" xfId="0" applyNumberFormat="1" applyFont="1" applyBorder="1" applyAlignment="1">
      <alignment vertical="top"/>
    </xf>
    <xf numFmtId="168" fontId="56" fillId="6" borderId="11" xfId="0" applyNumberFormat="1" applyFont="1" applyFill="1" applyBorder="1" applyAlignment="1">
      <alignment horizontal="center" vertical="top"/>
    </xf>
    <xf numFmtId="0" fontId="24" fillId="0" borderId="0" xfId="542" applyFont="1" applyProtection="1">
      <protection locked="0"/>
    </xf>
    <xf numFmtId="0" fontId="17" fillId="0" borderId="0" xfId="539" applyProtection="1"/>
    <xf numFmtId="0" fontId="37" fillId="8" borderId="0" xfId="539" applyFont="1" applyFill="1" applyAlignment="1" applyProtection="1">
      <alignment horizontal="centerContinuous"/>
    </xf>
    <xf numFmtId="0" fontId="24" fillId="0" borderId="0" xfId="543" applyFont="1"/>
    <xf numFmtId="0" fontId="26" fillId="0" borderId="0" xfId="543" applyFont="1" applyAlignment="1">
      <alignment horizontal="left"/>
    </xf>
    <xf numFmtId="0" fontId="26" fillId="0" borderId="15" xfId="0" applyFont="1" applyBorder="1"/>
    <xf numFmtId="2" fontId="40" fillId="0" borderId="11" xfId="0" applyNumberFormat="1" applyFont="1" applyBorder="1"/>
    <xf numFmtId="0" fontId="17" fillId="0" borderId="0" xfId="0" applyFont="1" applyProtection="1">
      <protection locked="0"/>
    </xf>
    <xf numFmtId="0" fontId="64"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39" fillId="0" borderId="0" xfId="543" applyFont="1" applyAlignment="1">
      <alignment horizontal="right" vertical="top" wrapText="1"/>
    </xf>
    <xf numFmtId="0" fontId="37" fillId="0" borderId="2" xfId="543" applyFont="1" applyBorder="1" applyAlignment="1">
      <alignment horizontal="right" vertical="top" wrapText="1"/>
    </xf>
    <xf numFmtId="0" fontId="22" fillId="0" borderId="0" xfId="0" applyFont="1"/>
    <xf numFmtId="0" fontId="66" fillId="0" borderId="0" xfId="0" applyFont="1"/>
    <xf numFmtId="0" fontId="64" fillId="0" borderId="0" xfId="0" applyFont="1"/>
    <xf numFmtId="0" fontId="37"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65" fillId="0" borderId="0" xfId="0" applyFont="1"/>
    <xf numFmtId="168" fontId="22" fillId="0" borderId="0" xfId="0" applyNumberFormat="1" applyFont="1"/>
    <xf numFmtId="10" fontId="22" fillId="0" borderId="0" xfId="0" applyNumberFormat="1" applyFont="1" applyAlignment="1">
      <alignment horizontal="center"/>
    </xf>
    <xf numFmtId="3" fontId="68" fillId="0" borderId="0" xfId="0" applyNumberFormat="1" applyFont="1"/>
    <xf numFmtId="3" fontId="22" fillId="0" borderId="0" xfId="0" applyNumberFormat="1" applyFont="1"/>
    <xf numFmtId="168" fontId="65" fillId="0" borderId="0" xfId="0" applyNumberFormat="1" applyFont="1"/>
    <xf numFmtId="168" fontId="65"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10" fontId="26" fillId="0" borderId="0" xfId="0" applyNumberFormat="1" applyFont="1" applyAlignment="1">
      <alignment horizontal="center"/>
    </xf>
    <xf numFmtId="3" fontId="26" fillId="0" borderId="0" xfId="0" applyNumberFormat="1" applyFont="1" applyAlignment="1">
      <alignment vertical="top"/>
    </xf>
    <xf numFmtId="10" fontId="24" fillId="0" borderId="0" xfId="0" applyNumberFormat="1" applyFont="1" applyAlignment="1">
      <alignment horizontal="center"/>
    </xf>
    <xf numFmtId="0" fontId="64" fillId="0" borderId="6" xfId="0" applyFont="1" applyBorder="1" applyAlignment="1">
      <alignment horizontal="center"/>
    </xf>
    <xf numFmtId="172" fontId="26" fillId="0" borderId="0" xfId="0" applyNumberFormat="1" applyFont="1" applyAlignment="1">
      <alignment horizontal="center"/>
    </xf>
    <xf numFmtId="10" fontId="69" fillId="0" borderId="0" xfId="0" applyNumberFormat="1" applyFont="1" applyAlignment="1">
      <alignment horizontal="center"/>
    </xf>
    <xf numFmtId="0" fontId="26" fillId="9" borderId="6" xfId="0" applyFont="1" applyFill="1" applyBorder="1"/>
    <xf numFmtId="0" fontId="26" fillId="0" borderId="4" xfId="271" applyBorder="1"/>
    <xf numFmtId="0" fontId="26" fillId="0" borderId="6" xfId="271" applyBorder="1"/>
    <xf numFmtId="0" fontId="26" fillId="0" borderId="1" xfId="0" applyFont="1" applyBorder="1"/>
    <xf numFmtId="168" fontId="26" fillId="0" borderId="3" xfId="0" applyNumberFormat="1" applyFont="1" applyBorder="1" applyAlignment="1">
      <alignment vertical="top"/>
    </xf>
    <xf numFmtId="168" fontId="26" fillId="0" borderId="4" xfId="0" applyNumberFormat="1" applyFont="1" applyBorder="1" applyAlignment="1">
      <alignment vertical="top"/>
    </xf>
    <xf numFmtId="168" fontId="26" fillId="0" borderId="5" xfId="0" applyNumberFormat="1" applyFont="1" applyBorder="1" applyAlignment="1">
      <alignment vertical="top"/>
    </xf>
    <xf numFmtId="168" fontId="26" fillId="0" borderId="8" xfId="0" applyNumberFormat="1" applyFont="1" applyBorder="1" applyAlignment="1">
      <alignment vertical="top"/>
    </xf>
    <xf numFmtId="168" fontId="26" fillId="0" borderId="0" xfId="0" applyNumberFormat="1" applyFont="1" applyAlignment="1">
      <alignment vertical="top"/>
    </xf>
    <xf numFmtId="0" fontId="26" fillId="0" borderId="0" xfId="0" applyFont="1" applyAlignment="1">
      <alignment horizontal="right" vertical="top"/>
    </xf>
    <xf numFmtId="0" fontId="26"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6" fillId="5" borderId="4" xfId="0" applyFont="1" applyFill="1" applyBorder="1" applyAlignment="1" applyProtection="1">
      <alignment horizontal="left" vertical="top"/>
      <protection locked="0"/>
    </xf>
    <xf numFmtId="0" fontId="26" fillId="5" borderId="5" xfId="0" applyFont="1" applyFill="1" applyBorder="1" applyAlignment="1" applyProtection="1">
      <alignment horizontal="left" vertical="top"/>
      <protection locked="0"/>
    </xf>
    <xf numFmtId="4" fontId="51" fillId="0" borderId="0" xfId="0" applyNumberFormat="1" applyFont="1" applyAlignment="1">
      <alignment horizontal="center"/>
    </xf>
    <xf numFmtId="0" fontId="36" fillId="0" borderId="1" xfId="543" applyFont="1" applyBorder="1" applyAlignment="1">
      <alignment horizontal="left" vertical="top" wrapText="1"/>
    </xf>
    <xf numFmtId="0" fontId="36" fillId="0" borderId="12" xfId="543" applyFont="1" applyBorder="1" applyAlignment="1">
      <alignment horizontal="center" vertical="top" wrapText="1"/>
    </xf>
    <xf numFmtId="0" fontId="36" fillId="0" borderId="8" xfId="543" applyFont="1" applyBorder="1" applyAlignment="1">
      <alignment horizontal="left" vertical="top" wrapText="1"/>
    </xf>
    <xf numFmtId="0" fontId="31" fillId="3" borderId="4" xfId="271" applyFont="1" applyFill="1" applyBorder="1" applyAlignment="1">
      <alignment vertical="top" wrapText="1"/>
    </xf>
    <xf numFmtId="0" fontId="23" fillId="3" borderId="11" xfId="271" applyFont="1" applyFill="1" applyBorder="1" applyAlignment="1">
      <alignment vertical="top"/>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49" fillId="2" borderId="11" xfId="271" applyFont="1" applyFill="1" applyBorder="1" applyAlignment="1">
      <alignment horizontal="left" vertical="top" wrapText="1"/>
    </xf>
    <xf numFmtId="0" fontId="26" fillId="0" borderId="11" xfId="271" applyBorder="1" applyAlignment="1" applyProtection="1">
      <alignment vertical="top" wrapText="1"/>
      <protection locked="0"/>
    </xf>
    <xf numFmtId="168" fontId="26" fillId="5" borderId="11" xfId="271" applyNumberFormat="1" applyFill="1" applyBorder="1" applyAlignment="1" applyProtection="1">
      <alignment vertical="top" wrapText="1"/>
      <protection locked="0"/>
    </xf>
    <xf numFmtId="0" fontId="26" fillId="5" borderId="3" xfId="271" applyFill="1" applyBorder="1" applyAlignment="1" applyProtection="1">
      <alignment vertical="top" wrapText="1"/>
      <protection locked="0"/>
    </xf>
    <xf numFmtId="0" fontId="26" fillId="5" borderId="11" xfId="271" applyFill="1" applyBorder="1" applyAlignment="1" applyProtection="1">
      <alignment vertical="top" wrapText="1"/>
      <protection locked="0"/>
    </xf>
    <xf numFmtId="0" fontId="26" fillId="0" borderId="11" xfId="271" applyBorder="1" applyAlignment="1">
      <alignment horizontal="right" vertical="top" wrapText="1"/>
    </xf>
    <xf numFmtId="168" fontId="26" fillId="0" borderId="11" xfId="271" applyNumberFormat="1" applyBorder="1" applyAlignment="1">
      <alignment vertical="top" wrapText="1"/>
    </xf>
    <xf numFmtId="0" fontId="24" fillId="0" borderId="11" xfId="271" applyFont="1" applyBorder="1" applyAlignment="1">
      <alignment horizontal="right" vertical="top" wrapText="1"/>
    </xf>
    <xf numFmtId="0" fontId="26" fillId="5" borderId="11" xfId="271" applyFill="1" applyBorder="1" applyAlignment="1" applyProtection="1">
      <alignment horizontal="right" vertical="top" wrapText="1"/>
      <protection locked="0"/>
    </xf>
    <xf numFmtId="168" fontId="24" fillId="0" borderId="11" xfId="271" applyNumberFormat="1" applyFont="1" applyBorder="1" applyAlignment="1">
      <alignment vertical="top" wrapText="1"/>
    </xf>
    <xf numFmtId="0" fontId="34" fillId="0" borderId="11" xfId="271" applyFont="1" applyBorder="1" applyAlignment="1">
      <alignment horizontal="right" vertical="top" wrapText="1"/>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49" fillId="2" borderId="11" xfId="271" applyFont="1" applyFill="1" applyBorder="1" applyAlignment="1" applyProtection="1">
      <alignment horizontal="left" vertical="top" wrapText="1"/>
      <protection locked="0"/>
    </xf>
    <xf numFmtId="0" fontId="53" fillId="0" borderId="11" xfId="0" applyFont="1" applyBorder="1" applyAlignment="1">
      <alignment horizontal="right" vertical="top" wrapText="1"/>
    </xf>
    <xf numFmtId="0" fontId="26" fillId="8" borderId="0" xfId="542" quotePrefix="1" applyFont="1" applyFill="1" applyAlignment="1">
      <alignment horizontal="left"/>
    </xf>
    <xf numFmtId="0" fontId="26" fillId="8" borderId="0" xfId="542" applyFont="1" applyFill="1"/>
    <xf numFmtId="0" fontId="34" fillId="8" borderId="0" xfId="542" applyFont="1" applyFill="1"/>
    <xf numFmtId="0" fontId="53" fillId="0" borderId="11" xfId="271" applyFont="1" applyBorder="1" applyAlignment="1">
      <alignment horizontal="right" vertical="top"/>
    </xf>
    <xf numFmtId="0" fontId="53" fillId="0" borderId="11" xfId="271" applyFont="1" applyBorder="1" applyAlignment="1">
      <alignment horizontal="right" vertical="top" wrapText="1"/>
    </xf>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5" fontId="26" fillId="0" borderId="0" xfId="542" applyNumberFormat="1" applyFont="1"/>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1" fontId="24" fillId="0" borderId="11" xfId="271" applyNumberFormat="1" applyFont="1" applyBorder="1"/>
    <xf numFmtId="165" fontId="24" fillId="0" borderId="11" xfId="271" applyNumberFormat="1" applyFont="1" applyBorder="1"/>
    <xf numFmtId="3" fontId="56" fillId="0" borderId="11" xfId="0" applyNumberFormat="1" applyFont="1" applyBorder="1" applyAlignment="1">
      <alignment vertical="top" wrapText="1"/>
    </xf>
    <xf numFmtId="166" fontId="26" fillId="0" borderId="0" xfId="0" applyNumberFormat="1" applyFont="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24" fillId="0" borderId="0" xfId="0" applyFont="1" applyAlignment="1">
      <alignment horizontal="left" vertical="top"/>
    </xf>
    <xf numFmtId="0" fontId="74" fillId="0" borderId="0" xfId="0" applyFont="1" applyAlignment="1">
      <alignment vertical="center" wrapText="1"/>
    </xf>
    <xf numFmtId="0" fontId="74" fillId="0" borderId="0" xfId="0" applyFont="1" applyAlignment="1">
      <alignment vertical="center"/>
    </xf>
    <xf numFmtId="0" fontId="74" fillId="0" borderId="0" xfId="0" applyFont="1" applyAlignment="1">
      <alignment horizontal="left" vertical="center" indent="1"/>
    </xf>
    <xf numFmtId="172" fontId="26" fillId="5" borderId="0" xfId="0" applyNumberFormat="1" applyFont="1" applyFill="1" applyAlignment="1">
      <alignment horizontal="center"/>
    </xf>
    <xf numFmtId="0" fontId="75" fillId="0" borderId="0" xfId="0" applyFont="1" applyAlignment="1">
      <alignment horizontal="left" vertical="center"/>
    </xf>
    <xf numFmtId="0" fontId="36" fillId="0" borderId="2" xfId="543" applyFont="1" applyBorder="1" applyAlignment="1">
      <alignment horizontal="center" vertical="top" wrapText="1"/>
    </xf>
    <xf numFmtId="49" fontId="47" fillId="0" borderId="0" xfId="0" applyNumberFormat="1" applyFont="1" applyAlignment="1">
      <alignment horizontal="center"/>
    </xf>
    <xf numFmtId="0" fontId="53" fillId="0" borderId="0" xfId="0" applyFont="1"/>
    <xf numFmtId="5" fontId="79" fillId="0" borderId="11" xfId="541" applyNumberFormat="1" applyFont="1" applyBorder="1" applyAlignment="1" applyProtection="1">
      <alignment horizontal="center"/>
    </xf>
    <xf numFmtId="5" fontId="79" fillId="42" borderId="11" xfId="541" applyNumberFormat="1" applyFont="1" applyFill="1" applyBorder="1" applyAlignment="1" applyProtection="1">
      <alignment horizontal="center"/>
    </xf>
    <xf numFmtId="5" fontId="79" fillId="2" borderId="11" xfId="541" applyNumberFormat="1" applyFont="1" applyFill="1" applyBorder="1" applyAlignment="1" applyProtection="1">
      <alignment horizontal="center"/>
    </xf>
    <xf numFmtId="0" fontId="53" fillId="0" borderId="0" xfId="0" applyFont="1" applyAlignment="1">
      <alignment vertical="top" wrapText="1"/>
    </xf>
    <xf numFmtId="0" fontId="53" fillId="0" borderId="0" xfId="0" applyFont="1" applyAlignment="1">
      <alignment vertical="top"/>
    </xf>
    <xf numFmtId="0" fontId="53" fillId="2" borderId="0" xfId="0" applyFont="1" applyFill="1" applyAlignment="1">
      <alignment vertical="top" wrapText="1"/>
    </xf>
    <xf numFmtId="0" fontId="81" fillId="0" borderId="13" xfId="0" applyFont="1" applyBorder="1" applyAlignment="1">
      <alignment vertical="top" wrapText="1"/>
    </xf>
    <xf numFmtId="0" fontId="31" fillId="0" borderId="0" xfId="0" applyFont="1" applyAlignment="1">
      <alignment vertical="top" wrapText="1"/>
    </xf>
    <xf numFmtId="0" fontId="81" fillId="2" borderId="13" xfId="0" applyFont="1" applyFill="1" applyBorder="1" applyAlignment="1">
      <alignment vertical="top" wrapText="1"/>
    </xf>
    <xf numFmtId="0" fontId="81" fillId="0" borderId="0" xfId="0" applyFont="1" applyAlignment="1">
      <alignment vertical="top" wrapText="1"/>
    </xf>
    <xf numFmtId="0" fontId="81" fillId="2" borderId="0" xfId="0" applyFont="1" applyFill="1" applyAlignment="1">
      <alignment vertical="top" wrapText="1"/>
    </xf>
    <xf numFmtId="0" fontId="53" fillId="0" borderId="0" xfId="0" applyFont="1" applyAlignment="1">
      <alignment horizontal="right" vertical="top" wrapText="1"/>
    </xf>
    <xf numFmtId="168" fontId="53" fillId="5" borderId="6" xfId="0" applyNumberFormat="1" applyFont="1" applyFill="1" applyBorder="1" applyAlignment="1" applyProtection="1">
      <alignment horizontal="right" vertical="top" wrapText="1"/>
      <protection locked="0"/>
    </xf>
    <xf numFmtId="168" fontId="53" fillId="0" borderId="6" xfId="0" applyNumberFormat="1" applyFont="1" applyBorder="1" applyAlignment="1">
      <alignment horizontal="right" vertical="top" wrapText="1"/>
    </xf>
    <xf numFmtId="0" fontId="24" fillId="0" borderId="0" xfId="0" applyFont="1" applyAlignment="1">
      <alignment horizontal="left" vertical="top" wrapText="1"/>
    </xf>
    <xf numFmtId="0" fontId="26" fillId="0" borderId="0" xfId="0" applyFont="1" applyAlignment="1">
      <alignment horizontal="right" vertical="top" wrapText="1"/>
    </xf>
    <xf numFmtId="10" fontId="26" fillId="5" borderId="6" xfId="0" applyNumberFormat="1" applyFont="1" applyFill="1" applyBorder="1" applyAlignment="1" applyProtection="1">
      <alignment horizontal="center" vertical="top" wrapText="1"/>
      <protection locked="0"/>
    </xf>
    <xf numFmtId="0" fontId="64"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0" fontId="18" fillId="0" borderId="0" xfId="244" quotePrefix="1" applyAlignment="1" applyProtection="1">
      <alignment horizontal="left"/>
    </xf>
    <xf numFmtId="168" fontId="53"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105" fillId="0" borderId="0" xfId="0" applyFont="1" applyAlignment="1">
      <alignment horizontal="left" vertical="top"/>
    </xf>
    <xf numFmtId="0" fontId="106" fillId="0" borderId="0" xfId="0" applyFont="1" applyAlignment="1">
      <alignment horizontal="left" vertical="top"/>
    </xf>
    <xf numFmtId="0" fontId="74" fillId="0" borderId="0" xfId="0" applyFont="1"/>
    <xf numFmtId="0" fontId="24" fillId="8" borderId="11" xfId="542" applyFont="1" applyFill="1" applyBorder="1" applyAlignment="1">
      <alignment horizontal="left"/>
    </xf>
    <xf numFmtId="0" fontId="24" fillId="8" borderId="11" xfId="542" applyFont="1" applyFill="1" applyBorder="1" applyAlignment="1">
      <alignment horizontal="center"/>
    </xf>
    <xf numFmtId="0" fontId="63" fillId="8" borderId="11" xfId="542" applyFont="1" applyFill="1" applyBorder="1" applyAlignment="1">
      <alignment horizontal="left"/>
    </xf>
    <xf numFmtId="0" fontId="63" fillId="0" borderId="11" xfId="542" applyFont="1" applyBorder="1" applyAlignment="1">
      <alignment horizontal="left"/>
    </xf>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17" fillId="0" borderId="0" xfId="0" applyFont="1" applyAlignment="1">
      <alignment horizontal="center"/>
    </xf>
    <xf numFmtId="0" fontId="31" fillId="0" borderId="8" xfId="569" applyFont="1" applyBorder="1" applyAlignment="1">
      <alignment vertical="top" wrapText="1"/>
    </xf>
    <xf numFmtId="0" fontId="31" fillId="0" borderId="0" xfId="569" applyFont="1" applyAlignment="1">
      <alignment vertical="top" wrapText="1"/>
    </xf>
    <xf numFmtId="0" fontId="55" fillId="2" borderId="11" xfId="569" applyFont="1" applyFill="1" applyBorder="1" applyAlignment="1">
      <alignment horizontal="left" vertical="top" wrapText="1"/>
    </xf>
    <xf numFmtId="6" fontId="53" fillId="4" borderId="11" xfId="569" applyNumberFormat="1" applyFont="1" applyFill="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6" fontId="53" fillId="0" borderId="11" xfId="569" applyNumberFormat="1" applyFont="1" applyBorder="1" applyAlignment="1">
      <alignment vertical="top" wrapText="1"/>
    </xf>
    <xf numFmtId="6" fontId="53" fillId="5" borderId="11" xfId="569" applyNumberFormat="1" applyFont="1" applyFill="1" applyBorder="1" applyAlignment="1" applyProtection="1">
      <alignment vertical="top" wrapText="1"/>
      <protection locked="0"/>
    </xf>
    <xf numFmtId="6" fontId="53" fillId="6" borderId="11" xfId="569" applyNumberFormat="1" applyFont="1" applyFill="1" applyBorder="1" applyAlignment="1">
      <alignment horizontal="center" vertical="top" wrapText="1"/>
    </xf>
    <xf numFmtId="0" fontId="53" fillId="0" borderId="11" xfId="569" applyFont="1" applyBorder="1" applyAlignment="1">
      <alignment horizontal="right" vertical="top" wrapText="1"/>
    </xf>
    <xf numFmtId="0" fontId="54" fillId="0" borderId="11" xfId="569" applyFont="1" applyBorder="1" applyAlignment="1">
      <alignment horizontal="right" vertical="top" wrapText="1"/>
    </xf>
    <xf numFmtId="0" fontId="53" fillId="0" borderId="11" xfId="569" applyFont="1" applyBorder="1" applyAlignment="1">
      <alignment horizontal="right" vertical="top"/>
    </xf>
    <xf numFmtId="6" fontId="54" fillId="0" borderId="11" xfId="569" applyNumberFormat="1" applyFont="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0" fontId="20" fillId="0" borderId="11" xfId="569" applyFont="1" applyBorder="1" applyAlignment="1">
      <alignment horizontal="right" vertical="top" wrapText="1"/>
    </xf>
    <xf numFmtId="0" fontId="54" fillId="0" borderId="0" xfId="569" applyFont="1" applyAlignment="1">
      <alignment horizontal="left" vertical="top"/>
    </xf>
    <xf numFmtId="6" fontId="53" fillId="0" borderId="0" xfId="569" applyNumberFormat="1" applyFont="1" applyAlignment="1">
      <alignment horizontal="left" vertical="top"/>
    </xf>
    <xf numFmtId="0" fontId="106" fillId="0" borderId="0" xfId="569" applyFont="1" applyAlignment="1">
      <alignment horizontal="left" vertical="top"/>
    </xf>
    <xf numFmtId="6" fontId="53" fillId="0" borderId="0" xfId="569" applyNumberFormat="1" applyFont="1" applyAlignment="1">
      <alignment vertical="top" wrapText="1"/>
    </xf>
    <xf numFmtId="0" fontId="53" fillId="0" borderId="0" xfId="569" applyFont="1" applyAlignment="1">
      <alignment horizontal="left" vertical="top"/>
    </xf>
    <xf numFmtId="0" fontId="53" fillId="0" borderId="12" xfId="569" applyFont="1" applyBorder="1" applyAlignment="1">
      <alignment vertical="top" wrapText="1"/>
    </xf>
    <xf numFmtId="0" fontId="24" fillId="0" borderId="0" xfId="569" applyFont="1" applyAlignment="1">
      <alignment horizontal="left" vertical="top"/>
    </xf>
    <xf numFmtId="0" fontId="109" fillId="0" borderId="0" xfId="569" applyFont="1" applyAlignment="1">
      <alignment horizontal="left" vertical="top"/>
    </xf>
    <xf numFmtId="0" fontId="64"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53" fillId="0" borderId="0" xfId="569" applyFont="1" applyAlignment="1">
      <alignment vertical="top"/>
    </xf>
    <xf numFmtId="168" fontId="53" fillId="0" borderId="0" xfId="569" applyNumberFormat="1" applyFont="1" applyAlignment="1" applyProtection="1">
      <alignment horizontal="right" vertical="top" wrapText="1"/>
      <protection locked="0"/>
    </xf>
    <xf numFmtId="0" fontId="17" fillId="0" borderId="0" xfId="569" applyAlignment="1">
      <alignment vertical="top" wrapText="1"/>
    </xf>
    <xf numFmtId="0" fontId="17" fillId="0" borderId="0" xfId="569" applyAlignment="1">
      <alignment vertical="top"/>
    </xf>
    <xf numFmtId="0" fontId="53" fillId="0" borderId="0" xfId="569" applyFont="1" applyAlignment="1">
      <alignment horizontal="right" vertical="top" wrapText="1"/>
    </xf>
    <xf numFmtId="0" fontId="24" fillId="0" borderId="0" xfId="569" applyFont="1" applyAlignment="1">
      <alignment horizontal="left" vertical="top" wrapText="1"/>
    </xf>
    <xf numFmtId="168" fontId="53"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17" fillId="0" borderId="0" xfId="569" applyAlignment="1">
      <alignment horizontal="right" vertical="top" wrapText="1"/>
    </xf>
    <xf numFmtId="0" fontId="17" fillId="0" borderId="0" xfId="569" applyAlignment="1">
      <alignment horizontal="left" vertical="top"/>
    </xf>
    <xf numFmtId="0" fontId="81" fillId="0" borderId="0" xfId="569" applyFont="1" applyAlignment="1">
      <alignment vertical="top" wrapText="1"/>
    </xf>
    <xf numFmtId="0" fontId="81" fillId="0" borderId="12" xfId="569" applyFont="1" applyBorder="1" applyAlignment="1">
      <alignment vertical="top" wrapText="1"/>
    </xf>
    <xf numFmtId="0" fontId="81" fillId="0" borderId="8" xfId="569" applyFont="1" applyBorder="1" applyAlignment="1">
      <alignment vertical="top" wrapText="1"/>
    </xf>
    <xf numFmtId="0" fontId="31" fillId="0" borderId="0" xfId="569" applyFont="1" applyAlignment="1">
      <alignment horizontal="right" vertical="top" wrapText="1"/>
    </xf>
    <xf numFmtId="0" fontId="81" fillId="0" borderId="0" xfId="569" applyFont="1" applyAlignment="1">
      <alignment horizontal="right" vertical="top" wrapText="1"/>
    </xf>
    <xf numFmtId="0" fontId="54" fillId="0" borderId="3" xfId="569" applyFont="1" applyBorder="1" applyAlignment="1">
      <alignment horizontal="left"/>
    </xf>
    <xf numFmtId="0" fontId="54" fillId="0" borderId="13" xfId="569" applyFont="1" applyBorder="1" applyAlignment="1">
      <alignment horizontal="center" wrapText="1"/>
    </xf>
    <xf numFmtId="0" fontId="54" fillId="0" borderId="8" xfId="569" applyFont="1" applyBorder="1" applyAlignment="1">
      <alignment horizontal="center" wrapText="1"/>
    </xf>
    <xf numFmtId="0" fontId="54"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wrapText="1"/>
    </xf>
    <xf numFmtId="0" fontId="17" fillId="0" borderId="0" xfId="569" applyAlignment="1">
      <alignment vertical="center"/>
    </xf>
    <xf numFmtId="0" fontId="41"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107" fillId="0" borderId="0" xfId="569" applyFont="1" applyAlignment="1">
      <alignment horizontal="left" vertical="top" wrapText="1"/>
    </xf>
    <xf numFmtId="168" fontId="17" fillId="0" borderId="0" xfId="569" applyNumberFormat="1" applyAlignment="1">
      <alignment wrapText="1"/>
    </xf>
    <xf numFmtId="0" fontId="22" fillId="0" borderId="11" xfId="253" applyFont="1" applyBorder="1" applyAlignment="1">
      <alignment horizontal="center" wrapText="1"/>
    </xf>
    <xf numFmtId="0" fontId="22" fillId="0" borderId="0" xfId="253" applyFont="1" applyAlignment="1">
      <alignment horizontal="center" wrapText="1"/>
    </xf>
    <xf numFmtId="3" fontId="22" fillId="0" borderId="11" xfId="271" applyNumberFormat="1" applyFont="1" applyBorder="1"/>
    <xf numFmtId="3" fontId="22" fillId="0" borderId="0" xfId="271" applyNumberFormat="1" applyFont="1"/>
    <xf numFmtId="0" fontId="65" fillId="0" borderId="0" xfId="271" applyFont="1" applyAlignment="1">
      <alignment horizontal="left"/>
    </xf>
    <xf numFmtId="0" fontId="65" fillId="0" borderId="0" xfId="271" applyFont="1" applyAlignment="1">
      <alignment horizontal="right"/>
    </xf>
    <xf numFmtId="168" fontId="22" fillId="0" borderId="11" xfId="271" applyNumberFormat="1" applyFont="1" applyBorder="1"/>
    <xf numFmtId="168" fontId="22" fillId="0" borderId="0" xfId="271" applyNumberFormat="1" applyFont="1"/>
    <xf numFmtId="0" fontId="53" fillId="0" borderId="0" xfId="569" applyFont="1" applyAlignment="1">
      <alignment horizontal="left"/>
    </xf>
    <xf numFmtId="0" fontId="17" fillId="0" borderId="3" xfId="569" applyBorder="1"/>
    <xf numFmtId="0" fontId="108" fillId="0" borderId="0" xfId="1834"/>
    <xf numFmtId="0" fontId="0" fillId="0" borderId="0" xfId="0" applyAlignment="1">
      <alignment horizontal="left" vertical="top"/>
    </xf>
    <xf numFmtId="0" fontId="107" fillId="0" borderId="0" xfId="0" applyFont="1" applyAlignment="1">
      <alignment vertical="top" wrapText="1"/>
    </xf>
    <xf numFmtId="0" fontId="53" fillId="0" borderId="0" xfId="271" applyFont="1" applyAlignment="1">
      <alignment vertical="top" wrapText="1"/>
    </xf>
    <xf numFmtId="4" fontId="17" fillId="0" borderId="0" xfId="1192" applyNumberFormat="1" applyAlignment="1">
      <alignment horizontal="left" vertical="top" wrapText="1"/>
    </xf>
    <xf numFmtId="0" fontId="17" fillId="0" borderId="0" xfId="0" applyFont="1" applyAlignment="1">
      <alignment horizontal="left" vertical="top" wrapText="1"/>
    </xf>
    <xf numFmtId="0" fontId="24" fillId="0" borderId="12" xfId="543" applyFont="1" applyBorder="1" applyAlignment="1">
      <alignment horizontal="right"/>
    </xf>
    <xf numFmtId="0" fontId="36" fillId="0" borderId="0" xfId="543" applyFont="1" applyAlignment="1">
      <alignment horizontal="center"/>
    </xf>
    <xf numFmtId="4" fontId="17" fillId="0" borderId="0" xfId="569" applyNumberFormat="1" applyAlignment="1">
      <alignment horizontal="left"/>
    </xf>
    <xf numFmtId="0" fontId="17" fillId="0" borderId="0" xfId="569" applyAlignment="1">
      <alignment horizontal="left" vertical="top" wrapText="1"/>
    </xf>
    <xf numFmtId="0" fontId="17" fillId="0" borderId="0" xfId="569" applyAlignment="1">
      <alignment horizontal="left"/>
    </xf>
    <xf numFmtId="0" fontId="17" fillId="0" borderId="0" xfId="1192" applyAlignment="1">
      <alignment horizontal="left"/>
    </xf>
    <xf numFmtId="0" fontId="24" fillId="0" borderId="0" xfId="569" applyFont="1" applyAlignment="1">
      <alignment horizontal="left"/>
    </xf>
    <xf numFmtId="0" fontId="46" fillId="0" borderId="0" xfId="1192" applyFont="1"/>
    <xf numFmtId="0" fontId="53" fillId="0" borderId="11" xfId="0" applyFont="1" applyBorder="1" applyAlignment="1">
      <alignment horizontal="right" vertical="center"/>
    </xf>
    <xf numFmtId="0" fontId="17" fillId="0" borderId="0" xfId="1192" applyAlignment="1">
      <alignment horizontal="left" vertical="top" wrapText="1"/>
    </xf>
    <xf numFmtId="0" fontId="46" fillId="0" borderId="0" xfId="0" applyFont="1" applyAlignment="1">
      <alignment vertical="top" wrapText="1"/>
    </xf>
    <xf numFmtId="0" fontId="46" fillId="0" borderId="0" xfId="0" applyFont="1" applyAlignment="1">
      <alignment horizontal="left" vertical="top" wrapText="1"/>
    </xf>
    <xf numFmtId="6" fontId="54" fillId="0" borderId="0" xfId="569" applyNumberFormat="1" applyFont="1" applyAlignment="1">
      <alignment horizontal="right" vertical="top"/>
    </xf>
    <xf numFmtId="0" fontId="17" fillId="0" borderId="0" xfId="0" applyFont="1" applyAlignment="1">
      <alignment vertical="top" wrapText="1"/>
    </xf>
    <xf numFmtId="168" fontId="26" fillId="0" borderId="0" xfId="0" applyNumberFormat="1" applyFont="1" applyAlignment="1">
      <alignment horizontal="right"/>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17" fillId="0" borderId="0" xfId="0" applyFont="1" applyAlignment="1">
      <alignment wrapText="1"/>
    </xf>
    <xf numFmtId="0" fontId="46" fillId="0" borderId="0" xfId="0" applyFont="1" applyAlignment="1">
      <alignment horizontal="left" vertical="top"/>
    </xf>
    <xf numFmtId="0" fontId="46" fillId="0" borderId="0" xfId="0" applyFont="1" applyAlignment="1">
      <alignment vertical="top"/>
    </xf>
    <xf numFmtId="0" fontId="17" fillId="0" borderId="0" xfId="569" applyAlignment="1">
      <alignment horizontal="center"/>
    </xf>
    <xf numFmtId="0" fontId="35" fillId="0" borderId="0" xfId="569" applyFont="1" applyAlignment="1">
      <alignment horizontal="left"/>
    </xf>
    <xf numFmtId="0" fontId="35" fillId="0" borderId="0" xfId="569" applyFont="1" applyAlignment="1">
      <alignment horizontal="center"/>
    </xf>
    <xf numFmtId="49" fontId="24" fillId="0" borderId="0" xfId="569" applyNumberFormat="1" applyFont="1" applyAlignment="1">
      <alignment horizontal="center"/>
    </xf>
    <xf numFmtId="0" fontId="51"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24" fillId="0" borderId="0" xfId="569" applyFont="1"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51"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9" fillId="0" borderId="0" xfId="569" applyFont="1" applyAlignment="1">
      <alignment horizontal="left"/>
    </xf>
    <xf numFmtId="4" fontId="51"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7" fillId="0" borderId="0" xfId="569" applyFont="1" applyAlignment="1">
      <alignment horizontal="left"/>
    </xf>
    <xf numFmtId="0" fontId="18" fillId="0" borderId="0" xfId="244" applyNumberFormat="1" applyFill="1" applyAlignment="1" applyProtection="1">
      <alignment horizontal="left"/>
      <protection locked="0"/>
    </xf>
    <xf numFmtId="0" fontId="53" fillId="0" borderId="11" xfId="0" applyFont="1" applyBorder="1" applyAlignment="1" applyProtection="1">
      <alignment horizontal="right" vertical="top" wrapText="1"/>
      <protection locked="0"/>
    </xf>
    <xf numFmtId="168" fontId="56" fillId="44" borderId="11" xfId="0" applyNumberFormat="1" applyFont="1" applyFill="1" applyBorder="1" applyAlignment="1">
      <alignment vertical="top" wrapText="1"/>
    </xf>
    <xf numFmtId="0" fontId="17" fillId="0" borderId="11" xfId="271" applyFont="1" applyBorder="1" applyAlignment="1">
      <alignment horizontal="right" vertical="top" wrapText="1"/>
    </xf>
    <xf numFmtId="0" fontId="25" fillId="0" borderId="0" xfId="569" applyFont="1" applyAlignment="1">
      <alignment horizontal="left"/>
    </xf>
    <xf numFmtId="0" fontId="105" fillId="0" borderId="0" xfId="0" applyFont="1"/>
    <xf numFmtId="0" fontId="116" fillId="0" borderId="0" xfId="0" applyFont="1" applyAlignment="1">
      <alignment horizontal="left" vertical="top"/>
    </xf>
    <xf numFmtId="0" fontId="117" fillId="0" borderId="0" xfId="0" applyFont="1" applyAlignment="1">
      <alignment horizontal="left" vertical="top"/>
    </xf>
    <xf numFmtId="168" fontId="25" fillId="0" borderId="0" xfId="0" applyNumberFormat="1" applyFont="1" applyAlignment="1">
      <alignment horizontal="left" vertical="top" wrapText="1"/>
    </xf>
    <xf numFmtId="168" fontId="53" fillId="5" borderId="11" xfId="0" applyNumberFormat="1" applyFont="1" applyFill="1" applyBorder="1" applyAlignment="1">
      <alignment vertical="top" wrapText="1"/>
    </xf>
    <xf numFmtId="0" fontId="17" fillId="0" borderId="0" xfId="271" applyFont="1" applyAlignment="1">
      <alignment horizontal="left" vertical="top"/>
    </xf>
    <xf numFmtId="0" fontId="53" fillId="0" borderId="0" xfId="569" applyFont="1"/>
    <xf numFmtId="0" fontId="17" fillId="0" borderId="0" xfId="0" applyFont="1" applyAlignment="1">
      <alignment horizontal="left" vertical="top"/>
    </xf>
    <xf numFmtId="4" fontId="17" fillId="0" borderId="0" xfId="1192" applyNumberFormat="1" applyAlignment="1">
      <alignment vertical="top" wrapText="1"/>
    </xf>
    <xf numFmtId="0" fontId="24" fillId="0" borderId="16" xfId="271" applyFont="1" applyBorder="1"/>
    <xf numFmtId="0" fontId="60" fillId="0" borderId="0" xfId="569" applyFont="1"/>
    <xf numFmtId="0" fontId="41" fillId="0" borderId="0" xfId="569" applyFont="1"/>
    <xf numFmtId="0" fontId="17" fillId="0" borderId="0" xfId="1192" applyAlignment="1">
      <alignment vertical="top" wrapText="1"/>
    </xf>
    <xf numFmtId="49" fontId="17" fillId="0" borderId="0" xfId="1192" applyNumberFormat="1" applyAlignment="1">
      <alignment vertical="top" wrapText="1"/>
    </xf>
    <xf numFmtId="0" fontId="55" fillId="0" borderId="9" xfId="543" applyFont="1" applyBorder="1" applyAlignment="1">
      <alignment vertical="top"/>
    </xf>
    <xf numFmtId="0" fontId="17" fillId="0" borderId="0" xfId="0" applyFont="1" applyAlignment="1">
      <alignment vertical="center"/>
    </xf>
    <xf numFmtId="0" fontId="118" fillId="0" borderId="0" xfId="0" applyFont="1"/>
    <xf numFmtId="3" fontId="105" fillId="0" borderId="0" xfId="0" applyNumberFormat="1" applyFont="1"/>
    <xf numFmtId="0" fontId="105" fillId="0" borderId="0" xfId="0" applyFont="1" applyAlignment="1">
      <alignment horizontal="left"/>
    </xf>
    <xf numFmtId="168" fontId="119" fillId="0" borderId="0" xfId="0" applyNumberFormat="1" applyFont="1" applyAlignment="1">
      <alignment horizontal="left" vertical="top"/>
    </xf>
    <xf numFmtId="0" fontId="105" fillId="0" borderId="0" xfId="0" applyFont="1" applyAlignment="1">
      <alignment horizontal="left" vertical="center"/>
    </xf>
    <xf numFmtId="0" fontId="121"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24" fillId="0" borderId="0" xfId="4495" applyFont="1" applyAlignment="1">
      <alignment horizontal="right"/>
    </xf>
    <xf numFmtId="0" fontId="35" fillId="0" borderId="0" xfId="4495" applyFont="1" applyAlignment="1">
      <alignment horizontal="left" vertical="center"/>
    </xf>
    <xf numFmtId="0" fontId="17" fillId="0" borderId="0" xfId="1192" quotePrefix="1" applyAlignment="1">
      <alignment horizontal="center"/>
    </xf>
    <xf numFmtId="0" fontId="47"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23" fillId="0" borderId="53" xfId="4496" applyFont="1" applyBorder="1" applyAlignment="1">
      <alignment horizontal="left" vertical="top"/>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7" fillId="0" borderId="0" xfId="4495" applyFont="1" applyAlignment="1">
      <alignment horizontal="left" vertical="center"/>
    </xf>
    <xf numFmtId="0" fontId="124" fillId="0" borderId="0" xfId="4496" applyFont="1" applyAlignment="1">
      <alignment vertical="center"/>
    </xf>
    <xf numFmtId="0" fontId="122" fillId="0" borderId="0" xfId="4496" applyFont="1"/>
    <xf numFmtId="0" fontId="122" fillId="0" borderId="0" xfId="4496" applyFont="1" applyAlignment="1">
      <alignment vertical="center"/>
    </xf>
    <xf numFmtId="0" fontId="125"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20"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20"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22" fillId="0" borderId="53" xfId="4496" applyFont="1" applyBorder="1" applyAlignment="1">
      <alignment vertical="top" wrapText="1"/>
    </xf>
    <xf numFmtId="0" fontId="122" fillId="0" borderId="0" xfId="4496" applyFont="1" applyAlignment="1">
      <alignment vertical="top" wrapText="1"/>
    </xf>
    <xf numFmtId="10" fontId="122" fillId="0" borderId="0" xfId="4496" applyNumberFormat="1" applyFont="1" applyAlignment="1">
      <alignment vertical="top" wrapText="1"/>
    </xf>
    <xf numFmtId="0" fontId="122" fillId="0" borderId="54" xfId="4496" applyFont="1" applyBorder="1" applyAlignment="1">
      <alignment vertical="top" wrapText="1"/>
    </xf>
    <xf numFmtId="0" fontId="122" fillId="0" borderId="0" xfId="4496" applyFont="1" applyAlignment="1">
      <alignment vertical="top"/>
    </xf>
    <xf numFmtId="165" fontId="122"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22" fillId="0" borderId="53" xfId="4496" applyFont="1" applyBorder="1" applyAlignment="1">
      <alignment horizontal="left" vertical="top" wrapText="1"/>
    </xf>
    <xf numFmtId="0" fontId="122"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0" xfId="4495" applyFont="1" applyAlignment="1">
      <alignment horizontal="center"/>
    </xf>
    <xf numFmtId="0" fontId="24" fillId="0" borderId="8" xfId="4495" applyFont="1" applyBorder="1"/>
    <xf numFmtId="0" fontId="25" fillId="0" borderId="0" xfId="4495" applyFont="1" applyAlignment="1">
      <alignment horizontal="left"/>
    </xf>
    <xf numFmtId="0" fontId="24" fillId="0" borderId="0" xfId="4495" applyFont="1" applyAlignment="1">
      <alignment horizontal="center" vertical="top"/>
    </xf>
    <xf numFmtId="0" fontId="17" fillId="0" borderId="0" xfId="4495" applyFont="1" applyAlignment="1">
      <alignment horizontal="center"/>
    </xf>
    <xf numFmtId="0" fontId="33" fillId="0" borderId="0" xfId="4495" applyFont="1"/>
    <xf numFmtId="0" fontId="25" fillId="0" borderId="8" xfId="4495" applyFont="1" applyBorder="1"/>
    <xf numFmtId="0" fontId="53"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17" fillId="0" borderId="0" xfId="4495" applyFont="1" applyAlignment="1">
      <alignment horizontal="left"/>
    </xf>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53"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24" fillId="0" borderId="0" xfId="4495" applyFont="1" applyAlignment="1">
      <alignment horizontal="lef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0" fontId="24" fillId="0" borderId="0" xfId="4495" applyFont="1" applyAlignment="1">
      <alignment horizontal="left" vertical="top"/>
    </xf>
    <xf numFmtId="1" fontId="120" fillId="0" borderId="0" xfId="4495" applyNumberFormat="1"/>
    <xf numFmtId="0" fontId="17" fillId="0" borderId="0" xfId="4495" applyFont="1" applyAlignment="1">
      <alignment vertical="top" wrapText="1"/>
    </xf>
    <xf numFmtId="0" fontId="17" fillId="0" borderId="0" xfId="4495" applyFont="1" applyAlignment="1">
      <alignment horizontal="lef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20" fillId="0" borderId="0" xfId="4495" applyAlignment="1" applyProtection="1">
      <alignment horizontal="center"/>
      <protection locked="0"/>
    </xf>
    <xf numFmtId="0" fontId="17" fillId="0" borderId="53" xfId="4495" applyFont="1" applyBorder="1" applyAlignment="1">
      <alignment vertical="top"/>
    </xf>
    <xf numFmtId="0" fontId="17" fillId="0" borderId="54" xfId="4495" applyFont="1" applyBorder="1" applyAlignment="1">
      <alignment vertical="top" wrapText="1"/>
    </xf>
    <xf numFmtId="0" fontId="61"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61"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26"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20"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applyFont="1" applyAlignment="1">
      <alignment horizontal="center"/>
    </xf>
    <xf numFmtId="0" fontId="25" fillId="0" borderId="0" xfId="4495" quotePrefix="1" applyFont="1"/>
    <xf numFmtId="0" fontId="25" fillId="0" borderId="0" xfId="4495" applyFont="1" applyAlignment="1">
      <alignment horizontal="left" vertical="top" shrinkToFit="1"/>
    </xf>
    <xf numFmtId="0" fontId="47" fillId="0" borderId="0" xfId="4495" applyFont="1"/>
    <xf numFmtId="0" fontId="25" fillId="0" borderId="3" xfId="4495" applyFont="1" applyBorder="1" applyAlignment="1">
      <alignment horizontal="center"/>
    </xf>
    <xf numFmtId="0" fontId="120" fillId="0" borderId="8" xfId="4495" applyBorder="1"/>
    <xf numFmtId="0" fontId="24" fillId="0" borderId="8" xfId="4495" applyFont="1" applyBorder="1" applyAlignment="1">
      <alignment vertical="top"/>
    </xf>
    <xf numFmtId="0" fontId="120" fillId="0" borderId="0" xfId="4495" applyAlignment="1">
      <alignment vertical="top"/>
    </xf>
    <xf numFmtId="0" fontId="24" fillId="0" borderId="4" xfId="4495" applyFont="1" applyBorder="1" applyAlignment="1">
      <alignment horizontal="center" vertical="top"/>
    </xf>
    <xf numFmtId="0" fontId="126" fillId="0" borderId="0" xfId="4495" applyFont="1" applyAlignment="1">
      <alignment horizontal="left" vertical="top"/>
    </xf>
    <xf numFmtId="0" fontId="126"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30" fillId="0" borderId="0" xfId="4495" applyFont="1" applyAlignment="1">
      <alignment vertical="top" wrapText="1"/>
    </xf>
    <xf numFmtId="0" fontId="130" fillId="0" borderId="0" xfId="4495" applyFont="1" applyAlignment="1">
      <alignment horizontal="left" vertical="top" wrapText="1"/>
    </xf>
    <xf numFmtId="0" fontId="25" fillId="0" borderId="6" xfId="4495" applyFont="1" applyBorder="1"/>
    <xf numFmtId="1" fontId="25" fillId="0" borderId="8" xfId="4495" applyNumberFormat="1" applyFont="1" applyBorder="1" applyAlignment="1">
      <alignment horizontal="center" vertical="top"/>
    </xf>
    <xf numFmtId="0" fontId="120" fillId="0" borderId="12" xfId="4495" applyBorder="1"/>
    <xf numFmtId="0" fontId="25" fillId="0" borderId="9" xfId="4495" applyFont="1" applyBorder="1"/>
    <xf numFmtId="0" fontId="120" fillId="0" borderId="10" xfId="4495" applyBorder="1"/>
    <xf numFmtId="0" fontId="33" fillId="0" borderId="3" xfId="4495" applyFont="1" applyBorder="1"/>
    <xf numFmtId="0" fontId="24" fillId="0" borderId="4" xfId="4495" applyFont="1" applyBorder="1"/>
    <xf numFmtId="0" fontId="120" fillId="0" borderId="12" xfId="4495" applyBorder="1" applyAlignment="1">
      <alignment vertical="top"/>
    </xf>
    <xf numFmtId="0" fontId="33" fillId="0" borderId="1" xfId="4495" applyFont="1" applyBorder="1"/>
    <xf numFmtId="0" fontId="130" fillId="0" borderId="2" xfId="4495" applyFont="1" applyBorder="1" applyAlignment="1">
      <alignment horizontal="left" wrapText="1"/>
    </xf>
    <xf numFmtId="0" fontId="130" fillId="0" borderId="2" xfId="4495" applyFont="1" applyBorder="1" applyAlignment="1">
      <alignment horizontal="left"/>
    </xf>
    <xf numFmtId="0" fontId="130" fillId="0" borderId="7" xfId="4495" applyFont="1" applyBorder="1" applyAlignment="1">
      <alignment horizontal="left" wrapText="1"/>
    </xf>
    <xf numFmtId="0" fontId="130" fillId="0" borderId="0" xfId="4495" applyFont="1" applyAlignment="1">
      <alignment horizontal="left" wrapText="1"/>
    </xf>
    <xf numFmtId="0" fontId="33" fillId="0" borderId="9" xfId="4495" applyFont="1" applyBorder="1"/>
    <xf numFmtId="0" fontId="25" fillId="0" borderId="10" xfId="4495" applyFont="1" applyBorder="1"/>
    <xf numFmtId="0" fontId="130"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24" fillId="0" borderId="54" xfId="4495" applyFont="1" applyBorder="1" applyAlignment="1">
      <alignment horizontal="center"/>
    </xf>
    <xf numFmtId="0" fontId="33" fillId="0" borderId="0" xfId="4495" applyFont="1" applyAlignment="1">
      <alignment vertical="top"/>
    </xf>
    <xf numFmtId="0" fontId="25" fillId="0" borderId="61" xfId="4495" applyFont="1" applyBorder="1"/>
    <xf numFmtId="0" fontId="120"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20" fillId="0" borderId="61" xfId="4495" applyBorder="1"/>
    <xf numFmtId="0" fontId="120" fillId="0" borderId="0" xfId="4495" applyAlignment="1">
      <alignment horizontal="center"/>
    </xf>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20"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0" fontId="24" fillId="0" borderId="54" xfId="4495" applyFont="1" applyBorder="1" applyAlignment="1">
      <alignment horizontal="center" vertical="top"/>
    </xf>
    <xf numFmtId="0" fontId="120" fillId="0" borderId="53" xfId="4495" applyBorder="1" applyAlignment="1">
      <alignment horizontal="center"/>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29" fillId="0" borderId="0" xfId="4495" applyFont="1"/>
    <xf numFmtId="0" fontId="120"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20"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53" fillId="0" borderId="0" xfId="4495" applyFont="1" applyAlignment="1">
      <alignment horizontal="left" vertical="top"/>
    </xf>
    <xf numFmtId="0" fontId="25" fillId="0" borderId="0" xfId="4495" quotePrefix="1" applyFont="1" applyAlignment="1">
      <alignment horizontal="center" vertical="top"/>
    </xf>
    <xf numFmtId="0" fontId="54" fillId="0" borderId="0" xfId="4495" applyFont="1" applyAlignment="1">
      <alignment horizontal="center"/>
    </xf>
    <xf numFmtId="0" fontId="54" fillId="0" borderId="0" xfId="4495" applyFont="1" applyAlignment="1">
      <alignment vertical="top"/>
    </xf>
    <xf numFmtId="0" fontId="107" fillId="0" borderId="0" xfId="4495" applyFont="1"/>
    <xf numFmtId="0" fontId="53"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53" fillId="0" borderId="51" xfId="4495" applyFont="1" applyBorder="1" applyAlignment="1">
      <alignment horizontal="left" vertical="top"/>
    </xf>
    <xf numFmtId="0" fontId="120" fillId="0" borderId="53" xfId="4495" applyBorder="1"/>
    <xf numFmtId="0" fontId="107"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25" fillId="0" borderId="51" xfId="4495" applyFont="1" applyBorder="1" applyAlignment="1">
      <alignment horizontal="lef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22"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24" fillId="0" borderId="3" xfId="4495" applyFont="1" applyBorder="1" applyAlignment="1">
      <alignment horizontal="left"/>
    </xf>
    <xf numFmtId="0" fontId="24" fillId="0" borderId="4"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0" fontId="24" fillId="0" borderId="5" xfId="4495" applyFont="1" applyBorder="1" applyAlignment="1">
      <alignment horizontal="left"/>
    </xf>
    <xf numFmtId="180" fontId="64" fillId="0" borderId="0" xfId="4495" applyNumberFormat="1" applyFont="1" applyAlignment="1">
      <alignment horizontal="center" vertical="center"/>
    </xf>
    <xf numFmtId="0" fontId="17" fillId="0" borderId="12" xfId="4495" applyFont="1" applyBorder="1" applyAlignment="1">
      <alignment vertical="top"/>
    </xf>
    <xf numFmtId="0" fontId="47" fillId="0" borderId="0" xfId="4495" applyFont="1" applyAlignment="1">
      <alignment vertical="top" wrapText="1"/>
    </xf>
    <xf numFmtId="0" fontId="17" fillId="0" borderId="51" xfId="4495" applyFont="1" applyBorder="1" applyAlignment="1">
      <alignment horizontal="lef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left" vertical="top" wrapText="1"/>
    </xf>
    <xf numFmtId="0" fontId="17" fillId="0" borderId="58" xfId="4495" applyFont="1" applyBorder="1" applyAlignment="1">
      <alignment horizontal="right"/>
    </xf>
    <xf numFmtId="0" fontId="17" fillId="0" borderId="59" xfId="4495" applyFont="1" applyBorder="1" applyAlignment="1">
      <alignment horizontal="right"/>
    </xf>
    <xf numFmtId="0" fontId="47"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165" fontId="17" fillId="0" borderId="0" xfId="1192" applyNumberFormat="1" applyAlignment="1">
      <alignment horizontal="right"/>
    </xf>
    <xf numFmtId="2" fontId="17" fillId="0" borderId="0" xfId="1192" applyNumberFormat="1"/>
    <xf numFmtId="6" fontId="17" fillId="0" borderId="0" xfId="1192" applyNumberFormat="1"/>
    <xf numFmtId="0" fontId="24" fillId="0" borderId="0" xfId="1192" applyFont="1"/>
    <xf numFmtId="0" fontId="47" fillId="0" borderId="0" xfId="1192" applyFont="1"/>
    <xf numFmtId="168" fontId="17" fillId="0" borderId="0" xfId="4495" applyNumberFormat="1" applyFont="1"/>
    <xf numFmtId="0" fontId="24" fillId="0" borderId="0" xfId="1192" applyFont="1" applyAlignment="1">
      <alignment vertical="center"/>
    </xf>
    <xf numFmtId="0" fontId="118" fillId="0" borderId="0" xfId="1192" applyFont="1" applyAlignment="1">
      <alignment horizontal="left"/>
    </xf>
    <xf numFmtId="0" fontId="115" fillId="0" borderId="0" xfId="1192" applyFont="1" applyAlignment="1">
      <alignment horizontal="left"/>
    </xf>
    <xf numFmtId="0" fontId="115"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0" xfId="1192" applyAlignment="1">
      <alignment horizontal="right"/>
    </xf>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54" fillId="0" borderId="4" xfId="4495" applyFont="1" applyBorder="1"/>
    <xf numFmtId="0" fontId="37" fillId="0" borderId="0" xfId="543" applyFont="1" applyAlignment="1">
      <alignment vertical="center" wrapText="1"/>
    </xf>
    <xf numFmtId="1" fontId="24" fillId="0" borderId="13" xfId="271" applyNumberFormat="1" applyFont="1" applyBorder="1"/>
    <xf numFmtId="1" fontId="26" fillId="0" borderId="13" xfId="271" applyNumberFormat="1" applyBorder="1"/>
    <xf numFmtId="0" fontId="17" fillId="0" borderId="11" xfId="0" applyFont="1" applyBorder="1"/>
    <xf numFmtId="9" fontId="17" fillId="0" borderId="0" xfId="4495" applyNumberFormat="1" applyFont="1"/>
    <xf numFmtId="165" fontId="122" fillId="0" borderId="0" xfId="4496" applyNumberFormat="1" applyFont="1" applyAlignment="1">
      <alignment horizontal="center" vertical="top" wrapText="1"/>
    </xf>
    <xf numFmtId="168" fontId="122" fillId="0" borderId="0" xfId="4496" applyNumberFormat="1" applyFont="1" applyAlignment="1">
      <alignment vertical="top" wrapText="1"/>
    </xf>
    <xf numFmtId="165" fontId="122" fillId="0" borderId="64" xfId="4496" applyNumberFormat="1" applyFont="1" applyBorder="1" applyAlignment="1">
      <alignment horizontal="center" vertical="top" wrapText="1"/>
    </xf>
    <xf numFmtId="165" fontId="122" fillId="0" borderId="53" xfId="4496" applyNumberFormat="1" applyFont="1" applyBorder="1" applyAlignment="1">
      <alignment horizontal="left" vertical="top"/>
    </xf>
    <xf numFmtId="165" fontId="122" fillId="0" borderId="53" xfId="4496" applyNumberFormat="1" applyFont="1" applyBorder="1" applyAlignment="1">
      <alignment horizontal="center" vertical="top" wrapText="1"/>
    </xf>
    <xf numFmtId="168" fontId="122" fillId="0" borderId="0" xfId="4496" applyNumberFormat="1" applyFont="1" applyAlignment="1">
      <alignment vertical="top"/>
    </xf>
    <xf numFmtId="1" fontId="122" fillId="0" borderId="0" xfId="4496" applyNumberFormat="1" applyFont="1" applyAlignment="1">
      <alignment vertical="top" wrapText="1"/>
    </xf>
    <xf numFmtId="164" fontId="25" fillId="0" borderId="0" xfId="4495" applyNumberFormat="1" applyFont="1"/>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1" fillId="0" borderId="50" xfId="1192" applyFont="1" applyBorder="1" applyAlignment="1">
      <alignment horizontal="left"/>
    </xf>
    <xf numFmtId="0" fontId="142" fillId="0" borderId="51" xfId="4495" applyFont="1" applyBorder="1" applyAlignment="1">
      <alignment vertical="top"/>
    </xf>
    <xf numFmtId="0" fontId="141" fillId="0" borderId="51" xfId="4495" applyFont="1" applyBorder="1" applyAlignment="1">
      <alignment vertical="top" wrapText="1"/>
    </xf>
    <xf numFmtId="0" fontId="142" fillId="0" borderId="51" xfId="4495" applyFont="1" applyBorder="1"/>
    <xf numFmtId="0" fontId="142" fillId="0" borderId="53" xfId="1192" applyFont="1" applyBorder="1" applyAlignment="1">
      <alignment horizontal="left"/>
    </xf>
    <xf numFmtId="0" fontId="142" fillId="0" borderId="0" xfId="4495" applyFont="1" applyAlignment="1">
      <alignment vertical="top"/>
    </xf>
    <xf numFmtId="0" fontId="141" fillId="0" borderId="0" xfId="4495" applyFont="1" applyAlignment="1">
      <alignment vertical="top" wrapText="1"/>
    </xf>
    <xf numFmtId="0" fontId="142" fillId="0" borderId="0" xfId="4495" applyFont="1"/>
    <xf numFmtId="0" fontId="141" fillId="0" borderId="53" xfId="1192" applyFont="1" applyBorder="1" applyAlignment="1">
      <alignment horizontal="left"/>
    </xf>
    <xf numFmtId="0" fontId="141" fillId="0" borderId="57" xfId="1192" applyFont="1" applyBorder="1" applyAlignment="1">
      <alignment horizontal="left"/>
    </xf>
    <xf numFmtId="0" fontId="142" fillId="0" borderId="58" xfId="4495" applyFont="1" applyBorder="1" applyAlignment="1">
      <alignment vertical="top"/>
    </xf>
    <xf numFmtId="0" fontId="141" fillId="0" borderId="58" xfId="4495" applyFont="1" applyBorder="1" applyAlignment="1">
      <alignment vertical="top" wrapText="1"/>
    </xf>
    <xf numFmtId="0" fontId="142" fillId="0" borderId="58" xfId="4495" applyFont="1" applyBorder="1"/>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0" fontId="24" fillId="0" borderId="7" xfId="0" applyFont="1" applyBorder="1" applyAlignment="1">
      <alignment horizontal="right"/>
    </xf>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50" fillId="0" borderId="0" xfId="0" applyFont="1" applyAlignment="1">
      <alignment horizontal="center"/>
    </xf>
    <xf numFmtId="0" fontId="23" fillId="0" borderId="0" xfId="0" applyFont="1" applyAlignment="1">
      <alignment horizontal="center" vertical="center" wrapText="1"/>
    </xf>
    <xf numFmtId="0" fontId="32" fillId="0" borderId="0" xfId="0" applyFont="1" applyAlignment="1">
      <alignment horizontal="center"/>
    </xf>
    <xf numFmtId="0" fontId="25" fillId="0" borderId="0" xfId="0" applyFont="1" applyAlignment="1">
      <alignment horizontal="center"/>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17" fillId="0" borderId="58" xfId="4495" applyFont="1" applyBorder="1" applyAlignment="1">
      <alignment vertical="center" wrapText="1"/>
    </xf>
    <xf numFmtId="0" fontId="17" fillId="0" borderId="59" xfId="4495" applyFont="1" applyBorder="1" applyAlignment="1">
      <alignment vertical="center" wrapText="1"/>
    </xf>
    <xf numFmtId="0" fontId="17" fillId="0" borderId="0" xfId="4495" applyFont="1" applyAlignment="1">
      <alignment horizontal="left" vertical="center" wrapText="1"/>
    </xf>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171" fontId="17" fillId="0" borderId="11" xfId="543" applyNumberFormat="1" applyBorder="1"/>
    <xf numFmtId="1" fontId="17" fillId="0" borderId="11" xfId="543" applyNumberFormat="1" applyBorder="1" applyAlignment="1">
      <alignment horizontal="center"/>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37" fillId="0" borderId="12" xfId="543" applyFont="1" applyBorder="1" applyAlignment="1">
      <alignment horizontal="center" vertical="top"/>
    </xf>
    <xf numFmtId="0" fontId="38" fillId="0" borderId="7" xfId="543" applyFont="1" applyBorder="1"/>
    <xf numFmtId="0" fontId="17" fillId="0" borderId="12" xfId="543" quotePrefix="1" applyBorder="1"/>
    <xf numFmtId="0" fontId="53"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46"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0" xfId="4495" applyFont="1" applyAlignment="1">
      <alignment horizontal="left" vertical="top" wrapText="1" shrinkToFit="1"/>
    </xf>
    <xf numFmtId="0" fontId="17" fillId="0" borderId="6" xfId="4495" applyFont="1" applyBorder="1" applyAlignment="1">
      <alignment vertical="top" wrapText="1"/>
    </xf>
    <xf numFmtId="0" fontId="146"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0" xfId="707" applyFont="1" applyFill="1" applyBorder="1" applyAlignment="1" applyProtection="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0" xfId="4495" applyFont="1" applyAlignment="1">
      <alignment horizontal="left" vertical="center" wrapText="1" shrinkToFit="1"/>
    </xf>
    <xf numFmtId="0" fontId="17" fillId="0" borderId="6" xfId="4495" applyFont="1" applyBorder="1" applyAlignment="1">
      <alignment horizontal="left" vertical="top" wrapText="1"/>
    </xf>
    <xf numFmtId="2" fontId="118"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72" fontId="17" fillId="0" borderId="11" xfId="0" applyNumberFormat="1" applyFont="1" applyBorder="1" applyAlignment="1">
      <alignment horizontal="center"/>
    </xf>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9" fillId="0" borderId="0" xfId="4496" applyFont="1"/>
    <xf numFmtId="168" fontId="53" fillId="5" borderId="11" xfId="0" applyNumberFormat="1" applyFont="1" applyFill="1" applyBorder="1" applyAlignment="1" applyProtection="1">
      <alignment vertical="top" wrapText="1"/>
      <protection locked="0"/>
    </xf>
    <xf numFmtId="0" fontId="17" fillId="0" borderId="0" xfId="0" applyFont="1" applyAlignment="1">
      <alignment horizontal="left" wrapText="1"/>
    </xf>
    <xf numFmtId="4" fontId="35" fillId="0" borderId="0" xfId="0" applyNumberFormat="1" applyFont="1" applyAlignment="1">
      <alignment horizontal="left"/>
    </xf>
    <xf numFmtId="4" fontId="17" fillId="0" borderId="0" xfId="0" applyNumberFormat="1" applyFont="1" applyAlignment="1">
      <alignment horizontal="left" vertical="top" wrapText="1"/>
    </xf>
    <xf numFmtId="0" fontId="24" fillId="0" borderId="4" xfId="0" applyFont="1" applyBorder="1" applyAlignment="1">
      <alignment horizontal="left"/>
    </xf>
    <xf numFmtId="4" fontId="17" fillId="0" borderId="0" xfId="0" applyNumberFormat="1" applyFont="1" applyAlignment="1">
      <alignment horizontal="left"/>
    </xf>
    <xf numFmtId="43" fontId="51"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7" fillId="0" borderId="0" xfId="0" applyFont="1" applyAlignment="1">
      <alignment horizontal="left"/>
    </xf>
    <xf numFmtId="0" fontId="17" fillId="0" borderId="4" xfId="0" applyFont="1" applyBorder="1" applyAlignment="1">
      <alignment horizontal="left"/>
    </xf>
    <xf numFmtId="0" fontId="17" fillId="0" borderId="0" xfId="0" quotePrefix="1" applyFont="1" applyAlignment="1">
      <alignment horizontal="left"/>
    </xf>
    <xf numFmtId="0" fontId="17" fillId="0" borderId="0" xfId="0" quotePrefix="1" applyFont="1" applyAlignment="1">
      <alignment horizontal="left" vertical="top"/>
    </xf>
    <xf numFmtId="0" fontId="47" fillId="0" borderId="0" xfId="1192" applyFont="1" applyAlignment="1">
      <alignment horizontal="left"/>
    </xf>
    <xf numFmtId="0" fontId="51"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22" fillId="0" borderId="0" xfId="4496" applyNumberFormat="1" applyFont="1" applyAlignment="1">
      <alignment horizontal="center" vertical="top" wrapText="1"/>
    </xf>
    <xf numFmtId="10" fontId="122" fillId="0" borderId="64" xfId="4496" applyNumberFormat="1" applyFont="1" applyBorder="1" applyAlignment="1">
      <alignment horizontal="center" vertical="top" wrapText="1"/>
    </xf>
    <xf numFmtId="10" fontId="122"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7" fillId="0" borderId="0" xfId="1192" quotePrefix="1" applyNumberFormat="1" applyAlignment="1">
      <alignment horizontal="center"/>
    </xf>
    <xf numFmtId="0" fontId="122" fillId="0" borderId="0" xfId="4495" applyFont="1"/>
    <xf numFmtId="10" fontId="122" fillId="0" borderId="0" xfId="4495" applyNumberFormat="1" applyFont="1"/>
    <xf numFmtId="172" fontId="17" fillId="0" borderId="0" xfId="4495" applyNumberFormat="1" applyFont="1"/>
    <xf numFmtId="0" fontId="40" fillId="0" borderId="0" xfId="0" applyFont="1" applyAlignment="1">
      <alignment horizontal="center"/>
    </xf>
    <xf numFmtId="0" fontId="36" fillId="0" borderId="0" xfId="0" applyFont="1" applyAlignment="1">
      <alignment horizontal="left"/>
    </xf>
    <xf numFmtId="0" fontId="0" fillId="0" borderId="10" xfId="0" applyBorder="1" applyAlignment="1">
      <alignment horizontal="left"/>
    </xf>
    <xf numFmtId="1" fontId="17" fillId="0" borderId="0" xfId="1192" applyNumberFormat="1" applyAlignment="1">
      <alignment horizontal="center"/>
    </xf>
    <xf numFmtId="0" fontId="120" fillId="0" borderId="63" xfId="4495" applyBorder="1"/>
    <xf numFmtId="0" fontId="53" fillId="0" borderId="0" xfId="271" applyFont="1" applyAlignment="1">
      <alignment vertical="top"/>
    </xf>
    <xf numFmtId="0" fontId="24" fillId="0" borderId="11" xfId="0" applyFont="1" applyBorder="1" applyAlignment="1">
      <alignment horizontal="right" vertical="top" wrapText="1"/>
    </xf>
    <xf numFmtId="0" fontId="26" fillId="0" borderId="11" xfId="271" applyBorder="1" applyAlignment="1" applyProtection="1">
      <alignment horizontal="right" vertical="top" wrapText="1"/>
      <protection locked="0"/>
    </xf>
    <xf numFmtId="0" fontId="17" fillId="0" borderId="54" xfId="4495" applyFont="1" applyBorder="1" applyAlignment="1">
      <alignment vertical="top"/>
    </xf>
    <xf numFmtId="9" fontId="26" fillId="0" borderId="0" xfId="0" applyNumberFormat="1" applyFont="1"/>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24" fillId="0" borderId="0" xfId="1192" applyFont="1" applyAlignment="1">
      <alignment horizontal="lef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49"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0" fontId="18" fillId="0" borderId="0" xfId="244" applyAlignment="1"/>
    <xf numFmtId="0" fontId="24" fillId="0" borderId="0" xfId="0" applyFont="1" applyAlignment="1">
      <alignment vertical="top" wrapText="1"/>
    </xf>
    <xf numFmtId="49" fontId="24" fillId="0" borderId="0" xfId="0" applyNumberFormat="1" applyFont="1"/>
    <xf numFmtId="49" fontId="24" fillId="0" borderId="0" xfId="0" applyNumberFormat="1" applyFont="1" applyAlignment="1">
      <alignment vertical="top"/>
    </xf>
    <xf numFmtId="0" fontId="40" fillId="0" borderId="11" xfId="0" applyFont="1" applyBorder="1"/>
    <xf numFmtId="175" fontId="17" fillId="0" borderId="0" xfId="543" applyNumberFormat="1" applyAlignment="1">
      <alignment vertical="center"/>
    </xf>
    <xf numFmtId="0" fontId="98" fillId="43" borderId="6" xfId="4496" applyFont="1" applyFill="1" applyBorder="1" applyAlignment="1" applyProtection="1">
      <alignment horizontal="center"/>
      <protection locked="0"/>
    </xf>
    <xf numFmtId="0" fontId="98" fillId="0" borderId="0" xfId="4496" applyFont="1"/>
    <xf numFmtId="0" fontId="98" fillId="0" borderId="0" xfId="4496" applyFont="1" applyAlignment="1">
      <alignment wrapText="1"/>
    </xf>
    <xf numFmtId="0" fontId="137" fillId="0" borderId="0" xfId="4496" applyFont="1"/>
    <xf numFmtId="181" fontId="138" fillId="0" borderId="0" xfId="4498" applyNumberFormat="1" applyFont="1" applyBorder="1" applyProtection="1"/>
    <xf numFmtId="0" fontId="139" fillId="0" borderId="0" xfId="4496" applyFont="1" applyAlignment="1">
      <alignment vertical="center" wrapText="1"/>
    </xf>
    <xf numFmtId="49" fontId="98" fillId="0" borderId="0" xfId="4496" applyNumberFormat="1" applyFont="1" applyAlignment="1">
      <alignment horizontal="center"/>
    </xf>
    <xf numFmtId="182" fontId="98" fillId="0" borderId="6" xfId="4496" applyNumberFormat="1" applyFont="1" applyBorder="1"/>
    <xf numFmtId="0" fontId="98" fillId="0" borderId="0" xfId="4496" applyFont="1" applyAlignment="1">
      <alignment vertical="center"/>
    </xf>
    <xf numFmtId="182" fontId="98" fillId="0" borderId="0" xfId="4496" applyNumberFormat="1" applyFont="1" applyAlignment="1">
      <alignment vertical="center"/>
    </xf>
    <xf numFmtId="175" fontId="98" fillId="0" borderId="0" xfId="4499" applyNumberFormat="1" applyFont="1" applyFill="1" applyBorder="1" applyAlignment="1" applyProtection="1">
      <alignment horizontal="left" vertical="center"/>
    </xf>
    <xf numFmtId="9" fontId="98" fillId="0" borderId="0" xfId="4499" applyFont="1" applyFill="1" applyBorder="1" applyAlignment="1" applyProtection="1">
      <alignment vertical="center"/>
    </xf>
    <xf numFmtId="183" fontId="98" fillId="0" borderId="0" xfId="4496" applyNumberFormat="1" applyFont="1" applyAlignment="1">
      <alignment vertical="center" wrapText="1"/>
    </xf>
    <xf numFmtId="9" fontId="98" fillId="0" borderId="0" xfId="4499" applyFont="1" applyBorder="1" applyAlignment="1" applyProtection="1">
      <alignment vertical="center"/>
    </xf>
    <xf numFmtId="164" fontId="98" fillId="0" borderId="0" xfId="4496" applyNumberFormat="1" applyFont="1" applyAlignment="1">
      <alignment vertical="center" wrapText="1"/>
    </xf>
    <xf numFmtId="0" fontId="98" fillId="0" borderId="0" xfId="4496" applyFont="1" applyAlignment="1">
      <alignment horizontal="center" vertical="center"/>
    </xf>
    <xf numFmtId="182" fontId="98" fillId="0" borderId="11" xfId="8721" applyNumberFormat="1" applyFont="1" applyBorder="1" applyProtection="1"/>
    <xf numFmtId="182" fontId="98" fillId="0" borderId="11" xfId="4496" applyNumberFormat="1" applyFont="1" applyBorder="1"/>
    <xf numFmtId="164" fontId="98" fillId="0" borderId="0" xfId="4496" applyNumberFormat="1" applyFont="1" applyAlignment="1">
      <alignment wrapText="1"/>
    </xf>
    <xf numFmtId="49" fontId="98" fillId="0" borderId="0" xfId="4496" applyNumberFormat="1" applyFont="1" applyAlignment="1">
      <alignment horizontal="left"/>
    </xf>
    <xf numFmtId="0" fontId="140" fillId="0" borderId="0" xfId="4496" applyFont="1"/>
    <xf numFmtId="9" fontId="98" fillId="0" borderId="11" xfId="4494" applyFont="1" applyFill="1" applyBorder="1" applyAlignment="1" applyProtection="1">
      <alignment horizontal="right"/>
    </xf>
    <xf numFmtId="1" fontId="98" fillId="0" borderId="0" xfId="4496" applyNumberFormat="1" applyFont="1"/>
    <xf numFmtId="0" fontId="137" fillId="45" borderId="3" xfId="4496" applyFont="1" applyFill="1" applyBorder="1" applyAlignment="1">
      <alignment horizontal="left" indent="1"/>
    </xf>
    <xf numFmtId="0" fontId="98" fillId="45" borderId="4" xfId="4496" applyFont="1" applyFill="1" applyBorder="1"/>
    <xf numFmtId="2" fontId="98" fillId="45" borderId="5" xfId="4496" applyNumberFormat="1" applyFont="1" applyFill="1" applyBorder="1"/>
    <xf numFmtId="181" fontId="98" fillId="0" borderId="0" xfId="4496" applyNumberFormat="1" applyFont="1"/>
    <xf numFmtId="165" fontId="138" fillId="0" borderId="0" xfId="4499" applyNumberFormat="1" applyFont="1" applyFill="1" applyBorder="1" applyProtection="1"/>
    <xf numFmtId="9" fontId="98" fillId="0" borderId="0" xfId="4494" applyFont="1" applyFill="1" applyProtection="1"/>
    <xf numFmtId="0" fontId="98" fillId="0" borderId="11" xfId="4496" applyFont="1" applyBorder="1" applyAlignment="1">
      <alignment horizontal="center"/>
    </xf>
    <xf numFmtId="2" fontId="98" fillId="0" borderId="11" xfId="4496" applyNumberFormat="1" applyFont="1" applyBorder="1" applyAlignment="1">
      <alignment horizontal="center"/>
    </xf>
    <xf numFmtId="0" fontId="98" fillId="0" borderId="0" xfId="4496" applyFont="1" applyAlignment="1">
      <alignment vertical="top" wrapText="1"/>
    </xf>
    <xf numFmtId="0" fontId="98" fillId="0" borderId="11" xfId="4496" applyFont="1" applyBorder="1" applyAlignment="1">
      <alignment horizontal="center" vertical="top" wrapText="1"/>
    </xf>
    <xf numFmtId="182" fontId="98" fillId="0" borderId="0" xfId="8721" applyNumberFormat="1" applyFont="1" applyBorder="1" applyProtection="1"/>
    <xf numFmtId="0" fontId="98" fillId="0" borderId="0" xfId="4496" applyFont="1" applyAlignment="1">
      <alignment horizontal="left" indent="1"/>
    </xf>
    <xf numFmtId="182" fontId="98" fillId="0" borderId="0" xfId="4496" applyNumberFormat="1" applyFont="1"/>
    <xf numFmtId="184" fontId="98" fillId="0" borderId="0" xfId="4496" applyNumberFormat="1" applyFont="1"/>
    <xf numFmtId="0" fontId="98" fillId="0" borderId="0" xfId="4496" applyFont="1" applyAlignment="1">
      <alignment horizontal="left"/>
    </xf>
    <xf numFmtId="0" fontId="98" fillId="0" borderId="0" xfId="4496" applyFont="1" applyAlignment="1">
      <alignment horizontal="center"/>
    </xf>
    <xf numFmtId="3" fontId="22" fillId="0" borderId="11" xfId="271" applyNumberFormat="1" applyFont="1" applyBorder="1" applyAlignment="1">
      <alignment horizontal="center"/>
    </xf>
    <xf numFmtId="3" fontId="22" fillId="43" borderId="11" xfId="271" applyNumberFormat="1" applyFont="1" applyFill="1" applyBorder="1" applyProtection="1">
      <protection locked="0"/>
    </xf>
    <xf numFmtId="0" fontId="98" fillId="0" borderId="0" xfId="4496" applyFont="1" applyAlignment="1">
      <alignment horizontal="right"/>
    </xf>
    <xf numFmtId="168" fontId="26" fillId="0" borderId="0" xfId="0" applyNumberFormat="1" applyFont="1"/>
    <xf numFmtId="0" fontId="98" fillId="0" borderId="15" xfId="4496" applyFont="1" applyBorder="1" applyAlignment="1">
      <alignment horizontal="center" vertical="top" wrapText="1"/>
    </xf>
    <xf numFmtId="2" fontId="98" fillId="0" borderId="15" xfId="4496" applyNumberFormat="1" applyFont="1" applyBorder="1" applyAlignment="1">
      <alignment horizontal="center"/>
    </xf>
    <xf numFmtId="0" fontId="98" fillId="0" borderId="15" xfId="4496" applyFont="1" applyBorder="1" applyAlignment="1">
      <alignment horizontal="center"/>
    </xf>
    <xf numFmtId="0" fontId="137" fillId="0" borderId="68" xfId="4496" applyFont="1" applyBorder="1" applyAlignment="1">
      <alignment horizontal="center" vertical="top" wrapText="1"/>
    </xf>
    <xf numFmtId="0" fontId="137" fillId="0" borderId="68" xfId="4496" applyFont="1" applyBorder="1" applyAlignment="1">
      <alignment horizontal="center"/>
    </xf>
    <xf numFmtId="0" fontId="151" fillId="0" borderId="0" xfId="4496" applyFont="1" applyAlignment="1">
      <alignment horizontal="right" vertical="center"/>
    </xf>
    <xf numFmtId="175" fontId="98" fillId="0" borderId="0" xfId="4499" applyNumberFormat="1" applyFont="1" applyFill="1" applyBorder="1" applyAlignment="1" applyProtection="1">
      <alignment horizontal="right" vertical="center"/>
    </xf>
    <xf numFmtId="5" fontId="98" fillId="0" borderId="6" xfId="4496" applyNumberFormat="1" applyFont="1" applyBorder="1" applyAlignment="1">
      <alignment vertical="center"/>
    </xf>
    <xf numFmtId="0" fontId="98" fillId="0" borderId="66" xfId="4496" applyFont="1" applyBorder="1" applyAlignment="1">
      <alignment vertical="center"/>
    </xf>
    <xf numFmtId="0" fontId="98" fillId="0" borderId="41" xfId="4496" applyFont="1" applyBorder="1" applyAlignment="1">
      <alignment vertical="center"/>
    </xf>
    <xf numFmtId="182" fontId="98" fillId="0" borderId="73" xfId="4496" applyNumberFormat="1" applyFont="1" applyBorder="1" applyAlignment="1">
      <alignment vertical="center"/>
    </xf>
    <xf numFmtId="175" fontId="98" fillId="0" borderId="42" xfId="4499" applyNumberFormat="1" applyFont="1" applyFill="1" applyBorder="1" applyAlignment="1" applyProtection="1">
      <alignment horizontal="left" vertical="center"/>
    </xf>
    <xf numFmtId="0" fontId="98" fillId="0" borderId="42" xfId="4496" applyFont="1" applyBorder="1" applyAlignment="1">
      <alignment vertical="center"/>
    </xf>
    <xf numFmtId="0" fontId="98" fillId="0" borderId="44" xfId="4496" applyFont="1" applyBorder="1" applyAlignment="1">
      <alignment vertical="center"/>
    </xf>
    <xf numFmtId="49" fontId="98" fillId="0" borderId="0" xfId="4496" applyNumberFormat="1" applyFont="1" applyAlignment="1">
      <alignment horizontal="center" vertical="center"/>
    </xf>
    <xf numFmtId="0" fontId="98" fillId="0" borderId="65" xfId="4496" applyFont="1" applyBorder="1" applyAlignment="1">
      <alignment vertical="center"/>
    </xf>
    <xf numFmtId="0" fontId="98" fillId="0" borderId="29" xfId="4496" applyFont="1" applyBorder="1" applyAlignment="1">
      <alignment vertical="center"/>
    </xf>
    <xf numFmtId="0" fontId="98" fillId="0" borderId="29" xfId="4496" applyFont="1" applyBorder="1" applyAlignment="1">
      <alignment horizontal="right" vertical="center"/>
    </xf>
    <xf numFmtId="5" fontId="98" fillId="0" borderId="29" xfId="4496" applyNumberFormat="1" applyFont="1" applyBorder="1" applyAlignment="1">
      <alignment vertical="center"/>
    </xf>
    <xf numFmtId="0" fontId="98" fillId="0" borderId="31" xfId="4496" applyFont="1" applyBorder="1" applyAlignment="1">
      <alignment vertical="center"/>
    </xf>
    <xf numFmtId="175" fontId="137" fillId="0" borderId="42" xfId="4494" applyNumberFormat="1" applyFont="1" applyFill="1" applyBorder="1" applyAlignment="1" applyProtection="1">
      <alignment horizontal="center" vertical="center"/>
    </xf>
    <xf numFmtId="0" fontId="137" fillId="0" borderId="29" xfId="4496" applyFont="1" applyBorder="1" applyAlignment="1">
      <alignment vertical="center"/>
    </xf>
    <xf numFmtId="0" fontId="137" fillId="0" borderId="0" xfId="4496" applyFont="1" applyAlignment="1">
      <alignment vertical="center"/>
    </xf>
    <xf numFmtId="0" fontId="137" fillId="0" borderId="42" xfId="4496" applyFont="1" applyBorder="1" applyAlignment="1">
      <alignment vertical="center"/>
    </xf>
    <xf numFmtId="9" fontId="137" fillId="0" borderId="42" xfId="4499" applyFont="1" applyFill="1" applyBorder="1" applyAlignment="1" applyProtection="1">
      <alignment vertical="center"/>
    </xf>
    <xf numFmtId="182" fontId="137" fillId="0" borderId="68" xfId="8721" applyNumberFormat="1" applyFont="1" applyBorder="1" applyProtection="1"/>
    <xf numFmtId="182" fontId="137" fillId="0" borderId="68" xfId="4496" applyNumberFormat="1" applyFont="1" applyBorder="1"/>
    <xf numFmtId="0" fontId="151" fillId="0" borderId="0" xfId="4496" applyFont="1" applyAlignment="1">
      <alignment horizontal="right"/>
    </xf>
    <xf numFmtId="0" fontId="98" fillId="0" borderId="0" xfId="4496" applyFont="1" applyAlignment="1">
      <alignment horizontal="right" vertical="top" wrapText="1" indent="1"/>
    </xf>
    <xf numFmtId="182" fontId="98" fillId="0" borderId="6" xfId="8721" applyNumberFormat="1" applyFont="1" applyBorder="1" applyAlignment="1" applyProtection="1">
      <alignment horizontal="center"/>
    </xf>
    <xf numFmtId="0" fontId="98" fillId="0" borderId="0" xfId="4496" applyFont="1" applyAlignment="1">
      <alignment horizontal="right" indent="1"/>
    </xf>
    <xf numFmtId="0" fontId="98" fillId="0" borderId="0" xfId="4496" applyFont="1" applyAlignment="1">
      <alignment horizontal="right" vertical="top"/>
    </xf>
    <xf numFmtId="0" fontId="137" fillId="0" borderId="0" xfId="4496" applyFont="1" applyAlignment="1">
      <alignment horizontal="right"/>
    </xf>
    <xf numFmtId="182" fontId="137" fillId="0" borderId="0" xfId="8721" applyNumberFormat="1" applyFont="1" applyBorder="1" applyAlignment="1" applyProtection="1">
      <alignment horizontal="center"/>
    </xf>
    <xf numFmtId="10" fontId="98" fillId="0" borderId="0" xfId="4494" applyNumberFormat="1" applyFont="1" applyBorder="1" applyAlignment="1" applyProtection="1">
      <alignment horizontal="center"/>
    </xf>
    <xf numFmtId="184" fontId="98" fillId="0" borderId="6" xfId="4496" applyNumberFormat="1" applyFont="1" applyBorder="1"/>
    <xf numFmtId="0" fontId="137" fillId="0" borderId="0" xfId="4496" applyFont="1" applyAlignment="1">
      <alignment horizontal="right" vertical="top"/>
    </xf>
    <xf numFmtId="182" fontId="137" fillId="0" borderId="0" xfId="4496" applyNumberFormat="1" applyFont="1"/>
    <xf numFmtId="182" fontId="98" fillId="0" borderId="6" xfId="8721" applyNumberFormat="1" applyFont="1" applyBorder="1" applyProtection="1"/>
    <xf numFmtId="184" fontId="98" fillId="0" borderId="0" xfId="4496" applyNumberFormat="1" applyFont="1" applyAlignment="1">
      <alignment horizontal="center"/>
    </xf>
    <xf numFmtId="0" fontId="98" fillId="0" borderId="6" xfId="4496" applyFont="1" applyBorder="1" applyAlignment="1">
      <alignment horizontal="right" vertical="top" wrapText="1" indent="1"/>
    </xf>
    <xf numFmtId="0" fontId="98" fillId="0" borderId="67" xfId="4496" applyFont="1" applyBorder="1" applyAlignment="1">
      <alignment horizontal="right" indent="1"/>
    </xf>
    <xf numFmtId="0" fontId="98" fillId="0" borderId="72" xfId="4496" applyFont="1" applyBorder="1" applyAlignment="1">
      <alignment horizontal="right" indent="1"/>
    </xf>
    <xf numFmtId="0" fontId="98" fillId="0" borderId="72" xfId="4496" quotePrefix="1" applyFont="1" applyBorder="1" applyAlignment="1">
      <alignment horizontal="right" indent="1"/>
    </xf>
    <xf numFmtId="0" fontId="98" fillId="0" borderId="69" xfId="4496" applyFont="1" applyBorder="1" applyAlignment="1">
      <alignment horizontal="right" indent="1"/>
    </xf>
    <xf numFmtId="182" fontId="98" fillId="0" borderId="71" xfId="4496" applyNumberFormat="1" applyFont="1" applyBorder="1"/>
    <xf numFmtId="182" fontId="98" fillId="0" borderId="76" xfId="4496" applyNumberFormat="1" applyFont="1" applyBorder="1"/>
    <xf numFmtId="182" fontId="98" fillId="0" borderId="77" xfId="4496" applyNumberFormat="1" applyFont="1" applyBorder="1"/>
    <xf numFmtId="175" fontId="24" fillId="0" borderId="0" xfId="543" applyNumberFormat="1" applyFont="1" applyAlignment="1">
      <alignment vertical="center"/>
    </xf>
    <xf numFmtId="10" fontId="137" fillId="0" borderId="0" xfId="4494" applyNumberFormat="1" applyFont="1" applyProtection="1"/>
    <xf numFmtId="0" fontId="24" fillId="0" borderId="0" xfId="1192" applyFont="1" applyAlignment="1">
      <alignment horizontal="left" indent="1"/>
    </xf>
    <xf numFmtId="168" fontId="98" fillId="0" borderId="11" xfId="4499" applyNumberFormat="1" applyFont="1" applyFill="1" applyBorder="1" applyAlignment="1" applyProtection="1">
      <alignment horizontal="left" vertical="center" indent="1"/>
    </xf>
    <xf numFmtId="168" fontId="137" fillId="0" borderId="68" xfId="4499" applyNumberFormat="1" applyFont="1" applyFill="1" applyBorder="1" applyAlignment="1" applyProtection="1">
      <alignment horizontal="left" vertical="center" indent="1"/>
    </xf>
    <xf numFmtId="182" fontId="98" fillId="0" borderId="13" xfId="4496" applyNumberFormat="1" applyFont="1" applyBorder="1"/>
    <xf numFmtId="182" fontId="98" fillId="0" borderId="70" xfId="4496" applyNumberFormat="1" applyFont="1" applyBorder="1"/>
    <xf numFmtId="0" fontId="35" fillId="0" borderId="0" xfId="4495" applyFont="1" applyAlignment="1">
      <alignment vertical="center"/>
    </xf>
    <xf numFmtId="0" fontId="122" fillId="0" borderId="0" xfId="4496" applyFont="1" applyAlignment="1">
      <alignment vertical="center" wrapText="1"/>
    </xf>
    <xf numFmtId="0" fontId="22" fillId="43" borderId="0" xfId="1192" applyFont="1" applyFill="1"/>
    <xf numFmtId="3" fontId="68" fillId="43" borderId="6" xfId="1192" applyNumberFormat="1" applyFont="1" applyFill="1" applyBorder="1"/>
    <xf numFmtId="0" fontId="153" fillId="0" borderId="0" xfId="0" applyFont="1"/>
    <xf numFmtId="0" fontId="22" fillId="0" borderId="11" xfId="253" applyFont="1" applyBorder="1" applyAlignment="1" applyProtection="1">
      <alignment horizontal="center" wrapText="1"/>
      <protection locked="0"/>
    </xf>
    <xf numFmtId="0" fontId="154" fillId="0" borderId="0" xfId="0" applyFont="1"/>
    <xf numFmtId="0" fontId="155" fillId="0" borderId="0" xfId="0" applyFont="1" applyAlignment="1">
      <alignment horizontal="center"/>
    </xf>
    <xf numFmtId="0" fontId="53" fillId="5" borderId="11" xfId="0" applyFont="1" applyFill="1" applyBorder="1" applyAlignment="1" applyProtection="1">
      <alignment horizontal="right" vertical="top" wrapText="1"/>
      <protection locked="0"/>
    </xf>
    <xf numFmtId="0" fontId="17" fillId="43" borderId="3" xfId="569" applyFill="1" applyBorder="1"/>
    <xf numFmtId="0" fontId="158"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98" fillId="0" borderId="6" xfId="4496" applyFont="1" applyBorder="1" applyAlignment="1">
      <alignment horizontal="left" vertical="top"/>
    </xf>
    <xf numFmtId="0" fontId="17" fillId="0" borderId="0" xfId="0" applyFont="1" applyAlignment="1">
      <alignment vertical="center" wrapText="1"/>
    </xf>
    <xf numFmtId="3" fontId="22" fillId="43" borderId="11" xfId="271" applyNumberFormat="1" applyFont="1" applyFill="1" applyBorder="1" applyAlignment="1" applyProtection="1">
      <alignment horizontal="left"/>
      <protection locked="0"/>
    </xf>
    <xf numFmtId="0" fontId="98" fillId="43" borderId="6" xfId="4496" applyFont="1" applyFill="1" applyBorder="1" applyProtection="1">
      <protection locked="0"/>
    </xf>
    <xf numFmtId="1" fontId="98" fillId="0" borderId="0" xfId="4496" applyNumberFormat="1" applyFont="1" applyProtection="1">
      <protection locked="0"/>
    </xf>
    <xf numFmtId="182" fontId="163" fillId="0" borderId="11" xfId="4496" applyNumberFormat="1" applyFont="1" applyBorder="1"/>
    <xf numFmtId="44" fontId="98" fillId="0" borderId="0" xfId="4496" applyNumberFormat="1" applyFont="1"/>
    <xf numFmtId="182" fontId="22" fillId="0" borderId="11" xfId="4496" applyNumberFormat="1" applyFont="1" applyBorder="1"/>
    <xf numFmtId="9" fontId="98" fillId="0" borderId="0" xfId="4494" applyFont="1"/>
    <xf numFmtId="182" fontId="98" fillId="43" borderId="6" xfId="8721" applyNumberFormat="1" applyFont="1" applyFill="1" applyBorder="1" applyProtection="1">
      <protection locked="0"/>
    </xf>
    <xf numFmtId="0" fontId="17" fillId="0" borderId="0" xfId="4495" applyFont="1" applyAlignment="1">
      <alignment wrapText="1"/>
    </xf>
    <xf numFmtId="168" fontId="175" fillId="48" borderId="79" xfId="700" applyNumberFormat="1" applyFont="1" applyFill="1" applyBorder="1" applyAlignment="1" applyProtection="1">
      <protection locked="0"/>
    </xf>
    <xf numFmtId="3" fontId="45" fillId="10" borderId="0" xfId="543" applyNumberFormat="1" applyFont="1" applyFill="1" applyAlignment="1">
      <alignment vertical="center" wrapText="1"/>
    </xf>
    <xf numFmtId="0" fontId="182" fillId="0" borderId="0" xfId="543" applyFont="1" applyAlignment="1">
      <alignment horizontal="left" vertical="center"/>
    </xf>
    <xf numFmtId="0" fontId="183" fillId="0" borderId="0" xfId="543" applyFont="1" applyAlignment="1">
      <alignment horizontal="right" vertical="top" wrapText="1"/>
    </xf>
    <xf numFmtId="168" fontId="183" fillId="0" borderId="0" xfId="543" applyNumberFormat="1" applyFont="1" applyAlignment="1">
      <alignment horizontal="center" vertical="center"/>
    </xf>
    <xf numFmtId="0" fontId="184" fillId="0" borderId="0" xfId="543" applyFont="1" applyAlignment="1">
      <alignment horizontal="left" vertical="center"/>
    </xf>
    <xf numFmtId="0" fontId="184" fillId="0" borderId="0" xfId="543" applyFont="1" applyAlignment="1">
      <alignment horizontal="right" vertical="top" wrapText="1"/>
    </xf>
    <xf numFmtId="168" fontId="183" fillId="0" borderId="104" xfId="543" applyNumberFormat="1" applyFont="1" applyBorder="1" applyAlignment="1">
      <alignment horizontal="center" vertical="center"/>
    </xf>
    <xf numFmtId="0" fontId="184"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2" fillId="0" borderId="0" xfId="8733"/>
    <xf numFmtId="0" fontId="103" fillId="0" borderId="0" xfId="8733" applyFont="1"/>
    <xf numFmtId="0" fontId="2" fillId="47" borderId="66" xfId="8733" applyFill="1" applyBorder="1"/>
    <xf numFmtId="0" fontId="2" fillId="47" borderId="0" xfId="8733" applyFill="1"/>
    <xf numFmtId="0" fontId="102" fillId="47" borderId="41" xfId="8733" applyFont="1" applyFill="1" applyBorder="1" applyAlignment="1">
      <alignment horizontal="center"/>
    </xf>
    <xf numFmtId="0" fontId="102" fillId="47" borderId="0" xfId="8733" applyFont="1" applyFill="1"/>
    <xf numFmtId="182" fontId="174" fillId="47" borderId="0" xfId="8734" applyNumberFormat="1" applyFont="1" applyFill="1" applyBorder="1" applyAlignment="1"/>
    <xf numFmtId="0" fontId="2" fillId="47" borderId="41" xfId="8733" applyFill="1" applyBorder="1"/>
    <xf numFmtId="0" fontId="103" fillId="47" borderId="0" xfId="8733" applyFont="1" applyFill="1"/>
    <xf numFmtId="0" fontId="178" fillId="47" borderId="0" xfId="8733" applyFont="1" applyFill="1"/>
    <xf numFmtId="0" fontId="102" fillId="47" borderId="41" xfId="8733" applyFont="1" applyFill="1" applyBorder="1"/>
    <xf numFmtId="0" fontId="102" fillId="0" borderId="0" xfId="8733" applyFont="1"/>
    <xf numFmtId="0" fontId="102" fillId="54" borderId="100" xfId="8733" applyFont="1" applyFill="1" applyBorder="1"/>
    <xf numFmtId="0" fontId="2" fillId="53" borderId="99" xfId="8733" applyFill="1" applyBorder="1"/>
    <xf numFmtId="0" fontId="2" fillId="52" borderId="99" xfId="8733" applyFill="1" applyBorder="1"/>
    <xf numFmtId="0" fontId="10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102" fillId="45" borderId="0" xfId="8733" applyFont="1" applyFill="1"/>
    <xf numFmtId="0" fontId="102" fillId="45" borderId="12" xfId="8733" applyFont="1" applyFill="1" applyBorder="1"/>
    <xf numFmtId="0" fontId="102" fillId="45" borderId="29" xfId="8733" applyFont="1" applyFill="1" applyBorder="1"/>
    <xf numFmtId="0" fontId="102" fillId="45" borderId="80" xfId="8733" applyFont="1" applyFill="1" applyBorder="1"/>
    <xf numFmtId="0" fontId="102" fillId="45" borderId="79" xfId="8733" applyFont="1" applyFill="1" applyBorder="1"/>
    <xf numFmtId="0" fontId="102" fillId="45" borderId="78" xfId="8733" applyFont="1" applyFill="1" applyBorder="1"/>
    <xf numFmtId="0" fontId="102" fillId="45" borderId="93" xfId="8733" applyFont="1" applyFill="1" applyBorder="1"/>
    <xf numFmtId="0" fontId="102" fillId="45" borderId="6" xfId="8733" applyFont="1" applyFill="1" applyBorder="1"/>
    <xf numFmtId="0" fontId="102" fillId="45" borderId="10" xfId="8733" applyFont="1" applyFill="1" applyBorder="1"/>
    <xf numFmtId="0" fontId="2" fillId="45" borderId="29" xfId="8733" applyFill="1" applyBorder="1"/>
    <xf numFmtId="0" fontId="2" fillId="45" borderId="31" xfId="8733" applyFill="1" applyBorder="1"/>
    <xf numFmtId="0" fontId="102" fillId="45" borderId="92" xfId="8733" applyFont="1" applyFill="1" applyBorder="1"/>
    <xf numFmtId="0" fontId="102" fillId="45" borderId="74" xfId="8733" applyFont="1" applyFill="1" applyBorder="1"/>
    <xf numFmtId="0" fontId="173"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80" fillId="47" borderId="0" xfId="8733" applyFont="1" applyFill="1"/>
    <xf numFmtId="0" fontId="102" fillId="45" borderId="31" xfId="8733" applyFont="1" applyFill="1" applyBorder="1"/>
    <xf numFmtId="0" fontId="2" fillId="47" borderId="0" xfId="8733" applyFill="1" applyAlignment="1">
      <alignment horizontal="left"/>
    </xf>
    <xf numFmtId="0" fontId="172" fillId="51" borderId="11" xfId="8733" applyFont="1" applyFill="1" applyBorder="1"/>
    <xf numFmtId="0" fontId="172" fillId="51" borderId="76" xfId="8733" applyFont="1" applyFill="1" applyBorder="1"/>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2" fillId="48" borderId="66" xfId="8733" applyFill="1" applyBorder="1"/>
    <xf numFmtId="0" fontId="2" fillId="48" borderId="0" xfId="8733" applyFill="1"/>
    <xf numFmtId="0" fontId="2" fillId="48" borderId="78" xfId="8733" applyFill="1" applyBorder="1"/>
    <xf numFmtId="0" fontId="102" fillId="47" borderId="66" xfId="8733" applyFont="1" applyFill="1" applyBorder="1"/>
    <xf numFmtId="49" fontId="10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64" fillId="0" borderId="0" xfId="8733" applyFont="1"/>
    <xf numFmtId="168" fontId="0" fillId="0" borderId="0" xfId="0" applyNumberFormat="1"/>
    <xf numFmtId="0" fontId="122" fillId="52" borderId="113" xfId="0" applyFont="1" applyFill="1" applyBorder="1"/>
    <xf numFmtId="0" fontId="122"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8" fillId="0" borderId="0" xfId="244" applyAlignment="1">
      <alignment horizontal="left" vertical="top"/>
    </xf>
    <xf numFmtId="9" fontId="17" fillId="0" borderId="0" xfId="0" applyNumberFormat="1" applyFont="1"/>
    <xf numFmtId="0" fontId="169" fillId="0" borderId="0" xfId="8733" applyFont="1"/>
    <xf numFmtId="0" fontId="166" fillId="0" borderId="0" xfId="8733" applyFont="1"/>
    <xf numFmtId="185" fontId="169" fillId="0" borderId="0" xfId="698" applyNumberFormat="1" applyFont="1"/>
    <xf numFmtId="10" fontId="169" fillId="0" borderId="0" xfId="1022" applyNumberFormat="1" applyFont="1"/>
    <xf numFmtId="166" fontId="26" fillId="5" borderId="4" xfId="0" applyNumberFormat="1" applyFont="1" applyFill="1" applyBorder="1" applyAlignment="1" applyProtection="1">
      <alignment horizontal="left"/>
      <protection locked="0"/>
    </xf>
    <xf numFmtId="166" fontId="26" fillId="5" borderId="6" xfId="0" applyNumberFormat="1" applyFont="1" applyFill="1" applyBorder="1" applyAlignment="1" applyProtection="1">
      <alignment horizontal="left"/>
      <protection locked="0"/>
    </xf>
    <xf numFmtId="0" fontId="0" fillId="5" borderId="6" xfId="0" applyFill="1" applyBorder="1" applyAlignment="1" applyProtection="1">
      <alignment horizontal="left"/>
      <protection locked="0"/>
    </xf>
    <xf numFmtId="166" fontId="17" fillId="5" borderId="6" xfId="0" applyNumberFormat="1" applyFont="1" applyFill="1" applyBorder="1" applyAlignment="1" applyProtection="1">
      <alignment horizontal="left"/>
      <protection locked="0"/>
    </xf>
    <xf numFmtId="166" fontId="17" fillId="5" borderId="4" xfId="0" applyNumberFormat="1" applyFont="1" applyFill="1" applyBorder="1" applyAlignment="1" applyProtection="1">
      <alignment horizontal="left"/>
      <protection locked="0"/>
    </xf>
    <xf numFmtId="2" fontId="22" fillId="0" borderId="0" xfId="0" applyNumberFormat="1" applyFont="1"/>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17" fillId="0" borderId="0" xfId="0" applyFont="1" applyAlignment="1">
      <alignment horizontal="left" vertical="top" wrapText="1"/>
    </xf>
    <xf numFmtId="0" fontId="105" fillId="0" borderId="0" xfId="0" applyFont="1" applyAlignment="1">
      <alignment horizontal="left" vertical="top" wrapText="1"/>
    </xf>
    <xf numFmtId="0" fontId="18" fillId="0" borderId="0" xfId="244" applyAlignment="1">
      <alignment horizontal="left" vertical="top"/>
    </xf>
    <xf numFmtId="0" fontId="46" fillId="0" borderId="0" xfId="0" applyFont="1" applyAlignment="1">
      <alignment horizontal="left" vertical="top" wrapText="1"/>
    </xf>
    <xf numFmtId="0" fontId="113" fillId="0" borderId="0" xfId="0" applyFont="1" applyAlignment="1">
      <alignment horizontal="left" wrapText="1"/>
    </xf>
    <xf numFmtId="0" fontId="17" fillId="0" borderId="0" xfId="0" applyFont="1" applyAlignment="1">
      <alignment horizontal="left" wrapText="1"/>
    </xf>
    <xf numFmtId="0" fontId="26" fillId="0" borderId="0" xfId="0" applyFont="1" applyAlignment="1">
      <alignment horizontal="left" wrapText="1"/>
    </xf>
    <xf numFmtId="0" fontId="18" fillId="0" borderId="0" xfId="244" applyAlignment="1" applyProtection="1">
      <alignment horizontal="left"/>
    </xf>
    <xf numFmtId="0" fontId="18" fillId="0" borderId="0" xfId="244"/>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114" fillId="0" borderId="0" xfId="569" applyFont="1" applyAlignment="1">
      <alignment horizontal="center"/>
    </xf>
    <xf numFmtId="0" fontId="115" fillId="0" borderId="0" xfId="569" applyFont="1"/>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569"/>
    <xf numFmtId="0" fontId="17" fillId="0" borderId="0" xfId="1192" applyAlignment="1">
      <alignment vertical="top" wrapText="1"/>
    </xf>
    <xf numFmtId="4" fontId="17" fillId="0" borderId="0" xfId="569" applyNumberFormat="1" applyAlignment="1">
      <alignment horizontal="left"/>
    </xf>
    <xf numFmtId="0" fontId="35" fillId="0" borderId="0" xfId="569" applyFont="1" applyAlignment="1">
      <alignment horizontal="left" vertical="top"/>
    </xf>
    <xf numFmtId="4" fontId="35" fillId="0" borderId="0" xfId="0" applyNumberFormat="1" applyFont="1" applyAlignment="1">
      <alignment horizontal="left"/>
    </xf>
    <xf numFmtId="4" fontId="17" fillId="0" borderId="0" xfId="0" applyNumberFormat="1" applyFont="1" applyAlignment="1">
      <alignment horizontal="left"/>
    </xf>
    <xf numFmtId="0" fontId="24" fillId="0" borderId="4" xfId="0" applyFont="1" applyBorder="1" applyAlignment="1">
      <alignment horizontal="left"/>
    </xf>
    <xf numFmtId="0" fontId="35" fillId="0" borderId="0" xfId="0" applyFont="1" applyAlignment="1">
      <alignment horizontal="left" vertical="top"/>
    </xf>
    <xf numFmtId="0" fontId="17" fillId="0" borderId="0" xfId="0" applyFont="1" applyAlignment="1">
      <alignment horizontal="left" vertical="top"/>
    </xf>
    <xf numFmtId="0" fontId="17" fillId="0" borderId="0" xfId="0" applyFont="1" applyAlignment="1">
      <alignment horizontal="left"/>
    </xf>
    <xf numFmtId="49" fontId="17" fillId="0" borderId="0" xfId="0" applyNumberFormat="1" applyFont="1" applyAlignment="1">
      <alignment horizontal="left" vertical="top" wrapText="1"/>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4" fontId="17" fillId="0" borderId="0" xfId="0" applyNumberFormat="1" applyFont="1" applyAlignment="1">
      <alignment horizontal="left" vertical="top" wrapText="1"/>
    </xf>
    <xf numFmtId="0" fontId="35" fillId="0" borderId="0" xfId="0" applyFont="1" applyAlignment="1">
      <alignment horizontal="left"/>
    </xf>
    <xf numFmtId="0" fontId="24" fillId="0" borderId="0" xfId="0" applyFont="1" applyAlignment="1">
      <alignmen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7" fillId="0" borderId="0" xfId="569" applyAlignment="1">
      <alignment horizontal="left"/>
    </xf>
    <xf numFmtId="0" fontId="24" fillId="0" borderId="4" xfId="569" applyFont="1" applyBorder="1" applyAlignment="1">
      <alignment horizontal="left" vertical="top"/>
    </xf>
    <xf numFmtId="0" fontId="17" fillId="0" borderId="0" xfId="569" applyAlignment="1">
      <alignment horizontal="left" vertical="top" wrapText="1"/>
    </xf>
    <xf numFmtId="0" fontId="18" fillId="0" borderId="0" xfId="244" quotePrefix="1" applyAlignment="1" applyProtection="1">
      <alignment horizontal="left"/>
    </xf>
    <xf numFmtId="0" fontId="17" fillId="0" borderId="0" xfId="569" applyAlignment="1">
      <alignment horizontal="left" vertical="top"/>
    </xf>
    <xf numFmtId="0" fontId="17" fillId="0" borderId="0" xfId="0" quotePrefix="1" applyFont="1" applyAlignment="1">
      <alignment horizontal="left" vertical="top"/>
    </xf>
    <xf numFmtId="0" fontId="35" fillId="0" borderId="0" xfId="0" applyFont="1" applyAlignment="1">
      <alignment horizontal="left" vertical="top" wrapText="1"/>
    </xf>
    <xf numFmtId="0" fontId="17" fillId="0" borderId="0" xfId="0" quotePrefix="1" applyFont="1" applyAlignment="1">
      <alignment horizontal="left" vertical="top" wrapText="1"/>
    </xf>
    <xf numFmtId="4" fontId="17" fillId="0" borderId="0" xfId="569" applyNumberFormat="1" applyAlignment="1">
      <alignment horizontal="left" vertical="top" wrapText="1"/>
    </xf>
    <xf numFmtId="0" fontId="24" fillId="0" borderId="4" xfId="569" applyFont="1" applyBorder="1" applyAlignment="1">
      <alignment horizontal="left"/>
    </xf>
    <xf numFmtId="0" fontId="35" fillId="0" borderId="0" xfId="569" applyFont="1" applyAlignment="1">
      <alignment horizontal="left"/>
    </xf>
    <xf numFmtId="0" fontId="17" fillId="0" borderId="0" xfId="1192" applyAlignment="1" applyProtection="1">
      <alignment horizontal="left" vertical="top" wrapText="1"/>
      <protection locked="0"/>
    </xf>
    <xf numFmtId="0" fontId="0" fillId="0" borderId="0" xfId="0" applyAlignment="1">
      <alignment horizontal="left" vertical="top" wrapText="1"/>
    </xf>
    <xf numFmtId="0" fontId="35" fillId="0" borderId="0" xfId="1192" applyFont="1" applyAlignment="1">
      <alignment horizontal="left" vertical="top" wrapText="1"/>
    </xf>
    <xf numFmtId="4" fontId="17" fillId="0" borderId="0" xfId="1192" applyNumberFormat="1" applyAlignment="1">
      <alignment horizontal="left" vertical="top" wrapText="1"/>
    </xf>
    <xf numFmtId="0" fontId="17" fillId="0" borderId="0" xfId="569" applyAlignment="1">
      <alignmen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0" fontId="35" fillId="0" borderId="0" xfId="569" applyFont="1" applyAlignment="1">
      <alignment horizontal="left" vertical="top" wrapText="1"/>
    </xf>
    <xf numFmtId="0" fontId="17" fillId="0" borderId="0" xfId="1192" applyAlignment="1">
      <alignment horizontal="left"/>
    </xf>
    <xf numFmtId="0" fontId="24" fillId="0" borderId="0" xfId="569" applyFont="1" applyAlignment="1">
      <alignment horizontal="center"/>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49" fontId="17" fillId="0" borderId="0" xfId="1192" applyNumberFormat="1" applyAlignment="1">
      <alignment horizontal="left" vertical="top" wrapText="1"/>
    </xf>
    <xf numFmtId="0" fontId="17" fillId="0" borderId="0" xfId="569" applyAlignment="1">
      <alignment horizontal="left" vertical="center" wrapText="1"/>
    </xf>
    <xf numFmtId="0" fontId="24" fillId="0" borderId="0" xfId="0" applyFont="1" applyAlignment="1">
      <alignment horizontal="left" vertical="top"/>
    </xf>
    <xf numFmtId="0" fontId="24" fillId="0" borderId="0" xfId="569" applyFont="1" applyAlignment="1">
      <alignment horizontal="left"/>
    </xf>
    <xf numFmtId="0" fontId="35" fillId="0" borderId="0" xfId="1192" applyFont="1" applyAlignment="1">
      <alignment horizontal="left"/>
    </xf>
    <xf numFmtId="0" fontId="17" fillId="0" borderId="27" xfId="569" applyBorder="1"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35" fillId="0" borderId="0" xfId="569" applyFont="1" applyAlignment="1">
      <alignment horizontal="center"/>
    </xf>
    <xf numFmtId="1" fontId="26" fillId="5" borderId="3" xfId="0" applyNumberFormat="1" applyFont="1" applyFill="1" applyBorder="1" applyAlignment="1" applyProtection="1">
      <alignment horizontal="center"/>
      <protection locked="0"/>
    </xf>
    <xf numFmtId="1" fontId="26" fillId="5" borderId="4" xfId="0" applyNumberFormat="1" applyFont="1" applyFill="1" applyBorder="1" applyAlignment="1" applyProtection="1">
      <alignment horizontal="center"/>
      <protection locked="0"/>
    </xf>
    <xf numFmtId="1" fontId="26" fillId="5" borderId="5" xfId="0" applyNumberFormat="1" applyFont="1" applyFill="1" applyBorder="1" applyAlignment="1" applyProtection="1">
      <alignment horizontal="center"/>
      <protection locked="0"/>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0" fillId="5" borderId="6" xfId="0" applyFill="1" applyBorder="1" applyAlignment="1" applyProtection="1">
      <alignment horizontal="center"/>
      <protection locked="0"/>
    </xf>
    <xf numFmtId="0" fontId="26" fillId="0" borderId="0" xfId="543" applyFont="1" applyAlignment="1">
      <alignment horizontal="center"/>
    </xf>
    <xf numFmtId="0" fontId="17" fillId="0" borderId="0" xfId="0" applyFont="1" applyAlignment="1">
      <alignment vertical="center" wrapText="1"/>
    </xf>
    <xf numFmtId="0" fontId="0" fillId="0" borderId="0" xfId="0" applyAlignment="1">
      <alignment horizontal="center"/>
    </xf>
    <xf numFmtId="0" fontId="17" fillId="0" borderId="0" xfId="543" applyAlignment="1">
      <alignment wrapText="1"/>
    </xf>
    <xf numFmtId="9" fontId="26" fillId="5" borderId="3" xfId="0" applyNumberFormat="1" applyFont="1" applyFill="1" applyBorder="1" applyAlignment="1" applyProtection="1">
      <alignment horizontal="center"/>
      <protection locked="0"/>
    </xf>
    <xf numFmtId="9" fontId="26" fillId="5" borderId="4" xfId="0" applyNumberFormat="1" applyFont="1" applyFill="1" applyBorder="1" applyAlignment="1" applyProtection="1">
      <alignment horizontal="center"/>
      <protection locked="0"/>
    </xf>
    <xf numFmtId="9" fontId="26"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left"/>
      <protection locked="0"/>
    </xf>
    <xf numFmtId="168" fontId="26" fillId="0" borderId="3" xfId="0" applyNumberFormat="1" applyFont="1" applyBorder="1" applyAlignment="1">
      <alignment horizontal="center"/>
    </xf>
    <xf numFmtId="168" fontId="26" fillId="0" borderId="4" xfId="0" applyNumberFormat="1" applyFont="1" applyBorder="1" applyAlignment="1">
      <alignment horizontal="center"/>
    </xf>
    <xf numFmtId="168" fontId="26" fillId="0" borderId="5" xfId="0" applyNumberFormat="1" applyFont="1" applyBorder="1" applyAlignment="1">
      <alignment horizontal="center"/>
    </xf>
    <xf numFmtId="168" fontId="26" fillId="5" borderId="3" xfId="0" applyNumberFormat="1" applyFont="1" applyFill="1" applyBorder="1" applyAlignment="1" applyProtection="1">
      <alignment horizontal="center"/>
      <protection locked="0"/>
    </xf>
    <xf numFmtId="168" fontId="26" fillId="5" borderId="4" xfId="0" applyNumberFormat="1" applyFont="1" applyFill="1" applyBorder="1" applyAlignment="1" applyProtection="1">
      <alignment horizontal="center"/>
      <protection locked="0"/>
    </xf>
    <xf numFmtId="168" fontId="26" fillId="5" borderId="5" xfId="0" applyNumberFormat="1" applyFont="1" applyFill="1" applyBorder="1" applyAlignment="1" applyProtection="1">
      <alignment horizontal="center"/>
      <protection locked="0"/>
    </xf>
    <xf numFmtId="165" fontId="26" fillId="0" borderId="1" xfId="0" applyNumberFormat="1" applyFont="1" applyBorder="1" applyAlignment="1">
      <alignment horizontal="right"/>
    </xf>
    <xf numFmtId="165" fontId="26" fillId="0" borderId="2" xfId="0" applyNumberFormat="1" applyFont="1" applyBorder="1" applyAlignment="1">
      <alignment horizontal="right"/>
    </xf>
    <xf numFmtId="165" fontId="26" fillId="0" borderId="7" xfId="0" applyNumberFormat="1" applyFont="1" applyBorder="1" applyAlignment="1">
      <alignment horizontal="right"/>
    </xf>
    <xf numFmtId="0" fontId="24" fillId="0" borderId="0" xfId="0" applyFont="1" applyAlignment="1">
      <alignment horizontal="center"/>
    </xf>
    <xf numFmtId="0" fontId="159" fillId="0" borderId="8" xfId="543" applyFont="1" applyBorder="1" applyAlignment="1">
      <alignment horizontal="center" wrapText="1"/>
    </xf>
    <xf numFmtId="0" fontId="159" fillId="0" borderId="0" xfId="543" applyFont="1" applyAlignment="1">
      <alignment horizontal="center" wrapText="1"/>
    </xf>
    <xf numFmtId="0" fontId="159" fillId="0" borderId="12" xfId="543" applyFont="1" applyBorder="1" applyAlignment="1">
      <alignment horizontal="center" wrapText="1"/>
    </xf>
    <xf numFmtId="0" fontId="159" fillId="0" borderId="9" xfId="543" applyFont="1" applyBorder="1" applyAlignment="1">
      <alignment horizontal="center" wrapText="1"/>
    </xf>
    <xf numFmtId="0" fontId="159" fillId="0" borderId="6" xfId="543" applyFont="1" applyBorder="1" applyAlignment="1">
      <alignment horizontal="center" wrapText="1"/>
    </xf>
    <xf numFmtId="0" fontId="159" fillId="0" borderId="10" xfId="543" applyFont="1" applyBorder="1" applyAlignment="1">
      <alignment horizontal="center" wrapText="1"/>
    </xf>
    <xf numFmtId="0" fontId="159" fillId="0" borderId="8" xfId="543" applyFont="1" applyBorder="1" applyAlignment="1">
      <alignment horizontal="center" vertical="top" wrapText="1"/>
    </xf>
    <xf numFmtId="0" fontId="159" fillId="0" borderId="0" xfId="543" applyFont="1" applyAlignment="1">
      <alignment horizontal="center" vertical="top" wrapText="1"/>
    </xf>
    <xf numFmtId="0" fontId="159" fillId="0" borderId="12" xfId="543" applyFont="1" applyBorder="1" applyAlignment="1">
      <alignment horizontal="center" vertical="top" wrapText="1"/>
    </xf>
    <xf numFmtId="0" fontId="159" fillId="0" borderId="9" xfId="543" applyFont="1" applyBorder="1" applyAlignment="1">
      <alignment horizontal="center" vertical="top" wrapText="1"/>
    </xf>
    <xf numFmtId="0" fontId="159" fillId="0" borderId="6" xfId="543" applyFont="1" applyBorder="1" applyAlignment="1">
      <alignment horizontal="center" vertical="top" wrapText="1"/>
    </xf>
    <xf numFmtId="0" fontId="159" fillId="0" borderId="10" xfId="543" applyFont="1" applyBorder="1" applyAlignment="1">
      <alignment horizontal="center" vertical="top" wrapText="1"/>
    </xf>
    <xf numFmtId="0" fontId="156" fillId="0" borderId="0" xfId="0" applyFont="1" applyAlignment="1">
      <alignment horizontal="center" vertical="center"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0" fontId="17"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26" fillId="0" borderId="0" xfId="0" applyFont="1" applyAlignment="1">
      <alignment horizontal="center" vertical="top" wrapText="1"/>
    </xf>
    <xf numFmtId="0" fontId="26" fillId="0" borderId="12" xfId="0" applyFont="1" applyBorder="1" applyAlignment="1">
      <alignment horizontal="center" vertical="top" wrapText="1"/>
    </xf>
    <xf numFmtId="0" fontId="26" fillId="0" borderId="9" xfId="0" applyFont="1" applyBorder="1" applyAlignment="1">
      <alignment horizontal="center" vertical="top" wrapText="1"/>
    </xf>
    <xf numFmtId="0" fontId="26" fillId="0" borderId="6" xfId="0" applyFont="1" applyBorder="1" applyAlignment="1">
      <alignment horizontal="center" vertical="top" wrapText="1"/>
    </xf>
    <xf numFmtId="0" fontId="26" fillId="0" borderId="10" xfId="0" applyFont="1" applyBorder="1" applyAlignment="1">
      <alignment horizontal="center" vertical="top" wrapText="1"/>
    </xf>
    <xf numFmtId="0" fontId="50"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wrapText="1"/>
    </xf>
    <xf numFmtId="0" fontId="17" fillId="0" borderId="0" xfId="0" applyFont="1" applyAlignment="1">
      <alignment horizontal="center" vertical="top"/>
    </xf>
    <xf numFmtId="0" fontId="26" fillId="0" borderId="0" xfId="0" applyFont="1" applyAlignment="1">
      <alignment horizontal="left" vertical="top" wrapText="1"/>
    </xf>
    <xf numFmtId="0" fontId="17" fillId="5" borderId="6" xfId="0" applyFont="1" applyFill="1" applyBorder="1" applyAlignment="1" applyProtection="1">
      <alignment horizontal="left"/>
      <protection locked="0"/>
    </xf>
    <xf numFmtId="0" fontId="26" fillId="5" borderId="6" xfId="0" applyFont="1" applyFill="1" applyBorder="1" applyAlignment="1" applyProtection="1">
      <alignment horizontal="left"/>
      <protection locked="0"/>
    </xf>
    <xf numFmtId="168" fontId="26" fillId="0" borderId="6" xfId="0" applyNumberFormat="1" applyFont="1" applyBorder="1" applyAlignment="1">
      <alignment horizontal="center"/>
    </xf>
    <xf numFmtId="0" fontId="17" fillId="5" borderId="6" xfId="0" applyFont="1" applyFill="1" applyBorder="1" applyAlignment="1" applyProtection="1">
      <alignment horizontal="left" wrapText="1"/>
      <protection locked="0"/>
    </xf>
    <xf numFmtId="0" fontId="26" fillId="5" borderId="6" xfId="0" applyFont="1" applyFill="1" applyBorder="1" applyAlignment="1" applyProtection="1">
      <alignment horizontal="left" wrapText="1"/>
      <protection locked="0"/>
    </xf>
    <xf numFmtId="0" fontId="25" fillId="0" borderId="0" xfId="0" applyFont="1" applyAlignment="1">
      <alignment horizontal="center"/>
    </xf>
    <xf numFmtId="0" fontId="23" fillId="3" borderId="0" xfId="0" applyFont="1" applyFill="1" applyAlignment="1">
      <alignment horizontal="center" vertical="center"/>
    </xf>
    <xf numFmtId="166" fontId="17" fillId="5" borderId="6" xfId="0" applyNumberFormat="1" applyFont="1" applyFill="1" applyBorder="1" applyAlignment="1" applyProtection="1">
      <alignment horizontal="left"/>
      <protection locked="0"/>
    </xf>
    <xf numFmtId="166" fontId="2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7" fillId="5" borderId="4" xfId="0" applyFont="1" applyFill="1" applyBorder="1" applyAlignment="1" applyProtection="1">
      <alignment wrapText="1"/>
      <protection locked="0"/>
    </xf>
    <xf numFmtId="0" fontId="26" fillId="5" borderId="4" xfId="0" applyFont="1" applyFill="1" applyBorder="1" applyAlignment="1" applyProtection="1">
      <alignment wrapText="1"/>
      <protection locked="0"/>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6" fillId="5" borderId="4" xfId="0" applyFont="1" applyFill="1" applyBorder="1" applyAlignment="1" applyProtection="1">
      <alignment horizontal="left"/>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4"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6" fontId="17" fillId="5" borderId="4" xfId="0" applyNumberFormat="1" applyFont="1" applyFill="1" applyBorder="1" applyAlignment="1" applyProtection="1">
      <alignment horizontal="left"/>
      <protection locked="0"/>
    </xf>
    <xf numFmtId="166" fontId="26" fillId="5" borderId="4" xfId="0" applyNumberFormat="1" applyFont="1" applyFill="1" applyBorder="1" applyAlignment="1" applyProtection="1">
      <alignment horizontal="left"/>
      <protection locked="0"/>
    </xf>
    <xf numFmtId="0" fontId="0" fillId="5" borderId="4" xfId="0" applyFill="1" applyBorder="1" applyAlignment="1" applyProtection="1">
      <alignment horizontal="left"/>
      <protection locked="0"/>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2" fontId="24" fillId="0" borderId="11" xfId="0" applyNumberFormat="1" applyFont="1" applyBorder="1" applyAlignment="1">
      <alignment horizontal="center" vertical="center" wrapText="1"/>
    </xf>
    <xf numFmtId="0" fontId="17" fillId="5" borderId="11" xfId="0" applyFont="1" applyFill="1" applyBorder="1" applyAlignment="1" applyProtection="1">
      <alignment horizontal="left" wrapText="1"/>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0" fontId="26" fillId="2" borderId="11" xfId="0" applyFont="1" applyFill="1" applyBorder="1" applyAlignment="1">
      <alignment horizontal="center"/>
    </xf>
    <xf numFmtId="0" fontId="26" fillId="45" borderId="11" xfId="0" applyFont="1" applyFill="1" applyBorder="1" applyAlignment="1">
      <alignment horizontal="center"/>
    </xf>
    <xf numFmtId="0" fontId="26" fillId="45" borderId="3" xfId="0" applyFont="1" applyFill="1" applyBorder="1" applyAlignment="1">
      <alignment horizontal="center"/>
    </xf>
    <xf numFmtId="0" fontId="26" fillId="45" borderId="4" xfId="0" applyFont="1" applyFill="1" applyBorder="1" applyAlignment="1">
      <alignment horizontal="center"/>
    </xf>
    <xf numFmtId="0" fontId="26" fillId="45" borderId="5" xfId="0" applyFont="1" applyFill="1" applyBorder="1" applyAlignment="1">
      <alignment horizontal="center"/>
    </xf>
    <xf numFmtId="0" fontId="17" fillId="0" borderId="11" xfId="0" applyFont="1" applyBorder="1" applyAlignment="1">
      <alignment horizontal="center"/>
    </xf>
    <xf numFmtId="0" fontId="0" fillId="0" borderId="11" xfId="0" applyBorder="1" applyAlignment="1">
      <alignment horizontal="center"/>
    </xf>
    <xf numFmtId="0" fontId="17" fillId="0" borderId="3" xfId="0" applyFont="1" applyBorder="1" applyAlignment="1">
      <alignment horizontal="center"/>
    </xf>
    <xf numFmtId="0" fontId="17" fillId="0" borderId="5" xfId="0" applyFont="1" applyBorder="1" applyAlignment="1">
      <alignment horizontal="center"/>
    </xf>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0" fontId="17" fillId="0" borderId="11" xfId="543" applyBorder="1" applyAlignment="1">
      <alignment horizontal="center"/>
    </xf>
    <xf numFmtId="0" fontId="17" fillId="5" borderId="4" xfId="0" applyFont="1" applyFill="1" applyBorder="1" applyAlignment="1" applyProtection="1">
      <alignment horizontal="left"/>
      <protection locked="0"/>
    </xf>
    <xf numFmtId="0" fontId="17" fillId="0" borderId="4" xfId="0" applyFont="1" applyBorder="1" applyAlignment="1">
      <alignment horizontal="center"/>
    </xf>
    <xf numFmtId="0" fontId="40" fillId="0" borderId="3" xfId="0" applyFont="1" applyBorder="1" applyAlignment="1">
      <alignment horizontal="center"/>
    </xf>
    <xf numFmtId="0" fontId="40" fillId="0" borderId="4" xfId="0" applyFont="1" applyBorder="1" applyAlignment="1">
      <alignment horizontal="center"/>
    </xf>
    <xf numFmtId="0" fontId="40"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4" fillId="0" borderId="9" xfId="0" applyFont="1" applyBorder="1" applyAlignment="1">
      <alignment horizontal="right"/>
    </xf>
    <xf numFmtId="0" fontId="24" fillId="0" borderId="6" xfId="0" applyFont="1" applyBorder="1" applyAlignment="1">
      <alignment horizontal="right"/>
    </xf>
    <xf numFmtId="0" fontId="24" fillId="0" borderId="10" xfId="0" applyFont="1" applyBorder="1" applyAlignment="1">
      <alignment horizontal="right"/>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36" fillId="5" borderId="3" xfId="543" applyFont="1" applyFill="1" applyBorder="1" applyAlignment="1" applyProtection="1">
      <alignment horizontal="center" vertical="top"/>
      <protection locked="0"/>
    </xf>
    <xf numFmtId="0" fontId="36" fillId="5" borderId="5" xfId="543" applyFont="1" applyFill="1" applyBorder="1" applyAlignment="1" applyProtection="1">
      <alignment horizontal="center" vertical="top"/>
      <protection locked="0"/>
    </xf>
    <xf numFmtId="0" fontId="36" fillId="5" borderId="3" xfId="543" applyFont="1" applyFill="1" applyBorder="1" applyAlignment="1" applyProtection="1">
      <alignment horizontal="center"/>
      <protection locked="0"/>
    </xf>
    <xf numFmtId="0" fontId="36" fillId="5" borderId="5" xfId="543" applyFont="1" applyFill="1" applyBorder="1" applyAlignment="1" applyProtection="1">
      <alignment horizontal="center"/>
      <protection locked="0"/>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44" fillId="0" borderId="8" xfId="543" applyFont="1" applyBorder="1" applyAlignment="1">
      <alignment horizontal="center" vertical="center" wrapText="1"/>
    </xf>
    <xf numFmtId="0" fontId="44" fillId="0" borderId="0" xfId="543" applyFont="1" applyAlignment="1">
      <alignment horizontal="center" vertical="center" wrapText="1"/>
    </xf>
    <xf numFmtId="0" fontId="44" fillId="0" borderId="12" xfId="543" applyFont="1" applyBorder="1" applyAlignment="1">
      <alignment horizontal="center" vertical="center" wrapText="1"/>
    </xf>
    <xf numFmtId="168" fontId="17" fillId="0" borderId="11" xfId="543" applyNumberFormat="1" applyBorder="1" applyAlignment="1">
      <alignment horizontal="center"/>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6" xfId="0" applyFont="1" applyBorder="1" applyAlignment="1">
      <alignment horizontal="left" wrapText="1"/>
    </xf>
    <xf numFmtId="0" fontId="17" fillId="0" borderId="10" xfId="0" applyFont="1" applyBorder="1" applyAlignment="1">
      <alignment horizontal="left" wrapText="1"/>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52" fillId="0" borderId="8" xfId="543" applyFont="1" applyBorder="1" applyAlignment="1">
      <alignment horizontal="center" vertical="center" wrapText="1"/>
    </xf>
    <xf numFmtId="0" fontId="152" fillId="0" borderId="0" xfId="543" applyFont="1" applyAlignment="1">
      <alignment horizontal="center" vertical="center" wrapText="1"/>
    </xf>
    <xf numFmtId="0" fontId="152" fillId="0" borderId="12" xfId="543" applyFont="1" applyBorder="1" applyAlignment="1">
      <alignment horizontal="center" vertical="center" wrapText="1"/>
    </xf>
    <xf numFmtId="168" fontId="17" fillId="5" borderId="3"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6" fillId="5" borderId="3" xfId="0" applyNumberFormat="1" applyFont="1" applyFill="1" applyBorder="1" applyAlignment="1" applyProtection="1">
      <alignment horizontal="left"/>
      <protection locked="0"/>
    </xf>
    <xf numFmtId="164" fontId="36" fillId="5" borderId="4" xfId="0" applyNumberFormat="1" applyFont="1" applyFill="1" applyBorder="1" applyAlignment="1" applyProtection="1">
      <alignment horizontal="left"/>
      <protection locked="0"/>
    </xf>
    <xf numFmtId="164" fontId="36" fillId="5" borderId="5" xfId="0" applyNumberFormat="1" applyFont="1" applyFill="1" applyBorder="1" applyAlignment="1" applyProtection="1">
      <alignment horizontal="left"/>
      <protection locked="0"/>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0" fontId="17" fillId="5" borderId="3" xfId="0" applyFont="1" applyFill="1" applyBorder="1" applyAlignment="1" applyProtection="1">
      <alignment horizontal="left"/>
      <protection locked="0"/>
    </xf>
    <xf numFmtId="0" fontId="17" fillId="5" borderId="5" xfId="0" applyFont="1" applyFill="1" applyBorder="1" applyAlignment="1" applyProtection="1">
      <alignment horizontal="left"/>
      <protection locked="0"/>
    </xf>
    <xf numFmtId="0" fontId="38" fillId="0" borderId="3" xfId="543" applyFont="1" applyBorder="1" applyAlignment="1">
      <alignment horizontal="center"/>
    </xf>
    <xf numFmtId="0" fontId="38" fillId="0" borderId="4" xfId="543" applyFont="1" applyBorder="1" applyAlignment="1">
      <alignment horizontal="center"/>
    </xf>
    <xf numFmtId="0" fontId="38" fillId="0" borderId="5" xfId="543" applyFont="1" applyBorder="1" applyAlignment="1">
      <alignment horizontal="center"/>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53" fillId="5" borderId="3" xfId="0" applyFont="1" applyFill="1" applyBorder="1" applyAlignment="1" applyProtection="1">
      <alignment horizontal="right"/>
      <protection locked="0"/>
    </xf>
    <xf numFmtId="0" fontId="53" fillId="5" borderId="4" xfId="0" applyFont="1" applyFill="1" applyBorder="1" applyAlignment="1" applyProtection="1">
      <alignment horizontal="right"/>
      <protection locked="0"/>
    </xf>
    <xf numFmtId="0" fontId="53" fillId="5" borderId="5" xfId="0" applyFont="1" applyFill="1" applyBorder="1" applyAlignment="1" applyProtection="1">
      <alignment horizontal="right"/>
      <protection locked="0"/>
    </xf>
    <xf numFmtId="182" fontId="25"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0" fillId="0" borderId="9" xfId="0" applyBorder="1" applyAlignment="1">
      <alignment horizontal="left"/>
    </xf>
    <xf numFmtId="0" fontId="17" fillId="5" borderId="3" xfId="543"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0" fontId="37" fillId="0" borderId="4" xfId="543" applyFont="1" applyBorder="1" applyAlignment="1">
      <alignment horizontal="right" vertical="top" wrapText="1"/>
    </xf>
    <xf numFmtId="0" fontId="37" fillId="0" borderId="5" xfId="543" applyFont="1" applyBorder="1" applyAlignment="1">
      <alignment horizontal="right" vertical="top" wrapText="1"/>
    </xf>
    <xf numFmtId="0" fontId="25" fillId="0" borderId="3" xfId="543" applyFont="1" applyBorder="1" applyAlignment="1">
      <alignment horizontal="center"/>
    </xf>
    <xf numFmtId="0" fontId="25" fillId="0" borderId="5" xfId="543" applyFont="1" applyBorder="1" applyAlignment="1">
      <alignment horizontal="center"/>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6" fillId="0" borderId="3" xfId="543" applyFont="1" applyBorder="1" applyAlignment="1">
      <alignment horizontal="center"/>
    </xf>
    <xf numFmtId="0" fontId="36" fillId="0" borderId="5" xfId="543" applyFont="1" applyBorder="1" applyAlignment="1">
      <alignment horizontal="center"/>
    </xf>
    <xf numFmtId="0" fontId="37" fillId="0" borderId="1" xfId="543" applyFont="1" applyBorder="1" applyAlignment="1">
      <alignment horizontal="right"/>
    </xf>
    <xf numFmtId="0" fontId="37" fillId="0" borderId="2" xfId="543" applyFont="1" applyBorder="1" applyAlignment="1">
      <alignment horizontal="right"/>
    </xf>
    <xf numFmtId="0" fontId="37" fillId="0" borderId="7" xfId="543" applyFont="1" applyBorder="1" applyAlignment="1">
      <alignment horizontal="right"/>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36" fillId="5" borderId="9" xfId="543" applyFont="1" applyFill="1" applyBorder="1" applyAlignment="1" applyProtection="1">
      <alignment horizontal="center"/>
      <protection locked="0"/>
    </xf>
    <xf numFmtId="0" fontId="36" fillId="5" borderId="10" xfId="543" applyFont="1" applyFill="1" applyBorder="1" applyAlignment="1" applyProtection="1">
      <alignment horizontal="center"/>
      <protection locked="0"/>
    </xf>
    <xf numFmtId="0" fontId="24" fillId="0" borderId="1" xfId="0" applyFont="1" applyBorder="1" applyAlignment="1">
      <alignment horizontal="center" wrapText="1"/>
    </xf>
    <xf numFmtId="0" fontId="24" fillId="0" borderId="2" xfId="0" applyFont="1" applyBorder="1" applyAlignment="1">
      <alignment horizontal="center" wrapText="1"/>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9" xfId="0" applyFont="1" applyBorder="1" applyAlignment="1">
      <alignment horizontal="center" wrapText="1"/>
    </xf>
    <xf numFmtId="0" fontId="24" fillId="0" borderId="6" xfId="0" applyFont="1" applyBorder="1" applyAlignment="1">
      <alignment horizont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17"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5" fillId="5" borderId="3" xfId="0" applyNumberFormat="1" applyFont="1" applyFill="1" applyBorder="1" applyAlignment="1" applyProtection="1">
      <alignment horizontal="left"/>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24" fillId="0" borderId="12" xfId="0" applyFont="1" applyBorder="1" applyAlignment="1">
      <alignment horizontal="center" wrapText="1"/>
    </xf>
    <xf numFmtId="0" fontId="24"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1" fontId="26" fillId="5" borderId="11" xfId="0" applyNumberFormat="1" applyFont="1" applyFill="1" applyBorder="1" applyAlignment="1" applyProtection="1">
      <alignment horizontal="center"/>
      <protection locked="0"/>
    </xf>
    <xf numFmtId="0" fontId="17" fillId="0" borderId="0" xfId="543" applyAlignment="1">
      <alignment horizontal="center"/>
    </xf>
    <xf numFmtId="2" fontId="17" fillId="0" borderId="0" xfId="543" applyNumberFormat="1" applyAlignment="1">
      <alignment horizontal="center"/>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3" xfId="0" applyNumberFormat="1" applyBorder="1" applyAlignment="1">
      <alignment horizontal="right"/>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4" fillId="0" borderId="6" xfId="0" applyFont="1" applyBorder="1" applyAlignment="1">
      <alignment horizontal="center"/>
    </xf>
    <xf numFmtId="9" fontId="17" fillId="5" borderId="3" xfId="0" applyNumberFormat="1" applyFont="1" applyFill="1" applyBorder="1" applyAlignment="1" applyProtection="1">
      <alignment horizontal="right"/>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168" fontId="184" fillId="0" borderId="105" xfId="543" applyNumberFormat="1" applyFont="1" applyBorder="1" applyAlignment="1">
      <alignment horizontal="right" vertical="center" wrapText="1"/>
    </xf>
    <xf numFmtId="175" fontId="184" fillId="0" borderId="107" xfId="543" applyNumberFormat="1" applyFont="1" applyBorder="1" applyAlignment="1">
      <alignment horizontal="center" vertical="center" wrapText="1"/>
    </xf>
    <xf numFmtId="175" fontId="184" fillId="0" borderId="108" xfId="543" applyNumberFormat="1" applyFont="1" applyBorder="1" applyAlignment="1">
      <alignment horizontal="center" vertical="center" wrapText="1"/>
    </xf>
    <xf numFmtId="175" fontId="184" fillId="0" borderId="109" xfId="543" applyNumberFormat="1" applyFont="1" applyBorder="1" applyAlignment="1">
      <alignment horizontal="center" vertical="center" wrapText="1"/>
    </xf>
    <xf numFmtId="0" fontId="183" fillId="0" borderId="0" xfId="543" applyFont="1" applyAlignment="1">
      <alignment horizontal="left" vertical="center" wrapText="1"/>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168" fontId="0" fillId="5" borderId="11" xfId="0" applyNumberFormat="1" applyFill="1" applyBorder="1" applyProtection="1">
      <protection locked="0"/>
    </xf>
    <xf numFmtId="168" fontId="0" fillId="0" borderId="11" xfId="0" applyNumberForma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5" xfId="0" applyFont="1" applyBorder="1" applyAlignment="1">
      <alignment horizontal="right"/>
    </xf>
    <xf numFmtId="0" fontId="17" fillId="0" borderId="3" xfId="0" applyFont="1" applyBorder="1"/>
    <xf numFmtId="0" fontId="17" fillId="0" borderId="4" xfId="0" applyFont="1" applyBorder="1"/>
    <xf numFmtId="0" fontId="17" fillId="0" borderId="5" xfId="0" applyFont="1" applyBorder="1"/>
    <xf numFmtId="0" fontId="26" fillId="0" borderId="3" xfId="0" applyFont="1" applyBorder="1" applyAlignment="1">
      <alignment horizontal="left"/>
    </xf>
    <xf numFmtId="168" fontId="0" fillId="5" borderId="11" xfId="0" applyNumberFormat="1" applyFill="1" applyBorder="1" applyAlignment="1" applyProtection="1">
      <alignment horizontal="center"/>
      <protection locked="0"/>
    </xf>
    <xf numFmtId="0" fontId="24" fillId="0" borderId="2" xfId="0" applyFont="1" applyBorder="1" applyAlignment="1">
      <alignment horizontal="right"/>
    </xf>
    <xf numFmtId="0" fontId="24" fillId="0" borderId="7" xfId="0" applyFont="1" applyBorder="1" applyAlignment="1">
      <alignment horizontal="right"/>
    </xf>
    <xf numFmtId="171" fontId="17" fillId="0" borderId="0" xfId="543" applyNumberFormat="1" applyAlignment="1">
      <alignment horizontal="center"/>
    </xf>
    <xf numFmtId="0" fontId="24" fillId="0" borderId="11" xfId="0" applyFont="1" applyBorder="1" applyAlignment="1">
      <alignment horizontal="center"/>
    </xf>
    <xf numFmtId="0" fontId="26" fillId="0" borderId="1" xfId="0" applyFont="1" applyBorder="1" applyAlignment="1">
      <alignment horizontal="center" vertical="top" wrapText="1"/>
    </xf>
    <xf numFmtId="0" fontId="26" fillId="5" borderId="6" xfId="271" applyFill="1" applyBorder="1" applyProtection="1">
      <protection locked="0"/>
    </xf>
    <xf numFmtId="0" fontId="36" fillId="5" borderId="3" xfId="543" applyFont="1" applyFill="1" applyBorder="1" applyAlignment="1">
      <alignment horizontal="center"/>
    </xf>
    <xf numFmtId="0" fontId="36" fillId="5" borderId="4" xfId="543" applyFont="1" applyFill="1" applyBorder="1" applyAlignment="1">
      <alignment horizontal="center"/>
    </xf>
    <xf numFmtId="0" fontId="36"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24"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6" fillId="5" borderId="9" xfId="0" applyFont="1" applyFill="1" applyBorder="1" applyAlignment="1" applyProtection="1">
      <alignment horizontal="center"/>
      <protection locked="0"/>
    </xf>
    <xf numFmtId="0" fontId="26" fillId="5" borderId="6" xfId="0" applyFont="1" applyFill="1" applyBorder="1" applyAlignment="1" applyProtection="1">
      <alignment horizontal="center"/>
      <protection locked="0"/>
    </xf>
    <xf numFmtId="1" fontId="26" fillId="5" borderId="3" xfId="0" applyNumberFormat="1" applyFont="1" applyFill="1" applyBorder="1" applyAlignment="1" applyProtection="1">
      <alignment horizontal="right" vertical="top"/>
      <protection locked="0"/>
    </xf>
    <xf numFmtId="1" fontId="26" fillId="5" borderId="4" xfId="0" applyNumberFormat="1" applyFont="1" applyFill="1" applyBorder="1" applyAlignment="1" applyProtection="1">
      <alignment horizontal="right" vertical="top"/>
      <protection locked="0"/>
    </xf>
    <xf numFmtId="1" fontId="26" fillId="5" borderId="5" xfId="0" applyNumberFormat="1" applyFont="1" applyFill="1" applyBorder="1" applyAlignment="1" applyProtection="1">
      <alignment horizontal="right" vertical="top"/>
      <protection locked="0"/>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24" fillId="0" borderId="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17" fillId="5" borderId="11" xfId="0" applyFont="1" applyFill="1" applyBorder="1" applyAlignment="1" applyProtection="1">
      <alignment horizontal="left" vertical="center" wrapText="1"/>
      <protection locked="0"/>
    </xf>
    <xf numFmtId="175" fontId="0" fillId="5" borderId="4" xfId="0" applyNumberFormat="1" applyFill="1" applyBorder="1" applyAlignment="1" applyProtection="1">
      <alignment horizontal="left" vertical="center" wrapText="1"/>
      <protection locked="0"/>
    </xf>
    <xf numFmtId="14" fontId="26" fillId="5" borderId="4" xfId="0" applyNumberFormat="1" applyFont="1" applyFill="1" applyBorder="1" applyAlignment="1" applyProtection="1">
      <alignment horizontal="right"/>
      <protection locked="0"/>
    </xf>
    <xf numFmtId="0" fontId="0" fillId="0" borderId="5" xfId="0" applyBorder="1" applyAlignment="1">
      <alignment horizontal="left"/>
    </xf>
    <xf numFmtId="3" fontId="26" fillId="5" borderId="11" xfId="0" applyNumberFormat="1" applyFon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17" fillId="5" borderId="11" xfId="0" applyFont="1" applyFill="1" applyBorder="1" applyAlignment="1" applyProtection="1">
      <alignment vertical="center" wrapText="1"/>
      <protection locked="0"/>
    </xf>
    <xf numFmtId="0" fontId="0" fillId="43" borderId="4" xfId="0" applyFill="1" applyBorder="1" applyAlignment="1" applyProtection="1">
      <alignment horizontal="center"/>
      <protection locked="0"/>
    </xf>
    <xf numFmtId="168" fontId="26" fillId="5" borderId="3" xfId="0" applyNumberFormat="1" applyFont="1" applyFill="1" applyBorder="1" applyAlignment="1" applyProtection="1">
      <alignment horizontal="left" vertical="top"/>
      <protection locked="0"/>
    </xf>
    <xf numFmtId="168" fontId="26" fillId="5" borderId="4" xfId="0" applyNumberFormat="1" applyFont="1" applyFill="1" applyBorder="1" applyAlignment="1" applyProtection="1">
      <alignment horizontal="left" vertical="top"/>
      <protection locked="0"/>
    </xf>
    <xf numFmtId="168" fontId="26" fillId="5" borderId="5" xfId="0" applyNumberFormat="1" applyFont="1" applyFill="1" applyBorder="1" applyAlignment="1" applyProtection="1">
      <alignment horizontal="left" vertical="top"/>
      <protection locked="0"/>
    </xf>
    <xf numFmtId="0" fontId="17" fillId="0" borderId="3"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10" xfId="0" applyFont="1" applyBorder="1" applyAlignment="1">
      <alignment horizontal="center" vertical="center" wrapText="1"/>
    </xf>
    <xf numFmtId="14"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171" fontId="17" fillId="0" borderId="0" xfId="543" applyNumberFormat="1" applyAlignment="1">
      <alignment horizontal="right"/>
    </xf>
    <xf numFmtId="0" fontId="26" fillId="5" borderId="3" xfId="0" applyFont="1" applyFill="1" applyBorder="1" applyProtection="1">
      <protection locked="0"/>
    </xf>
    <xf numFmtId="0" fontId="26" fillId="0" borderId="4" xfId="0" applyFont="1" applyBorder="1" applyProtection="1">
      <protection locked="0"/>
    </xf>
    <xf numFmtId="0" fontId="26" fillId="0" borderId="5" xfId="0" applyFont="1" applyBorder="1" applyProtection="1">
      <protection locked="0"/>
    </xf>
    <xf numFmtId="9" fontId="17" fillId="0" borderId="0" xfId="543" applyNumberFormat="1" applyAlignment="1">
      <alignment horizontal="center" vertical="center"/>
    </xf>
    <xf numFmtId="168" fontId="0" fillId="0" borderId="11" xfId="0" applyNumberFormat="1" applyBorder="1"/>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0" fontId="26" fillId="0" borderId="11" xfId="0" applyFont="1" applyBorder="1" applyAlignment="1">
      <alignment horizontal="center"/>
    </xf>
    <xf numFmtId="0" fontId="24" fillId="5" borderId="11" xfId="0" applyFont="1" applyFill="1" applyBorder="1" applyAlignment="1" applyProtection="1">
      <alignment horizontal="center"/>
      <protection locked="0"/>
    </xf>
    <xf numFmtId="0" fontId="26" fillId="0" borderId="11" xfId="0" applyFont="1" applyBorder="1" applyAlignment="1">
      <alignment horizontal="center" vertical="top" wrapText="1"/>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 fontId="17" fillId="0" borderId="3" xfId="0" applyNumberFormat="1" applyFont="1" applyBorder="1" applyAlignment="1">
      <alignment horizontal="center"/>
    </xf>
    <xf numFmtId="1" fontId="26" fillId="0" borderId="4" xfId="0" applyNumberFormat="1" applyFont="1" applyBorder="1" applyAlignment="1">
      <alignment horizontal="center"/>
    </xf>
    <xf numFmtId="1" fontId="26" fillId="0" borderId="5" xfId="0" applyNumberFormat="1" applyFont="1" applyBorder="1" applyAlignment="1">
      <alignment horizontal="center"/>
    </xf>
    <xf numFmtId="0" fontId="17" fillId="43" borderId="11" xfId="0" applyFont="1" applyFill="1" applyBorder="1" applyAlignment="1" applyProtection="1">
      <alignment horizontal="center"/>
      <protection locked="0"/>
    </xf>
    <xf numFmtId="0" fontId="24" fillId="0" borderId="0" xfId="0" applyFont="1" applyAlignment="1">
      <alignment horizontal="center" vertical="center"/>
    </xf>
    <xf numFmtId="168" fontId="156" fillId="0" borderId="0" xfId="0" applyNumberFormat="1" applyFont="1" applyAlignment="1">
      <alignment horizontal="center" vertical="center" wrapText="1"/>
    </xf>
    <xf numFmtId="0" fontId="0" fillId="5" borderId="3" xfId="0" quotePrefix="1" applyFill="1" applyBorder="1" applyAlignment="1" applyProtection="1">
      <alignment horizontal="right"/>
      <protection locked="0"/>
    </xf>
    <xf numFmtId="0" fontId="24" fillId="0" borderId="7" xfId="0" applyFont="1" applyBorder="1" applyAlignment="1">
      <alignment horizontal="center" wrapText="1"/>
    </xf>
    <xf numFmtId="0" fontId="24" fillId="0" borderId="11" xfId="0" applyFont="1" applyBorder="1" applyAlignment="1">
      <alignment horizontal="center" vertical="center"/>
    </xf>
    <xf numFmtId="168" fontId="26" fillId="0" borderId="3" xfId="0" applyNumberFormat="1" applyFont="1" applyBorder="1" applyAlignment="1">
      <alignment horizontal="left" vertical="top"/>
    </xf>
    <xf numFmtId="168" fontId="26" fillId="0" borderId="4" xfId="0" applyNumberFormat="1" applyFont="1" applyBorder="1" applyAlignment="1">
      <alignment horizontal="left" vertical="top"/>
    </xf>
    <xf numFmtId="168" fontId="26" fillId="0" borderId="5" xfId="0" applyNumberFormat="1" applyFont="1" applyBorder="1" applyAlignment="1">
      <alignment horizontal="left" vertical="top"/>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8" fontId="26" fillId="0" borderId="11" xfId="0" applyNumberFormat="1" applyFont="1" applyBorder="1" applyAlignment="1">
      <alignment horizontal="center"/>
    </xf>
    <xf numFmtId="168" fontId="53" fillId="0" borderId="2" xfId="0" applyNumberFormat="1" applyFont="1" applyBorder="1" applyAlignment="1">
      <alignment horizontal="left" vertical="top" wrapText="1"/>
    </xf>
    <xf numFmtId="168" fontId="53"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0" fillId="0" borderId="12" xfId="0"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0" fontId="17" fillId="5" borderId="6" xfId="0" applyFont="1" applyFill="1" applyBorder="1" applyAlignment="1" applyProtection="1">
      <alignment horizontal="center"/>
      <protection locked="0"/>
    </xf>
    <xf numFmtId="10" fontId="26" fillId="5" borderId="4" xfId="0" applyNumberFormat="1" applyFont="1" applyFill="1" applyBorder="1" applyAlignment="1" applyProtection="1">
      <alignment horizontal="right"/>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0" fontId="26" fillId="0" borderId="11" xfId="0" applyNumberFormat="1" applyFont="1" applyBorder="1" applyAlignment="1">
      <alignment horizontal="center"/>
    </xf>
    <xf numFmtId="1" fontId="0" fillId="5" borderId="6" xfId="0" applyNumberFormat="1" applyFill="1" applyBorder="1" applyAlignment="1" applyProtection="1">
      <alignment horizontal="center"/>
      <protection locked="0"/>
    </xf>
    <xf numFmtId="166" fontId="17" fillId="5" borderId="6" xfId="271" applyNumberFormat="1" applyFont="1" applyFill="1" applyBorder="1" applyAlignment="1" applyProtection="1">
      <alignment horizontal="left"/>
      <protection locked="0"/>
    </xf>
    <xf numFmtId="166" fontId="26" fillId="5" borderId="6" xfId="271" applyNumberFormat="1" applyFill="1" applyBorder="1" applyAlignment="1" applyProtection="1">
      <alignment horizontal="left"/>
      <protection locked="0"/>
    </xf>
    <xf numFmtId="166" fontId="17" fillId="5" borderId="4" xfId="271" applyNumberFormat="1" applyFont="1" applyFill="1" applyBorder="1" applyAlignment="1" applyProtection="1">
      <alignment horizontal="left"/>
      <protection locked="0"/>
    </xf>
    <xf numFmtId="166" fontId="26" fillId="5" borderId="4" xfId="271" applyNumberFormat="1" applyFill="1" applyBorder="1" applyAlignment="1" applyProtection="1">
      <alignment horizontal="left"/>
      <protection locked="0"/>
    </xf>
    <xf numFmtId="168" fontId="17" fillId="0" borderId="3" xfId="0" applyNumberFormat="1" applyFont="1" applyBorder="1" applyAlignment="1">
      <alignment horizontal="left" vertical="top"/>
    </xf>
    <xf numFmtId="0" fontId="0" fillId="43" borderId="6" xfId="0" applyFill="1" applyBorder="1" applyAlignment="1" applyProtection="1">
      <alignment horizontal="center"/>
      <protection locked="0"/>
    </xf>
    <xf numFmtId="0" fontId="2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7" fillId="5" borderId="6" xfId="244" applyFont="1" applyFill="1" applyBorder="1" applyAlignment="1" applyProtection="1">
      <alignment horizontal="left"/>
      <protection locked="0"/>
    </xf>
    <xf numFmtId="0" fontId="17" fillId="0" borderId="0" xfId="271" applyFont="1" applyAlignment="1">
      <alignment horizontal="left" vertical="top" wrapText="1"/>
    </xf>
    <xf numFmtId="0" fontId="17"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7" fillId="0" borderId="0" xfId="0" applyFont="1" applyAlignment="1" applyProtection="1">
      <alignment horizontal="left"/>
      <protection locked="0"/>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0" fontId="0" fillId="0" borderId="0" xfId="0" applyAlignment="1">
      <alignment wrapText="1"/>
    </xf>
    <xf numFmtId="0" fontId="25" fillId="43" borderId="6" xfId="0" applyFont="1" applyFill="1" applyBorder="1" applyAlignment="1" applyProtection="1">
      <alignment horizontal="left"/>
      <protection locked="0"/>
    </xf>
    <xf numFmtId="0" fontId="153" fillId="0" borderId="0" xfId="0" applyFont="1" applyAlignment="1" applyProtection="1">
      <alignment horizontal="left" vertical="top" wrapText="1"/>
      <protection locked="0"/>
    </xf>
    <xf numFmtId="0" fontId="17" fillId="0" borderId="6" xfId="0" applyFont="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0" fillId="0" borderId="0" xfId="0" applyAlignment="1">
      <alignment vertical="top" wrapText="1"/>
    </xf>
    <xf numFmtId="0" fontId="17" fillId="5" borderId="0" xfId="244" applyFont="1" applyFill="1" applyBorder="1" applyAlignment="1" applyProtection="1">
      <alignment horizontal="left"/>
      <protection locked="0"/>
    </xf>
    <xf numFmtId="0" fontId="0" fillId="5" borderId="6" xfId="0" applyFill="1" applyBorder="1" applyProtection="1">
      <protection locked="0"/>
    </xf>
    <xf numFmtId="0" fontId="17" fillId="0" borderId="4" xfId="0" applyFont="1" applyBorder="1" applyAlignment="1" applyProtection="1">
      <alignment horizontal="left"/>
      <protection locked="0"/>
    </xf>
    <xf numFmtId="0" fontId="26" fillId="0" borderId="4" xfId="0" applyFont="1" applyBorder="1" applyAlignment="1" applyProtection="1">
      <alignment horizontal="left"/>
      <protection locked="0"/>
    </xf>
    <xf numFmtId="0" fontId="17" fillId="43" borderId="6" xfId="0" applyFont="1" applyFill="1" applyBorder="1" applyAlignment="1" applyProtection="1">
      <alignment vertical="center"/>
      <protection locked="0"/>
    </xf>
    <xf numFmtId="0" fontId="26" fillId="43" borderId="6" xfId="0" applyFont="1" applyFill="1" applyBorder="1" applyAlignment="1" applyProtection="1">
      <alignment horizontal="left"/>
      <protection locked="0"/>
    </xf>
    <xf numFmtId="0" fontId="17" fillId="0" borderId="6" xfId="0" applyFont="1" applyBorder="1" applyAlignment="1">
      <alignment horizontal="left"/>
    </xf>
    <xf numFmtId="0" fontId="17" fillId="5" borderId="114" xfId="244" applyFont="1" applyFill="1" applyBorder="1" applyAlignment="1" applyProtection="1">
      <alignment horizontal="left"/>
      <protection locked="0"/>
    </xf>
    <xf numFmtId="0" fontId="17" fillId="5" borderId="114" xfId="569" applyFill="1" applyBorder="1" applyAlignment="1" applyProtection="1">
      <alignment horizontal="left"/>
      <protection locked="0"/>
    </xf>
    <xf numFmtId="0" fontId="17" fillId="5" borderId="4" xfId="569"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26" fillId="5" borderId="6" xfId="0" applyNumberFormat="1" applyFont="1" applyFill="1" applyBorder="1" applyAlignment="1" applyProtection="1">
      <alignment horizontal="right"/>
      <protection locked="0"/>
    </xf>
    <xf numFmtId="178" fontId="26" fillId="5" borderId="4" xfId="0" applyNumberFormat="1" applyFont="1" applyFill="1" applyBorder="1" applyAlignment="1" applyProtection="1">
      <alignment horizontal="right"/>
      <protection locked="0"/>
    </xf>
    <xf numFmtId="3" fontId="0" fillId="0" borderId="6" xfId="0" applyNumberFormat="1" applyBorder="1" applyAlignment="1">
      <alignment horizontal="right"/>
    </xf>
    <xf numFmtId="0" fontId="26" fillId="5" borderId="11" xfId="0" applyFont="1" applyFill="1" applyBorder="1" applyAlignment="1" applyProtection="1">
      <alignment horizontal="center"/>
      <protection locked="0"/>
    </xf>
    <xf numFmtId="0" fontId="0" fillId="5" borderId="4" xfId="0" applyFill="1" applyBorder="1" applyAlignment="1" applyProtection="1">
      <alignment horizontal="right"/>
      <protection locked="0"/>
    </xf>
    <xf numFmtId="1" fontId="26" fillId="5" borderId="6" xfId="0" applyNumberFormat="1" applyFont="1" applyFill="1" applyBorder="1" applyAlignment="1" applyProtection="1">
      <alignment horizontal="right"/>
      <protection locked="0"/>
    </xf>
    <xf numFmtId="0" fontId="36"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7" fillId="5" borderId="0" xfId="0" applyFont="1" applyFill="1" applyAlignment="1" applyProtection="1">
      <alignment horizontal="left" vertical="top" wrapText="1"/>
      <protection locked="0"/>
    </xf>
    <xf numFmtId="0" fontId="26" fillId="5" borderId="0" xfId="0" applyFont="1" applyFill="1" applyAlignment="1" applyProtection="1">
      <alignment horizontal="left" vertical="top" wrapText="1"/>
      <protection locked="0"/>
    </xf>
    <xf numFmtId="0" fontId="26" fillId="5" borderId="6" xfId="0" applyFont="1" applyFill="1" applyBorder="1" applyAlignment="1" applyProtection="1">
      <alignment horizontal="left" vertical="top" wrapText="1"/>
      <protection locked="0"/>
    </xf>
    <xf numFmtId="0" fontId="17" fillId="43" borderId="4" xfId="0" applyFont="1"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26" fillId="5" borderId="4" xfId="0" applyFont="1" applyFill="1" applyBorder="1" applyAlignment="1" applyProtection="1">
      <alignment horizontal="right"/>
      <protection locked="0"/>
    </xf>
    <xf numFmtId="168" fontId="26" fillId="5" borderId="4" xfId="0" applyNumberFormat="1" applyFont="1" applyFill="1" applyBorder="1" applyAlignment="1" applyProtection="1">
      <alignment horizontal="right"/>
      <protection locked="0"/>
    </xf>
    <xf numFmtId="1" fontId="26" fillId="5" borderId="11" xfId="0" quotePrefix="1" applyNumberFormat="1" applyFont="1" applyFill="1" applyBorder="1" applyAlignment="1" applyProtection="1">
      <alignment horizontal="center"/>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5" fontId="26" fillId="5" borderId="3" xfId="0" applyNumberFormat="1" applyFont="1" applyFill="1" applyBorder="1" applyAlignment="1" applyProtection="1">
      <alignment horizontal="center"/>
      <protection locked="0"/>
    </xf>
    <xf numFmtId="165" fontId="26" fillId="5" borderId="4" xfId="0" applyNumberFormat="1" applyFont="1" applyFill="1" applyBorder="1" applyAlignment="1" applyProtection="1">
      <alignment horizontal="center"/>
      <protection locked="0"/>
    </xf>
    <xf numFmtId="165" fontId="26" fillId="5" borderId="5"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3" fontId="26" fillId="0" borderId="11" xfId="0" applyNumberFormat="1"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0" fontId="24" fillId="0" borderId="10"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8" fillId="2" borderId="3" xfId="0" applyFont="1" applyFill="1" applyBorder="1" applyAlignment="1">
      <alignment horizontal="center" vertical="top"/>
    </xf>
    <xf numFmtId="0" fontId="58" fillId="2" borderId="4" xfId="0" applyFont="1" applyFill="1" applyBorder="1" applyAlignment="1">
      <alignment horizontal="center" vertical="top"/>
    </xf>
    <xf numFmtId="0" fontId="58" fillId="2" borderId="5" xfId="0" applyFont="1" applyFill="1" applyBorder="1" applyAlignment="1">
      <alignment horizontal="center" vertical="top"/>
    </xf>
    <xf numFmtId="0" fontId="26" fillId="0" borderId="6" xfId="0" applyFont="1" applyBorder="1" applyAlignment="1">
      <alignment vertical="top" wrapText="1"/>
    </xf>
    <xf numFmtId="177" fontId="26" fillId="5" borderId="6" xfId="0" applyNumberFormat="1" applyFont="1" applyFill="1" applyBorder="1" applyAlignment="1" applyProtection="1">
      <alignment horizontal="left" vertical="top" wrapText="1"/>
      <protection locked="0"/>
    </xf>
    <xf numFmtId="0" fontId="26" fillId="0" borderId="2" xfId="0" applyFont="1" applyBorder="1" applyAlignment="1">
      <alignment vertical="top" wrapText="1"/>
    </xf>
    <xf numFmtId="0" fontId="53" fillId="0" borderId="0" xfId="0" applyFont="1" applyAlignment="1">
      <alignment vertical="top" wrapText="1"/>
    </xf>
    <xf numFmtId="0" fontId="26" fillId="0" borderId="2" xfId="0" applyFont="1" applyBorder="1" applyAlignment="1">
      <alignment horizontal="left" vertical="top" wrapText="1"/>
    </xf>
    <xf numFmtId="0" fontId="54" fillId="0" borderId="0" xfId="0" applyFont="1" applyAlignment="1">
      <alignment vertical="top" wrapText="1"/>
    </xf>
    <xf numFmtId="0" fontId="26" fillId="0" borderId="0" xfId="0" applyFont="1" applyAlignment="1">
      <alignment vertical="top" wrapText="1"/>
    </xf>
    <xf numFmtId="0" fontId="26" fillId="0" borderId="6" xfId="0" applyFont="1" applyBorder="1" applyAlignment="1">
      <alignment horizontal="right" vertical="top" wrapText="1"/>
    </xf>
    <xf numFmtId="0" fontId="54"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0" fontId="102" fillId="44" borderId="0" xfId="8733" applyFont="1" applyFill="1" applyAlignment="1">
      <alignment horizontal="left"/>
    </xf>
    <xf numFmtId="0" fontId="2" fillId="48" borderId="80" xfId="8733"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65" fillId="44" borderId="0" xfId="8733" applyFont="1" applyFill="1" applyAlignment="1">
      <alignment horizontal="left" vertical="top"/>
    </xf>
    <xf numFmtId="0" fontId="10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66" fillId="47" borderId="0" xfId="8733" applyFont="1" applyFill="1" applyAlignment="1">
      <alignment horizontal="left" vertical="top" wrapText="1"/>
    </xf>
    <xf numFmtId="0" fontId="10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0" fontId="167" fillId="47" borderId="65" xfId="8733" applyFont="1" applyFill="1" applyBorder="1" applyAlignment="1">
      <alignment horizontal="center"/>
    </xf>
    <xf numFmtId="0" fontId="167" fillId="47" borderId="29" xfId="8733" applyFont="1" applyFill="1" applyBorder="1" applyAlignment="1">
      <alignment horizontal="center"/>
    </xf>
    <xf numFmtId="0" fontId="167"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66" fillId="47" borderId="66" xfId="8733" applyFont="1" applyFill="1" applyBorder="1" applyAlignment="1">
      <alignment horizontal="center"/>
    </xf>
    <xf numFmtId="0" fontId="166" fillId="47" borderId="0" xfId="8733" applyFont="1" applyFill="1" applyAlignment="1">
      <alignment horizontal="center"/>
    </xf>
    <xf numFmtId="0" fontId="166" fillId="47" borderId="41" xfId="8733" applyFont="1" applyFill="1" applyBorder="1" applyAlignment="1">
      <alignment horizontal="center"/>
    </xf>
    <xf numFmtId="0" fontId="102" fillId="47" borderId="66" xfId="8733" applyFont="1" applyFill="1" applyBorder="1" applyAlignment="1">
      <alignment horizontal="center"/>
    </xf>
    <xf numFmtId="0" fontId="102" fillId="47" borderId="0" xfId="8733" applyFont="1" applyFill="1" applyAlignment="1">
      <alignment horizontal="center"/>
    </xf>
    <xf numFmtId="0" fontId="102" fillId="47" borderId="41" xfId="8733" applyFont="1" applyFill="1" applyBorder="1" applyAlignment="1">
      <alignment horizontal="center"/>
    </xf>
    <xf numFmtId="0" fontId="102" fillId="47" borderId="0" xfId="8733" applyFont="1" applyFill="1" applyAlignment="1">
      <alignment horizontal="left"/>
    </xf>
    <xf numFmtId="0" fontId="168" fillId="50" borderId="3" xfId="698" applyNumberFormat="1" applyFont="1" applyFill="1" applyBorder="1" applyAlignment="1" applyProtection="1">
      <alignment horizontal="center"/>
      <protection locked="0"/>
    </xf>
    <xf numFmtId="0" fontId="168" fillId="50" borderId="4" xfId="698" applyNumberFormat="1" applyFont="1" applyFill="1" applyBorder="1" applyAlignment="1" applyProtection="1">
      <alignment horizontal="center"/>
      <protection locked="0"/>
    </xf>
    <xf numFmtId="0" fontId="168" fillId="50" borderId="81" xfId="698" applyNumberFormat="1" applyFont="1" applyFill="1" applyBorder="1" applyAlignment="1" applyProtection="1">
      <alignment horizontal="center"/>
      <protection locked="0"/>
    </xf>
    <xf numFmtId="43" fontId="166" fillId="49" borderId="72" xfId="698" applyFont="1" applyFill="1" applyBorder="1" applyAlignment="1" applyProtection="1">
      <alignment horizontal="right"/>
      <protection hidden="1"/>
    </xf>
    <xf numFmtId="43" fontId="166" fillId="49" borderId="11" xfId="698" applyFont="1" applyFill="1" applyBorder="1" applyAlignment="1" applyProtection="1">
      <alignment horizontal="right"/>
      <protection hidden="1"/>
    </xf>
    <xf numFmtId="44" fontId="166" fillId="0" borderId="11" xfId="700" applyFont="1" applyBorder="1" applyAlignment="1" applyProtection="1">
      <alignment horizontal="center"/>
      <protection hidden="1"/>
    </xf>
    <xf numFmtId="168" fontId="166" fillId="0" borderId="11" xfId="700" applyNumberFormat="1" applyFont="1" applyBorder="1" applyAlignment="1" applyProtection="1">
      <alignment horizontal="center"/>
      <protection hidden="1"/>
    </xf>
    <xf numFmtId="9" fontId="166" fillId="0" borderId="11" xfId="4494" applyFont="1" applyBorder="1" applyAlignment="1" applyProtection="1">
      <alignment horizontal="center"/>
      <protection hidden="1"/>
    </xf>
    <xf numFmtId="43" fontId="166" fillId="49" borderId="3" xfId="698" applyFont="1" applyFill="1" applyBorder="1" applyAlignment="1" applyProtection="1">
      <alignment horizontal="center"/>
      <protection hidden="1"/>
    </xf>
    <xf numFmtId="43" fontId="166" fillId="49" borderId="4" xfId="698" applyFont="1" applyFill="1" applyBorder="1" applyAlignment="1" applyProtection="1">
      <alignment horizontal="center"/>
      <protection hidden="1"/>
    </xf>
    <xf numFmtId="43" fontId="166" fillId="49" borderId="81" xfId="698" applyFont="1" applyFill="1" applyBorder="1" applyAlignment="1" applyProtection="1">
      <alignment horizontal="center"/>
      <protection hidden="1"/>
    </xf>
    <xf numFmtId="0" fontId="169" fillId="49" borderId="72" xfId="698" applyNumberFormat="1" applyFont="1" applyFill="1" applyBorder="1" applyAlignment="1" applyProtection="1">
      <alignment horizontal="center"/>
      <protection hidden="1"/>
    </xf>
    <xf numFmtId="0" fontId="169" fillId="49" borderId="11" xfId="698" applyNumberFormat="1" applyFont="1" applyFill="1" applyBorder="1" applyAlignment="1" applyProtection="1">
      <alignment horizontal="center"/>
      <protection hidden="1"/>
    </xf>
    <xf numFmtId="0" fontId="169" fillId="48" borderId="11" xfId="0" applyFont="1" applyFill="1" applyBorder="1" applyAlignment="1" applyProtection="1">
      <alignment horizontal="center"/>
      <protection locked="0"/>
    </xf>
    <xf numFmtId="14" fontId="168" fillId="48" borderId="11" xfId="700" applyNumberFormat="1" applyFont="1" applyFill="1" applyBorder="1" applyAlignment="1" applyProtection="1">
      <alignment horizontal="center"/>
      <protection locked="0"/>
    </xf>
    <xf numFmtId="168" fontId="169" fillId="48" borderId="11" xfId="700" applyNumberFormat="1" applyFont="1" applyFill="1" applyBorder="1" applyAlignment="1" applyProtection="1">
      <alignment horizontal="center"/>
      <protection locked="0"/>
    </xf>
    <xf numFmtId="9" fontId="169" fillId="48" borderId="11" xfId="1022" applyFont="1" applyFill="1" applyBorder="1" applyAlignment="1" applyProtection="1">
      <alignment horizontal="center"/>
      <protection locked="0"/>
    </xf>
    <xf numFmtId="44" fontId="168" fillId="48" borderId="11" xfId="700" applyFont="1" applyFill="1" applyBorder="1" applyAlignment="1" applyProtection="1">
      <alignment horizontal="center"/>
      <protection locked="0"/>
    </xf>
    <xf numFmtId="0" fontId="171" fillId="45" borderId="11" xfId="8733" applyFont="1" applyFill="1" applyBorder="1" applyAlignment="1">
      <alignment horizontal="left" wrapText="1"/>
    </xf>
    <xf numFmtId="43" fontId="166" fillId="45" borderId="80" xfId="698" applyFont="1" applyFill="1" applyBorder="1" applyAlignment="1" applyProtection="1">
      <alignment horizontal="center"/>
      <protection hidden="1"/>
    </xf>
    <xf numFmtId="43" fontId="166" fillId="45" borderId="79" xfId="698" applyFont="1" applyFill="1" applyBorder="1" applyAlignment="1" applyProtection="1">
      <alignment horizontal="center"/>
      <protection hidden="1"/>
    </xf>
    <xf numFmtId="43" fontId="166" fillId="45" borderId="78" xfId="698" applyFont="1" applyFill="1" applyBorder="1" applyAlignment="1" applyProtection="1">
      <alignment horizontal="center"/>
      <protection hidden="1"/>
    </xf>
    <xf numFmtId="43" fontId="170" fillId="49" borderId="66" xfId="698" applyFont="1" applyFill="1" applyBorder="1" applyAlignment="1" applyProtection="1">
      <alignment horizontal="center" wrapText="1"/>
      <protection hidden="1"/>
    </xf>
    <xf numFmtId="43" fontId="170" fillId="49" borderId="0" xfId="698" applyFont="1" applyFill="1" applyBorder="1" applyAlignment="1" applyProtection="1">
      <alignment horizontal="center" wrapText="1"/>
      <protection hidden="1"/>
    </xf>
    <xf numFmtId="43" fontId="170" fillId="49" borderId="12" xfId="698" applyFont="1" applyFill="1" applyBorder="1" applyAlignment="1" applyProtection="1">
      <alignment horizontal="center" wrapText="1"/>
      <protection hidden="1"/>
    </xf>
    <xf numFmtId="43" fontId="170" fillId="49" borderId="83" xfId="698" applyFont="1" applyFill="1" applyBorder="1" applyAlignment="1" applyProtection="1">
      <alignment horizontal="center" wrapText="1"/>
      <protection hidden="1"/>
    </xf>
    <xf numFmtId="43" fontId="170" fillId="49" borderId="6" xfId="698" applyFont="1" applyFill="1" applyBorder="1" applyAlignment="1" applyProtection="1">
      <alignment horizontal="center" wrapText="1"/>
      <protection hidden="1"/>
    </xf>
    <xf numFmtId="43" fontId="170" fillId="49" borderId="10" xfId="698" applyFont="1" applyFill="1" applyBorder="1" applyAlignment="1" applyProtection="1">
      <alignment horizontal="center" wrapText="1"/>
      <protection hidden="1"/>
    </xf>
    <xf numFmtId="43" fontId="170" fillId="49" borderId="8" xfId="698" applyFont="1" applyFill="1" applyBorder="1" applyAlignment="1" applyProtection="1">
      <alignment horizontal="center" wrapText="1"/>
      <protection hidden="1"/>
    </xf>
    <xf numFmtId="43" fontId="170" fillId="49" borderId="9" xfId="698" applyFont="1" applyFill="1" applyBorder="1" applyAlignment="1" applyProtection="1">
      <alignment horizontal="center" wrapText="1"/>
      <protection hidden="1"/>
    </xf>
    <xf numFmtId="14" fontId="170" fillId="0" borderId="8" xfId="700" applyNumberFormat="1" applyFont="1" applyFill="1" applyBorder="1" applyAlignment="1" applyProtection="1">
      <alignment horizontal="center" wrapText="1"/>
      <protection hidden="1"/>
    </xf>
    <xf numFmtId="14" fontId="170" fillId="0" borderId="0" xfId="700" applyNumberFormat="1" applyFont="1" applyFill="1" applyBorder="1" applyAlignment="1" applyProtection="1">
      <alignment horizontal="center" wrapText="1"/>
      <protection hidden="1"/>
    </xf>
    <xf numFmtId="14" fontId="170" fillId="0" borderId="12" xfId="700" applyNumberFormat="1" applyFont="1" applyFill="1" applyBorder="1" applyAlignment="1" applyProtection="1">
      <alignment horizontal="center" wrapText="1"/>
      <protection hidden="1"/>
    </xf>
    <xf numFmtId="14" fontId="170" fillId="0" borderId="9" xfId="700" applyNumberFormat="1" applyFont="1" applyFill="1" applyBorder="1" applyAlignment="1" applyProtection="1">
      <alignment horizontal="center" wrapText="1"/>
      <protection hidden="1"/>
    </xf>
    <xf numFmtId="14" fontId="170" fillId="0" borderId="6" xfId="700" applyNumberFormat="1" applyFont="1" applyFill="1" applyBorder="1" applyAlignment="1" applyProtection="1">
      <alignment horizontal="center" wrapText="1"/>
      <protection hidden="1"/>
    </xf>
    <xf numFmtId="14" fontId="170" fillId="0" borderId="10" xfId="700" applyNumberFormat="1" applyFont="1" applyFill="1" applyBorder="1" applyAlignment="1" applyProtection="1">
      <alignment horizontal="center" wrapText="1"/>
      <protection hidden="1"/>
    </xf>
    <xf numFmtId="44" fontId="170" fillId="0" borderId="8" xfId="700" applyFont="1" applyBorder="1" applyAlignment="1" applyProtection="1">
      <alignment horizontal="center" wrapText="1"/>
      <protection hidden="1"/>
    </xf>
    <xf numFmtId="44" fontId="170" fillId="0" borderId="0" xfId="700" applyFont="1" applyBorder="1" applyAlignment="1" applyProtection="1">
      <alignment horizontal="center" wrapText="1"/>
      <protection hidden="1"/>
    </xf>
    <xf numFmtId="44" fontId="170" fillId="0" borderId="12" xfId="700" applyFont="1" applyBorder="1" applyAlignment="1" applyProtection="1">
      <alignment horizontal="center" wrapText="1"/>
      <protection hidden="1"/>
    </xf>
    <xf numFmtId="44" fontId="170" fillId="0" borderId="9" xfId="700" applyFont="1" applyBorder="1" applyAlignment="1" applyProtection="1">
      <alignment horizontal="center" wrapText="1"/>
      <protection hidden="1"/>
    </xf>
    <xf numFmtId="44" fontId="170" fillId="0" borderId="6" xfId="700" applyFont="1" applyBorder="1" applyAlignment="1" applyProtection="1">
      <alignment horizontal="center" wrapText="1"/>
      <protection hidden="1"/>
    </xf>
    <xf numFmtId="44" fontId="170" fillId="0" borderId="10" xfId="700" applyFont="1" applyBorder="1" applyAlignment="1" applyProtection="1">
      <alignment horizontal="center" wrapText="1"/>
      <protection hidden="1"/>
    </xf>
    <xf numFmtId="43" fontId="170" fillId="49" borderId="41" xfId="698" applyFont="1" applyFill="1" applyBorder="1" applyAlignment="1" applyProtection="1">
      <alignment horizontal="center" wrapText="1"/>
      <protection hidden="1"/>
    </xf>
    <xf numFmtId="43" fontId="170" fillId="49" borderId="82" xfId="698" applyFont="1" applyFill="1" applyBorder="1" applyAlignment="1" applyProtection="1">
      <alignment horizontal="center" wrapText="1"/>
      <protection hidden="1"/>
    </xf>
    <xf numFmtId="0" fontId="172" fillId="45" borderId="11" xfId="8733" applyFont="1" applyFill="1" applyBorder="1" applyAlignment="1">
      <alignment horizontal="left"/>
    </xf>
    <xf numFmtId="182" fontId="2" fillId="48" borderId="11" xfId="700" applyNumberFormat="1" applyFont="1" applyFill="1" applyBorder="1" applyAlignment="1" applyProtection="1">
      <alignment horizontal="center"/>
      <protection locked="0"/>
    </xf>
    <xf numFmtId="10" fontId="172" fillId="48" borderId="11"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65" fillId="45" borderId="80" xfId="0" applyFont="1" applyFill="1" applyBorder="1" applyAlignment="1" applyProtection="1">
      <alignment horizontal="center" wrapText="1"/>
      <protection hidden="1"/>
    </xf>
    <xf numFmtId="0" fontId="165" fillId="45" borderId="79" xfId="0" applyFont="1" applyFill="1" applyBorder="1" applyAlignment="1" applyProtection="1">
      <alignment horizontal="center" wrapText="1"/>
      <protection hidden="1"/>
    </xf>
    <xf numFmtId="0" fontId="165" fillId="45" borderId="78" xfId="0" applyFont="1" applyFill="1" applyBorder="1" applyAlignment="1" applyProtection="1">
      <alignment horizontal="center" wrapText="1"/>
      <protection hidden="1"/>
    </xf>
    <xf numFmtId="0" fontId="165" fillId="45" borderId="13" xfId="0" applyFont="1" applyFill="1" applyBorder="1" applyAlignment="1" applyProtection="1">
      <alignment horizontal="left" wrapText="1"/>
      <protection hidden="1"/>
    </xf>
    <xf numFmtId="0" fontId="165" fillId="45" borderId="13" xfId="0" applyFont="1" applyFill="1" applyBorder="1" applyAlignment="1" applyProtection="1">
      <alignment horizontal="center" wrapText="1"/>
      <protection hidden="1"/>
    </xf>
    <xf numFmtId="0" fontId="174" fillId="45" borderId="67" xfId="8733" applyFont="1" applyFill="1" applyBorder="1" applyAlignment="1">
      <alignment horizontal="right"/>
    </xf>
    <xf numFmtId="0" fontId="174" fillId="45" borderId="68" xfId="8733" applyFont="1" applyFill="1" applyBorder="1" applyAlignment="1">
      <alignment horizontal="right"/>
    </xf>
    <xf numFmtId="168" fontId="169" fillId="44" borderId="68" xfId="700" applyNumberFormat="1" applyFont="1" applyFill="1" applyBorder="1" applyAlignment="1">
      <alignment horizontal="left"/>
    </xf>
    <xf numFmtId="168" fontId="169" fillId="44" borderId="71" xfId="700" applyNumberFormat="1" applyFont="1" applyFill="1" applyBorder="1" applyAlignment="1">
      <alignment horizontal="left"/>
    </xf>
    <xf numFmtId="0" fontId="171" fillId="48" borderId="66" xfId="8733" applyFont="1" applyFill="1" applyBorder="1" applyAlignment="1">
      <alignment horizontal="left" wrapText="1"/>
    </xf>
    <xf numFmtId="0" fontId="171" fillId="48" borderId="0" xfId="8733" applyFont="1" applyFill="1" applyAlignment="1">
      <alignment horizontal="left" wrapText="1"/>
    </xf>
    <xf numFmtId="0" fontId="171" fillId="48" borderId="41" xfId="8733" applyFont="1" applyFill="1" applyBorder="1" applyAlignment="1">
      <alignment horizontal="left" wrapText="1"/>
    </xf>
    <xf numFmtId="0" fontId="171" fillId="48" borderId="73" xfId="8733" applyFont="1" applyFill="1" applyBorder="1" applyAlignment="1">
      <alignment horizontal="left" wrapText="1"/>
    </xf>
    <xf numFmtId="0" fontId="171" fillId="48" borderId="42" xfId="8733" applyFont="1" applyFill="1" applyBorder="1" applyAlignment="1">
      <alignment horizontal="left" wrapText="1"/>
    </xf>
    <xf numFmtId="0" fontId="171" fillId="48" borderId="44" xfId="8733" applyFont="1" applyFill="1" applyBorder="1" applyAlignment="1">
      <alignment horizontal="left" wrapText="1"/>
    </xf>
    <xf numFmtId="0" fontId="173" fillId="45" borderId="69" xfId="8733" applyFont="1" applyFill="1" applyBorder="1" applyAlignment="1">
      <alignment horizontal="right"/>
    </xf>
    <xf numFmtId="0" fontId="173" fillId="45" borderId="70" xfId="8733" applyFont="1" applyFill="1" applyBorder="1" applyAlignment="1">
      <alignment horizontal="right"/>
    </xf>
    <xf numFmtId="0" fontId="165" fillId="44" borderId="70" xfId="700" applyNumberFormat="1" applyFont="1" applyFill="1" applyBorder="1" applyAlignment="1">
      <alignment horizontal="left"/>
    </xf>
    <xf numFmtId="168" fontId="165" fillId="44" borderId="70" xfId="700" applyNumberFormat="1" applyFont="1" applyFill="1" applyBorder="1" applyAlignment="1">
      <alignment horizontal="left"/>
    </xf>
    <xf numFmtId="168" fontId="165" fillId="44" borderId="77" xfId="700" applyNumberFormat="1" applyFont="1" applyFill="1" applyBorder="1" applyAlignment="1">
      <alignment horizontal="left"/>
    </xf>
    <xf numFmtId="0" fontId="166" fillId="47" borderId="0" xfId="8733" applyFont="1" applyFill="1" applyAlignment="1">
      <alignment horizontal="right"/>
    </xf>
    <xf numFmtId="168" fontId="170" fillId="47" borderId="0"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center"/>
      <protection locked="0"/>
    </xf>
    <xf numFmtId="0" fontId="172" fillId="48" borderId="86" xfId="8733" applyFont="1" applyFill="1" applyBorder="1" applyAlignment="1" applyProtection="1">
      <alignment horizontal="center"/>
      <protection locked="0"/>
    </xf>
    <xf numFmtId="0" fontId="174" fillId="48" borderId="70" xfId="8733" applyFont="1" applyFill="1" applyBorder="1" applyAlignment="1" applyProtection="1">
      <alignment horizontal="left"/>
      <protection locked="0"/>
    </xf>
    <xf numFmtId="0" fontId="174" fillId="48" borderId="77" xfId="8733" applyFont="1" applyFill="1" applyBorder="1" applyAlignment="1" applyProtection="1">
      <alignment horizontal="left"/>
      <protection locked="0"/>
    </xf>
    <xf numFmtId="168" fontId="172" fillId="48" borderId="86" xfId="700" applyNumberFormat="1" applyFont="1" applyFill="1" applyBorder="1" applyAlignment="1" applyProtection="1">
      <alignment horizontal="left"/>
      <protection locked="0"/>
    </xf>
    <xf numFmtId="168" fontId="172" fillId="48" borderId="85"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left"/>
      <protection locked="0"/>
    </xf>
    <xf numFmtId="0" fontId="172" fillId="48" borderId="86" xfId="8733" applyFont="1" applyFill="1" applyBorder="1" applyAlignment="1" applyProtection="1">
      <alignment horizontal="left"/>
      <protection locked="0"/>
    </xf>
    <xf numFmtId="0" fontId="172" fillId="48" borderId="85" xfId="8733" applyFont="1" applyFill="1" applyBorder="1" applyAlignment="1" applyProtection="1">
      <alignment horizontal="left"/>
      <protection locked="0"/>
    </xf>
    <xf numFmtId="0" fontId="102" fillId="48" borderId="80" xfId="8733" applyFont="1" applyFill="1" applyBorder="1" applyAlignment="1">
      <alignment horizontal="left"/>
    </xf>
    <xf numFmtId="0" fontId="102" fillId="48" borderId="79" xfId="8733" applyFont="1" applyFill="1" applyBorder="1" applyAlignment="1">
      <alignment horizontal="left"/>
    </xf>
    <xf numFmtId="44" fontId="2" fillId="48" borderId="84" xfId="700" applyFont="1" applyFill="1" applyBorder="1" applyAlignment="1" applyProtection="1">
      <alignment horizontal="center"/>
      <protection locked="0"/>
    </xf>
    <xf numFmtId="0" fontId="172" fillId="48" borderId="72" xfId="8733" applyFont="1" applyFill="1" applyBorder="1" applyAlignment="1" applyProtection="1">
      <alignment horizontal="center"/>
      <protection locked="0"/>
    </xf>
    <xf numFmtId="0" fontId="172" fillId="48" borderId="11" xfId="8733"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168" fontId="172" fillId="48" borderId="11" xfId="700" applyNumberFormat="1" applyFont="1" applyFill="1" applyBorder="1" applyAlignment="1" applyProtection="1">
      <alignment horizontal="left"/>
      <protection locked="0"/>
    </xf>
    <xf numFmtId="0" fontId="172" fillId="48" borderId="11" xfId="8733" applyFont="1" applyFill="1" applyBorder="1" applyAlignment="1" applyProtection="1">
      <alignment horizontal="left"/>
      <protection locked="0"/>
    </xf>
    <xf numFmtId="0" fontId="172" fillId="48" borderId="76"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74" fillId="48" borderId="72" xfId="8733" applyFont="1" applyFill="1" applyBorder="1" applyAlignment="1" applyProtection="1">
      <alignment horizontal="center"/>
      <protection locked="0"/>
    </xf>
    <xf numFmtId="0" fontId="174" fillId="48" borderId="11" xfId="8733" applyFont="1" applyFill="1" applyBorder="1" applyAlignment="1" applyProtection="1">
      <alignment horizontal="center"/>
      <protection locked="0"/>
    </xf>
    <xf numFmtId="43" fontId="169" fillId="50" borderId="72" xfId="698" applyFont="1" applyFill="1" applyBorder="1" applyAlignment="1" applyProtection="1">
      <alignment horizontal="left" wrapText="1"/>
      <protection hidden="1"/>
    </xf>
    <xf numFmtId="43" fontId="169" fillId="50" borderId="11" xfId="698" applyFont="1" applyFill="1" applyBorder="1" applyAlignment="1" applyProtection="1">
      <alignment horizontal="left" wrapText="1"/>
      <protection hidden="1"/>
    </xf>
    <xf numFmtId="44" fontId="2" fillId="48" borderId="11" xfId="700" applyFont="1" applyFill="1" applyBorder="1" applyAlignment="1" applyProtection="1">
      <alignment horizontal="center"/>
      <protection hidden="1"/>
    </xf>
    <xf numFmtId="43" fontId="166" fillId="50" borderId="111" xfId="698" applyFont="1" applyFill="1" applyBorder="1" applyAlignment="1" applyProtection="1">
      <alignment horizontal="center"/>
      <protection hidden="1"/>
    </xf>
    <xf numFmtId="43" fontId="166" fillId="50" borderId="84" xfId="698" applyFont="1" applyFill="1" applyBorder="1" applyAlignment="1" applyProtection="1">
      <alignment horizontal="center"/>
      <protection hidden="1"/>
    </xf>
    <xf numFmtId="43" fontId="166" fillId="50" borderId="102" xfId="698" applyFont="1" applyFill="1" applyBorder="1" applyAlignment="1" applyProtection="1">
      <alignment horizontal="center"/>
      <protection hidden="1"/>
    </xf>
    <xf numFmtId="0" fontId="172" fillId="45" borderId="72" xfId="8733" applyFont="1" applyFill="1" applyBorder="1" applyAlignment="1">
      <alignment horizontal="right"/>
    </xf>
    <xf numFmtId="0" fontId="172" fillId="45" borderId="11" xfId="8733" applyFont="1" applyFill="1" applyBorder="1" applyAlignment="1">
      <alignment horizontal="right"/>
    </xf>
    <xf numFmtId="43" fontId="169" fillId="50" borderId="98" xfId="698" applyFont="1" applyFill="1" applyBorder="1" applyAlignment="1" applyProtection="1">
      <alignment horizontal="left"/>
      <protection hidden="1"/>
    </xf>
    <xf numFmtId="43" fontId="169" fillId="50" borderId="13" xfId="698" applyFont="1" applyFill="1" applyBorder="1" applyAlignment="1" applyProtection="1">
      <alignment horizontal="left"/>
      <protection hidden="1"/>
    </xf>
    <xf numFmtId="44" fontId="2" fillId="48" borderId="13" xfId="700" applyFont="1" applyFill="1" applyBorder="1" applyAlignment="1" applyProtection="1">
      <alignment horizontal="center"/>
      <protection locked="0"/>
    </xf>
    <xf numFmtId="0" fontId="172" fillId="48" borderId="9" xfId="8733" applyFont="1" applyFill="1" applyBorder="1" applyAlignment="1">
      <alignment horizontal="center"/>
    </xf>
    <xf numFmtId="0" fontId="172" fillId="48" borderId="6" xfId="8733" applyFont="1" applyFill="1" applyBorder="1" applyAlignment="1">
      <alignment horizontal="center"/>
    </xf>
    <xf numFmtId="0" fontId="172" fillId="48" borderId="82" xfId="8733" applyFont="1" applyFill="1" applyBorder="1" applyAlignment="1">
      <alignment horizontal="center"/>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168" fontId="174" fillId="44" borderId="11" xfId="700" applyNumberFormat="1" applyFont="1" applyFill="1" applyBorder="1" applyAlignment="1">
      <alignment horizontal="left"/>
    </xf>
    <xf numFmtId="0" fontId="102" fillId="45" borderId="65" xfId="8733" applyFont="1" applyFill="1" applyBorder="1" applyAlignment="1">
      <alignment horizontal="left" wrapText="1"/>
    </xf>
    <xf numFmtId="0" fontId="102" fillId="45" borderId="29" xfId="8733" applyFont="1" applyFill="1" applyBorder="1" applyAlignment="1">
      <alignment horizontal="left" wrapText="1"/>
    </xf>
    <xf numFmtId="0" fontId="102" fillId="45" borderId="31" xfId="8733" applyFont="1" applyFill="1" applyBorder="1" applyAlignment="1">
      <alignment horizontal="left" wrapText="1"/>
    </xf>
    <xf numFmtId="0" fontId="102" fillId="45" borderId="73" xfId="8733" applyFont="1" applyFill="1" applyBorder="1" applyAlignment="1">
      <alignment horizontal="left" wrapText="1"/>
    </xf>
    <xf numFmtId="0" fontId="102" fillId="45" borderId="42" xfId="8733" applyFont="1" applyFill="1" applyBorder="1" applyAlignment="1">
      <alignment horizontal="left" wrapText="1"/>
    </xf>
    <xf numFmtId="0" fontId="102" fillId="45" borderId="44" xfId="8733" applyFont="1" applyFill="1" applyBorder="1" applyAlignment="1">
      <alignment horizontal="left" wrapText="1"/>
    </xf>
    <xf numFmtId="43" fontId="169" fillId="50" borderId="72" xfId="698" applyFont="1" applyFill="1" applyBorder="1" applyAlignment="1" applyProtection="1">
      <alignment horizontal="left"/>
      <protection hidden="1"/>
    </xf>
    <xf numFmtId="43" fontId="169" fillId="50" borderId="11" xfId="698" applyFont="1" applyFill="1" applyBorder="1" applyAlignment="1" applyProtection="1">
      <alignment horizontal="left"/>
      <protection hidden="1"/>
    </xf>
    <xf numFmtId="44" fontId="2" fillId="48" borderId="11" xfId="700" applyFont="1" applyFill="1" applyBorder="1" applyAlignment="1" applyProtection="1">
      <alignment horizontal="center"/>
      <protection locked="0"/>
    </xf>
    <xf numFmtId="0" fontId="102" fillId="45" borderId="67" xfId="8733" applyFont="1" applyFill="1" applyBorder="1" applyAlignment="1">
      <alignment horizontal="center"/>
    </xf>
    <xf numFmtId="0" fontId="102" fillId="45" borderId="68" xfId="8733" applyFont="1" applyFill="1" applyBorder="1" applyAlignment="1">
      <alignment horizontal="center"/>
    </xf>
    <xf numFmtId="0" fontId="166" fillId="45" borderId="68" xfId="8733" applyFont="1" applyFill="1" applyBorder="1" applyAlignment="1">
      <alignment horizontal="center"/>
    </xf>
    <xf numFmtId="0" fontId="166" fillId="45" borderId="71" xfId="8733" applyFont="1" applyFill="1" applyBorder="1" applyAlignment="1">
      <alignment horizontal="center"/>
    </xf>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174" fillId="45" borderId="72" xfId="8733" applyFont="1" applyFill="1" applyBorder="1" applyAlignment="1">
      <alignment horizontal="right"/>
    </xf>
    <xf numFmtId="0" fontId="174" fillId="45" borderId="11" xfId="8733" applyFont="1" applyFill="1" applyBorder="1" applyAlignment="1">
      <alignment horizontal="right"/>
    </xf>
    <xf numFmtId="168" fontId="174" fillId="48" borderId="11" xfId="700" applyNumberFormat="1" applyFont="1" applyFill="1" applyBorder="1" applyAlignment="1" applyProtection="1">
      <alignment horizontal="left"/>
      <protection locked="0"/>
    </xf>
    <xf numFmtId="168" fontId="172" fillId="44" borderId="11" xfId="700" applyNumberFormat="1" applyFont="1" applyFill="1" applyBorder="1" applyAlignment="1" applyProtection="1">
      <alignment horizontal="left"/>
      <protection locked="0"/>
    </xf>
    <xf numFmtId="0" fontId="102" fillId="45" borderId="71" xfId="8733" applyFont="1" applyFill="1" applyBorder="1" applyAlignment="1">
      <alignment horizontal="center"/>
    </xf>
    <xf numFmtId="0" fontId="166" fillId="45" borderId="67" xfId="8733" applyFont="1" applyFill="1" applyBorder="1" applyAlignment="1">
      <alignment horizontal="left"/>
    </xf>
    <xf numFmtId="0" fontId="166" fillId="45" borderId="68" xfId="8733" applyFont="1" applyFill="1" applyBorder="1" applyAlignment="1">
      <alignment horizontal="left"/>
    </xf>
    <xf numFmtId="0" fontId="166" fillId="45" borderId="71" xfId="8733" applyFont="1" applyFill="1" applyBorder="1" applyAlignment="1">
      <alignment horizontal="left"/>
    </xf>
    <xf numFmtId="0" fontId="102" fillId="45" borderId="72" xfId="8733" applyFont="1" applyFill="1" applyBorder="1" applyAlignment="1">
      <alignment horizontal="center"/>
    </xf>
    <xf numFmtId="0" fontId="102" fillId="45" borderId="11" xfId="8733" applyFont="1" applyFill="1" applyBorder="1" applyAlignment="1">
      <alignment horizontal="center"/>
    </xf>
    <xf numFmtId="0" fontId="102" fillId="45" borderId="76" xfId="8733" applyFont="1" applyFill="1" applyBorder="1" applyAlignment="1">
      <alignment horizontal="center"/>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14" fontId="172" fillId="48" borderId="11" xfId="8733" applyNumberFormat="1" applyFont="1" applyFill="1" applyBorder="1" applyAlignment="1" applyProtection="1">
      <alignment horizontal="center"/>
      <protection locked="0"/>
    </xf>
    <xf numFmtId="14" fontId="172" fillId="48" borderId="76" xfId="8733" applyNumberFormat="1" applyFont="1" applyFill="1" applyBorder="1" applyAlignment="1" applyProtection="1">
      <alignment horizontal="center"/>
      <protection locked="0"/>
    </xf>
    <xf numFmtId="0" fontId="172" fillId="48" borderId="69" xfId="8733" applyFont="1" applyFill="1" applyBorder="1" applyAlignment="1" applyProtection="1">
      <alignment horizontal="center"/>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4" fontId="172"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center"/>
    </xf>
    <xf numFmtId="0" fontId="171" fillId="45" borderId="11" xfId="8733" applyFont="1" applyFill="1" applyBorder="1" applyAlignment="1">
      <alignment horizontal="center"/>
    </xf>
    <xf numFmtId="0" fontId="175" fillId="48" borderId="11" xfId="8733" applyFont="1" applyFill="1" applyBorder="1" applyAlignment="1" applyProtection="1">
      <alignment horizontal="left"/>
      <protection locked="0"/>
    </xf>
    <xf numFmtId="14" fontId="174" fillId="48" borderId="11" xfId="8733" applyNumberFormat="1" applyFont="1" applyFill="1" applyBorder="1" applyAlignment="1" applyProtection="1">
      <alignment horizontal="center"/>
      <protection locked="0"/>
    </xf>
    <xf numFmtId="168" fontId="174" fillId="48" borderId="11" xfId="8734" applyNumberFormat="1" applyFont="1" applyFill="1" applyBorder="1" applyAlignment="1" applyProtection="1">
      <alignment horizontal="center"/>
      <protection locked="0"/>
    </xf>
    <xf numFmtId="168" fontId="174" fillId="48" borderId="76" xfId="8734" applyNumberFormat="1" applyFont="1" applyFill="1" applyBorder="1" applyAlignment="1" applyProtection="1">
      <alignment horizontal="center"/>
      <protection locked="0"/>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0" fontId="175" fillId="48" borderId="70" xfId="8733" applyFont="1" applyFill="1" applyBorder="1" applyAlignment="1" applyProtection="1">
      <alignment horizontal="left"/>
      <protection locked="0"/>
    </xf>
    <xf numFmtId="0" fontId="174" fillId="48" borderId="70" xfId="8733" applyFont="1" applyFill="1" applyBorder="1" applyAlignment="1" applyProtection="1">
      <alignment horizontal="center"/>
      <protection locked="0"/>
    </xf>
    <xf numFmtId="14" fontId="174" fillId="48" borderId="70" xfId="8733" applyNumberFormat="1" applyFont="1" applyFill="1" applyBorder="1" applyAlignment="1" applyProtection="1">
      <alignment horizontal="center"/>
      <protection locked="0"/>
    </xf>
    <xf numFmtId="168" fontId="174" fillId="48" borderId="70" xfId="8734" applyNumberFormat="1" applyFont="1" applyFill="1" applyBorder="1" applyAlignment="1" applyProtection="1">
      <alignment horizontal="center"/>
      <protection locked="0"/>
    </xf>
    <xf numFmtId="168" fontId="174" fillId="48" borderId="77" xfId="8734" applyNumberFormat="1" applyFont="1" applyFill="1" applyBorder="1" applyAlignment="1" applyProtection="1">
      <alignment horizontal="center"/>
      <protection locked="0"/>
    </xf>
    <xf numFmtId="0" fontId="176" fillId="45" borderId="69" xfId="8733" applyFont="1" applyFill="1" applyBorder="1" applyAlignment="1">
      <alignment horizontal="left"/>
    </xf>
    <xf numFmtId="0" fontId="176" fillId="45" borderId="70"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66" fillId="45" borderId="67" xfId="8733" applyFont="1" applyFill="1" applyBorder="1" applyAlignment="1">
      <alignment horizontal="center"/>
    </xf>
    <xf numFmtId="0" fontId="165" fillId="45" borderId="11" xfId="8733" applyFont="1" applyFill="1" applyBorder="1" applyAlignment="1">
      <alignment horizontal="center"/>
    </xf>
    <xf numFmtId="0" fontId="176" fillId="45" borderId="72" xfId="8733" applyFont="1" applyFill="1" applyBorder="1" applyAlignment="1">
      <alignment horizontal="left"/>
    </xf>
    <xf numFmtId="0" fontId="176" fillId="45" borderId="11" xfId="8733" applyFont="1" applyFill="1" applyBorder="1" applyAlignment="1">
      <alignment horizontal="left"/>
    </xf>
    <xf numFmtId="0" fontId="2" fillId="48" borderId="11"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165" fillId="45" borderId="11" xfId="8733" applyFont="1" applyFill="1" applyBorder="1" applyAlignment="1">
      <alignment horizontal="center" wrapText="1"/>
    </xf>
    <xf numFmtId="0" fontId="165" fillId="45" borderId="76" xfId="8733" applyFont="1" applyFill="1" applyBorder="1" applyAlignment="1">
      <alignment horizontal="center" wrapText="1"/>
    </xf>
    <xf numFmtId="0" fontId="165" fillId="48" borderId="90" xfId="8733" applyFont="1" applyFill="1" applyBorder="1" applyAlignment="1">
      <alignment horizontal="left"/>
    </xf>
    <xf numFmtId="0" fontId="165" fillId="48" borderId="4" xfId="8733" applyFont="1" applyFill="1" applyBorder="1" applyAlignment="1">
      <alignment horizontal="left"/>
    </xf>
    <xf numFmtId="0" fontId="165" fillId="48" borderId="5" xfId="8733" applyFont="1" applyFill="1" applyBorder="1" applyAlignment="1">
      <alignment horizontal="left"/>
    </xf>
    <xf numFmtId="0" fontId="169" fillId="48" borderId="68" xfId="8733" applyFont="1" applyFill="1" applyBorder="1" applyAlignment="1" applyProtection="1">
      <alignment horizontal="left"/>
      <protection locked="0"/>
    </xf>
    <xf numFmtId="0" fontId="169" fillId="48" borderId="71" xfId="8733" applyFont="1" applyFill="1" applyBorder="1" applyAlignment="1" applyProtection="1">
      <alignment horizontal="left"/>
      <protection locked="0"/>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77" fillId="48" borderId="11" xfId="8733" applyFont="1" applyFill="1" applyBorder="1" applyAlignment="1" applyProtection="1">
      <alignment horizontal="left"/>
      <protection locked="0"/>
    </xf>
    <xf numFmtId="0" fontId="177" fillId="48" borderId="76" xfId="8733" applyFont="1" applyFill="1" applyBorder="1" applyAlignment="1" applyProtection="1">
      <alignment horizontal="left"/>
      <protection locked="0"/>
    </xf>
    <xf numFmtId="0" fontId="174" fillId="48" borderId="72" xfId="8733" applyFont="1" applyFill="1" applyBorder="1" applyAlignment="1" applyProtection="1">
      <alignment horizontal="left" vertical="top"/>
      <protection locked="0"/>
    </xf>
    <xf numFmtId="0" fontId="174" fillId="48" borderId="11" xfId="8733" applyFont="1" applyFill="1" applyBorder="1" applyAlignment="1" applyProtection="1">
      <alignment horizontal="left" vertical="top"/>
      <protection locked="0"/>
    </xf>
    <xf numFmtId="0" fontId="174" fillId="48" borderId="76" xfId="8733" applyFont="1" applyFill="1" applyBorder="1" applyAlignment="1" applyProtection="1">
      <alignment horizontal="left" vertical="top"/>
      <protection locked="0"/>
    </xf>
    <xf numFmtId="0" fontId="174" fillId="48" borderId="69" xfId="8733" applyFont="1" applyFill="1" applyBorder="1" applyAlignment="1" applyProtection="1">
      <alignment horizontal="left" vertical="top"/>
      <protection locked="0"/>
    </xf>
    <xf numFmtId="0" fontId="174" fillId="48" borderId="70" xfId="8733" applyFont="1" applyFill="1" applyBorder="1" applyAlignment="1" applyProtection="1">
      <alignment horizontal="left" vertical="top"/>
      <protection locked="0"/>
    </xf>
    <xf numFmtId="0" fontId="174" fillId="48" borderId="77" xfId="8733" applyFont="1" applyFill="1" applyBorder="1" applyAlignment="1" applyProtection="1">
      <alignment horizontal="left" vertical="top"/>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9" fillId="48" borderId="3" xfId="8733" applyFont="1" applyFill="1" applyBorder="1" applyAlignment="1" applyProtection="1">
      <alignment horizontal="center"/>
      <protection locked="0"/>
    </xf>
    <xf numFmtId="0" fontId="169" fillId="48" borderId="4" xfId="8733" applyFont="1" applyFill="1" applyBorder="1" applyAlignment="1" applyProtection="1">
      <alignment horizontal="center"/>
      <protection locked="0"/>
    </xf>
    <xf numFmtId="0" fontId="169" fillId="48" borderId="81" xfId="8733" applyFont="1" applyFill="1" applyBorder="1" applyAlignment="1" applyProtection="1">
      <alignment horizontal="center"/>
      <protection locked="0"/>
    </xf>
    <xf numFmtId="0" fontId="166" fillId="45" borderId="93" xfId="8733" applyFont="1" applyFill="1" applyBorder="1" applyAlignment="1">
      <alignment horizontal="center"/>
    </xf>
    <xf numFmtId="0" fontId="166" fillId="45" borderId="92" xfId="8733" applyFont="1" applyFill="1" applyBorder="1" applyAlignment="1">
      <alignment horizontal="center"/>
    </xf>
    <xf numFmtId="0" fontId="166" fillId="45" borderId="91" xfId="8733" applyFont="1" applyFill="1" applyBorder="1" applyAlignment="1">
      <alignment horizontal="center"/>
    </xf>
    <xf numFmtId="0" fontId="173" fillId="45" borderId="11" xfId="8733" applyFont="1" applyFill="1" applyBorder="1" applyAlignment="1">
      <alignment horizontal="center"/>
    </xf>
    <xf numFmtId="0" fontId="179" fillId="45" borderId="11" xfId="8733" applyFont="1" applyFill="1" applyBorder="1" applyAlignment="1">
      <alignment horizontal="left"/>
    </xf>
    <xf numFmtId="0" fontId="179" fillId="45" borderId="76" xfId="8733" applyFont="1" applyFill="1" applyBorder="1" applyAlignment="1">
      <alignment horizontal="left"/>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102" fillId="45" borderId="67" xfId="8733" applyFont="1" applyFill="1" applyBorder="1" applyAlignment="1" applyProtection="1">
      <alignment horizontal="left" vertical="center" wrapText="1"/>
      <protection locked="0"/>
    </xf>
    <xf numFmtId="0" fontId="102" fillId="45" borderId="68" xfId="8733" applyFont="1" applyFill="1" applyBorder="1" applyAlignment="1" applyProtection="1">
      <alignment horizontal="left" vertical="center" wrapText="1"/>
      <protection locked="0"/>
    </xf>
    <xf numFmtId="0" fontId="102" fillId="45" borderId="72" xfId="8733" applyFont="1" applyFill="1" applyBorder="1" applyAlignment="1" applyProtection="1">
      <alignment horizontal="left" vertical="center" wrapText="1"/>
      <protection locked="0"/>
    </xf>
    <xf numFmtId="0" fontId="102" fillId="45" borderId="11" xfId="8733" applyFont="1" applyFill="1" applyBorder="1" applyAlignment="1" applyProtection="1">
      <alignment horizontal="left" vertical="center" wrapText="1"/>
      <protection locked="0"/>
    </xf>
    <xf numFmtId="0" fontId="169" fillId="48" borderId="68" xfId="8733" applyFont="1" applyFill="1" applyBorder="1" applyAlignment="1" applyProtection="1">
      <alignment horizontal="left" vertical="center" wrapText="1"/>
      <protection locked="0"/>
    </xf>
    <xf numFmtId="0" fontId="169" fillId="48" borderId="71" xfId="8733" applyFont="1" applyFill="1" applyBorder="1" applyAlignment="1" applyProtection="1">
      <alignment horizontal="left" vertical="center" wrapText="1"/>
      <protection locked="0"/>
    </xf>
    <xf numFmtId="0" fontId="169" fillId="48" borderId="11" xfId="8733" applyFont="1" applyFill="1" applyBorder="1" applyAlignment="1" applyProtection="1">
      <alignment horizontal="left" vertical="center" wrapText="1"/>
      <protection locked="0"/>
    </xf>
    <xf numFmtId="0" fontId="169" fillId="48" borderId="76" xfId="8733" applyFont="1" applyFill="1" applyBorder="1" applyAlignment="1" applyProtection="1">
      <alignment horizontal="left" vertical="center" wrapText="1"/>
      <protection locked="0"/>
    </xf>
    <xf numFmtId="0" fontId="172" fillId="48" borderId="72" xfId="8733" applyFont="1" applyFill="1" applyBorder="1" applyAlignment="1" applyProtection="1">
      <alignment horizontal="left" vertical="top" wrapText="1"/>
      <protection locked="0"/>
    </xf>
    <xf numFmtId="0" fontId="172" fillId="48" borderId="11" xfId="8733" applyFont="1" applyFill="1" applyBorder="1" applyAlignment="1" applyProtection="1">
      <alignment horizontal="left" vertical="top" wrapText="1"/>
      <protection locked="0"/>
    </xf>
    <xf numFmtId="0" fontId="172" fillId="48" borderId="69" xfId="8733" applyFont="1" applyFill="1" applyBorder="1" applyAlignment="1" applyProtection="1">
      <alignment horizontal="left" vertical="top" wrapText="1"/>
      <protection locked="0"/>
    </xf>
    <xf numFmtId="0" fontId="172" fillId="48" borderId="70" xfId="8733" applyFont="1" applyFill="1" applyBorder="1" applyAlignment="1" applyProtection="1">
      <alignment horizontal="left" vertical="top" wrapText="1"/>
      <protection locked="0"/>
    </xf>
    <xf numFmtId="0" fontId="169" fillId="48" borderId="11" xfId="8733" applyFont="1" applyFill="1" applyBorder="1" applyAlignment="1" applyProtection="1">
      <alignment horizontal="center" vertical="center" wrapText="1"/>
      <protection locked="0"/>
    </xf>
    <xf numFmtId="0" fontId="169" fillId="48" borderId="76" xfId="8733" applyFont="1" applyFill="1" applyBorder="1" applyAlignment="1" applyProtection="1">
      <alignment horizontal="center" vertical="center" wrapText="1"/>
      <protection locked="0"/>
    </xf>
    <xf numFmtId="0" fontId="169" fillId="48" borderId="70" xfId="8733" applyFont="1" applyFill="1" applyBorder="1" applyAlignment="1" applyProtection="1">
      <alignment horizontal="center" vertical="center" wrapText="1"/>
      <protection locked="0"/>
    </xf>
    <xf numFmtId="0" fontId="169" fillId="48" borderId="77" xfId="8733" applyFont="1" applyFill="1" applyBorder="1" applyAlignment="1" applyProtection="1">
      <alignment horizontal="center" vertical="center" wrapText="1"/>
      <protection locked="0"/>
    </xf>
    <xf numFmtId="0" fontId="102" fillId="45" borderId="67" xfId="8733" applyFont="1" applyFill="1" applyBorder="1" applyAlignment="1">
      <alignment horizontal="left" wrapText="1"/>
    </xf>
    <xf numFmtId="0" fontId="102" fillId="45" borderId="68" xfId="8733" applyFont="1" applyFill="1" applyBorder="1" applyAlignment="1">
      <alignment horizontal="left" wrapText="1"/>
    </xf>
    <xf numFmtId="0" fontId="102" fillId="45" borderId="71" xfId="8733" applyFont="1" applyFill="1" applyBorder="1" applyAlignment="1">
      <alignment horizontal="left" wrapText="1"/>
    </xf>
    <xf numFmtId="0" fontId="102" fillId="45" borderId="72" xfId="8733" applyFont="1" applyFill="1" applyBorder="1" applyAlignment="1">
      <alignment horizontal="left" wrapText="1"/>
    </xf>
    <xf numFmtId="0" fontId="102" fillId="45" borderId="11" xfId="8733" applyFont="1" applyFill="1" applyBorder="1" applyAlignment="1">
      <alignment horizontal="left" wrapText="1"/>
    </xf>
    <xf numFmtId="0" fontId="102" fillId="45" borderId="76" xfId="8733" applyFont="1" applyFill="1" applyBorder="1" applyAlignment="1">
      <alignment horizontal="left" wrapText="1"/>
    </xf>
    <xf numFmtId="0" fontId="102" fillId="45" borderId="65" xfId="8733" applyFont="1" applyFill="1" applyBorder="1" applyAlignment="1">
      <alignment horizontal="center"/>
    </xf>
    <xf numFmtId="0" fontId="102" fillId="45" borderId="29" xfId="8733" applyFont="1" applyFill="1" applyBorder="1" applyAlignment="1">
      <alignment horizontal="center"/>
    </xf>
    <xf numFmtId="0" fontId="102" fillId="45" borderId="31" xfId="8733" applyFont="1" applyFill="1" applyBorder="1" applyAlignment="1">
      <alignment horizontal="center"/>
    </xf>
    <xf numFmtId="0" fontId="173" fillId="45" borderId="69" xfId="8733" applyFont="1" applyFill="1" applyBorder="1" applyAlignment="1">
      <alignment horizontal="center"/>
    </xf>
    <xf numFmtId="0" fontId="173" fillId="45" borderId="70" xfId="8733" applyFont="1" applyFill="1" applyBorder="1" applyAlignment="1">
      <alignment horizontal="center"/>
    </xf>
    <xf numFmtId="0" fontId="173" fillId="45" borderId="72" xfId="8733" applyFont="1" applyFill="1" applyBorder="1" applyAlignment="1">
      <alignment horizontal="center"/>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173" fillId="45" borderId="11" xfId="8733" applyFont="1" applyFill="1" applyBorder="1" applyAlignment="1">
      <alignment horizontal="center" wrapText="1"/>
    </xf>
    <xf numFmtId="0" fontId="165" fillId="45" borderId="76" xfId="8733" applyFont="1" applyFill="1" applyBorder="1" applyAlignment="1">
      <alignment horizontal="center"/>
    </xf>
    <xf numFmtId="0" fontId="169" fillId="48" borderId="68" xfId="8733" applyFont="1" applyFill="1" applyBorder="1" applyAlignment="1" applyProtection="1">
      <alignment horizontal="left" wrapText="1"/>
      <protection locked="0"/>
    </xf>
    <xf numFmtId="0" fontId="169" fillId="48" borderId="71" xfId="8733" applyFont="1" applyFill="1" applyBorder="1" applyAlignment="1" applyProtection="1">
      <alignment horizontal="left" wrapText="1"/>
      <protection locked="0"/>
    </xf>
    <xf numFmtId="0" fontId="169" fillId="48" borderId="11" xfId="8733" applyFont="1" applyFill="1" applyBorder="1" applyAlignment="1" applyProtection="1">
      <alignment horizontal="left" wrapText="1"/>
      <protection locked="0"/>
    </xf>
    <xf numFmtId="0" fontId="169" fillId="48" borderId="76" xfId="8733" applyFont="1" applyFill="1" applyBorder="1" applyAlignment="1" applyProtection="1">
      <alignment horizontal="left" wrapText="1"/>
      <protection locked="0"/>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73" fillId="45" borderId="97" xfId="8733" applyFont="1" applyFill="1" applyBorder="1" applyAlignment="1">
      <alignment horizontal="left"/>
    </xf>
    <xf numFmtId="0" fontId="173" fillId="45" borderId="2" xfId="8733" applyFont="1" applyFill="1" applyBorder="1" applyAlignment="1">
      <alignment horizontal="left"/>
    </xf>
    <xf numFmtId="0" fontId="173" fillId="45" borderId="7"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73" fillId="45" borderId="73" xfId="8733" applyFont="1" applyFill="1" applyBorder="1" applyAlignment="1">
      <alignment horizontal="left"/>
    </xf>
    <xf numFmtId="0" fontId="173" fillId="45" borderId="42" xfId="8733" applyFont="1" applyFill="1" applyBorder="1" applyAlignment="1">
      <alignment horizontal="left"/>
    </xf>
    <xf numFmtId="0" fontId="173" fillId="45" borderId="96" xfId="8733" applyFont="1" applyFill="1" applyBorder="1" applyAlignment="1">
      <alignment horizontal="left"/>
    </xf>
    <xf numFmtId="0" fontId="102" fillId="45" borderId="67" xfId="8733" applyFont="1" applyFill="1" applyBorder="1" applyAlignment="1">
      <alignment horizontal="center" wrapText="1"/>
    </xf>
    <xf numFmtId="0" fontId="102" fillId="45" borderId="68" xfId="8733" applyFont="1" applyFill="1" applyBorder="1" applyAlignment="1">
      <alignment horizontal="center" wrapText="1"/>
    </xf>
    <xf numFmtId="0" fontId="102" fillId="45" borderId="71" xfId="8733" applyFont="1" applyFill="1" applyBorder="1" applyAlignment="1">
      <alignment horizontal="center" wrapText="1"/>
    </xf>
    <xf numFmtId="0" fontId="174" fillId="48" borderId="72" xfId="8733" applyFont="1" applyFill="1" applyBorder="1" applyAlignment="1" applyProtection="1">
      <alignment horizontal="right"/>
      <protection locked="0"/>
    </xf>
    <xf numFmtId="0" fontId="174" fillId="48" borderId="11" xfId="8733" applyFont="1" applyFill="1" applyBorder="1" applyAlignment="1" applyProtection="1">
      <alignment horizontal="right"/>
      <protection locked="0"/>
    </xf>
    <xf numFmtId="168" fontId="174" fillId="48" borderId="76" xfId="700" applyNumberFormat="1" applyFont="1" applyFill="1" applyBorder="1" applyAlignment="1" applyProtection="1">
      <alignment horizontal="left"/>
      <protection locked="0"/>
    </xf>
    <xf numFmtId="0" fontId="166" fillId="45" borderId="98" xfId="8733" applyFont="1" applyFill="1" applyBorder="1" applyAlignment="1">
      <alignment horizontal="center"/>
    </xf>
    <xf numFmtId="0" fontId="166" fillId="45" borderId="13" xfId="8733" applyFont="1" applyFill="1" applyBorder="1" applyAlignment="1">
      <alignment horizontal="center"/>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0" fontId="166" fillId="45" borderId="89" xfId="8733" applyFont="1" applyFill="1" applyBorder="1" applyAlignment="1">
      <alignment horizontal="right"/>
    </xf>
    <xf numFmtId="0" fontId="166" fillId="45" borderId="43" xfId="8733" applyFont="1" applyFill="1" applyBorder="1" applyAlignment="1">
      <alignment horizontal="right"/>
    </xf>
    <xf numFmtId="168" fontId="166" fillId="45" borderId="43" xfId="8733" applyNumberFormat="1" applyFont="1" applyFill="1" applyBorder="1" applyAlignment="1">
      <alignment horizontal="left"/>
    </xf>
    <xf numFmtId="168" fontId="166" fillId="45" borderId="88" xfId="8733" applyNumberFormat="1" applyFont="1" applyFill="1" applyBorder="1" applyAlignment="1">
      <alignment horizontal="left"/>
    </xf>
    <xf numFmtId="0" fontId="172" fillId="48" borderId="68" xfId="8733" applyFont="1" applyFill="1" applyBorder="1" applyAlignment="1" applyProtection="1">
      <alignment horizontal="left"/>
      <protection locked="0"/>
    </xf>
    <xf numFmtId="0" fontId="172" fillId="48" borderId="71" xfId="8733" applyFont="1" applyFill="1" applyBorder="1" applyAlignment="1" applyProtection="1">
      <alignment horizontal="left"/>
      <protection locked="0"/>
    </xf>
    <xf numFmtId="0" fontId="166" fillId="45" borderId="69" xfId="8733" applyFont="1" applyFill="1" applyBorder="1" applyAlignment="1">
      <alignment horizontal="center"/>
    </xf>
    <xf numFmtId="0" fontId="166" fillId="45" borderId="70" xfId="8733" applyFont="1" applyFill="1" applyBorder="1" applyAlignment="1">
      <alignment horizontal="center"/>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0" fontId="169" fillId="48" borderId="74" xfId="8733" applyFont="1" applyFill="1" applyBorder="1" applyAlignment="1" applyProtection="1">
      <alignment horizontal="left"/>
      <protection locked="0"/>
    </xf>
    <xf numFmtId="0" fontId="166" fillId="45" borderId="72" xfId="8733" applyFont="1" applyFill="1" applyBorder="1" applyAlignment="1">
      <alignment horizontal="center"/>
    </xf>
    <xf numFmtId="0" fontId="166" fillId="45" borderId="11" xfId="8733" applyFont="1" applyFill="1" applyBorder="1" applyAlignment="1">
      <alignment horizontal="center"/>
    </xf>
    <xf numFmtId="0" fontId="166" fillId="45" borderId="3" xfId="8733" applyFont="1" applyFill="1" applyBorder="1" applyAlignment="1">
      <alignment horizontal="center"/>
    </xf>
    <xf numFmtId="0" fontId="166" fillId="45" borderId="4" xfId="8733" applyFont="1" applyFill="1" applyBorder="1" applyAlignment="1">
      <alignment horizontal="center"/>
    </xf>
    <xf numFmtId="0" fontId="166" fillId="45" borderId="81" xfId="8733" applyFont="1" applyFill="1" applyBorder="1" applyAlignment="1">
      <alignment horizontal="center"/>
    </xf>
    <xf numFmtId="0" fontId="102" fillId="45" borderId="69" xfId="8733" applyFont="1" applyFill="1" applyBorder="1" applyAlignment="1">
      <alignment horizontal="center"/>
    </xf>
    <xf numFmtId="0" fontId="102" fillId="45" borderId="70" xfId="8733" applyFont="1" applyFill="1" applyBorder="1" applyAlignment="1">
      <alignment horizontal="center"/>
    </xf>
    <xf numFmtId="0" fontId="172" fillId="44" borderId="72" xfId="8733" applyFont="1" applyFill="1" applyBorder="1" applyAlignment="1" applyProtection="1">
      <alignment horizontal="right"/>
      <protection locked="0"/>
    </xf>
    <xf numFmtId="0" fontId="172" fillId="44" borderId="11" xfId="8733" applyFont="1" applyFill="1" applyBorder="1" applyAlignment="1" applyProtection="1">
      <alignment horizontal="right"/>
      <protection locked="0"/>
    </xf>
    <xf numFmtId="0" fontId="172" fillId="44" borderId="76" xfId="8733" applyFont="1" applyFill="1" applyBorder="1" applyAlignment="1" applyProtection="1">
      <alignment horizontal="right"/>
      <protection locked="0"/>
    </xf>
    <xf numFmtId="0" fontId="172" fillId="48" borderId="5" xfId="8733" applyFont="1" applyFill="1" applyBorder="1" applyAlignment="1" applyProtection="1">
      <alignment horizontal="left"/>
      <protection locked="0"/>
    </xf>
    <xf numFmtId="0" fontId="172" fillId="44" borderId="69" xfId="8733" applyFont="1" applyFill="1" applyBorder="1" applyAlignment="1" applyProtection="1">
      <alignment horizontal="right"/>
      <protection locked="0"/>
    </xf>
    <xf numFmtId="0" fontId="172" fillId="44" borderId="70" xfId="8733" applyFont="1" applyFill="1" applyBorder="1" applyAlignment="1" applyProtection="1">
      <alignment horizontal="right"/>
      <protection locked="0"/>
    </xf>
    <xf numFmtId="0" fontId="172" fillId="44" borderId="77" xfId="8733" applyFont="1" applyFill="1" applyBorder="1" applyAlignment="1" applyProtection="1">
      <alignment horizontal="right"/>
      <protection locked="0"/>
    </xf>
    <xf numFmtId="0" fontId="172" fillId="48" borderId="95" xfId="8733" applyFont="1" applyFill="1" applyBorder="1" applyAlignment="1" applyProtection="1">
      <alignment horizontal="left"/>
      <protection locked="0"/>
    </xf>
    <xf numFmtId="0" fontId="166" fillId="45" borderId="65" xfId="8733" applyFont="1" applyFill="1" applyBorder="1" applyAlignment="1">
      <alignment horizontal="center"/>
    </xf>
    <xf numFmtId="0" fontId="166" fillId="45" borderId="29" xfId="8733" applyFont="1" applyFill="1" applyBorder="1" applyAlignment="1">
      <alignment horizontal="center"/>
    </xf>
    <xf numFmtId="0" fontId="166" fillId="45" borderId="31" xfId="8733" applyFont="1" applyFill="1" applyBorder="1" applyAlignment="1">
      <alignment horizontal="center"/>
    </xf>
    <xf numFmtId="168" fontId="172" fillId="48" borderId="11" xfId="8734" applyNumberFormat="1" applyFont="1" applyFill="1" applyBorder="1" applyAlignment="1" applyProtection="1">
      <alignment horizontal="center"/>
      <protection locked="0"/>
    </xf>
    <xf numFmtId="1" fontId="172" fillId="48" borderId="11" xfId="8733" applyNumberFormat="1" applyFont="1" applyFill="1" applyBorder="1" applyAlignment="1" applyProtection="1">
      <alignment horizontal="center"/>
      <protection locked="0"/>
    </xf>
    <xf numFmtId="0" fontId="172" fillId="48" borderId="11" xfId="700" applyNumberFormat="1" applyFont="1" applyFill="1" applyBorder="1" applyAlignment="1" applyProtection="1">
      <alignment horizontal="left"/>
      <protection locked="0"/>
    </xf>
    <xf numFmtId="0" fontId="172" fillId="48" borderId="76" xfId="700" applyNumberFormat="1" applyFont="1" applyFill="1" applyBorder="1" applyAlignment="1" applyProtection="1">
      <alignment horizontal="left"/>
      <protection locked="0"/>
    </xf>
    <xf numFmtId="168" fontId="173" fillId="45" borderId="70" xfId="8734" applyNumberFormat="1" applyFont="1" applyFill="1" applyBorder="1" applyAlignment="1">
      <alignment horizontal="center"/>
    </xf>
    <xf numFmtId="1" fontId="173" fillId="45" borderId="70" xfId="8734" applyNumberFormat="1" applyFont="1" applyFill="1" applyBorder="1" applyAlignment="1">
      <alignment horizontal="center"/>
    </xf>
    <xf numFmtId="0" fontId="173" fillId="45" borderId="70" xfId="8734" applyNumberFormat="1" applyFont="1" applyFill="1" applyBorder="1" applyAlignment="1">
      <alignment horizontal="center"/>
    </xf>
    <xf numFmtId="0" fontId="173" fillId="45" borderId="77" xfId="8734" applyNumberFormat="1" applyFont="1" applyFill="1" applyBorder="1" applyAlignment="1">
      <alignment horizontal="center"/>
    </xf>
    <xf numFmtId="0" fontId="165" fillId="45" borderId="11" xfId="8733" applyFont="1" applyFill="1" applyBorder="1" applyAlignment="1">
      <alignment horizontal="center" vertical="center" wrapText="1"/>
    </xf>
    <xf numFmtId="0" fontId="165" fillId="45" borderId="76" xfId="8733" applyFont="1" applyFill="1" applyBorder="1" applyAlignment="1">
      <alignment horizontal="center" vertical="center" wrapText="1"/>
    </xf>
    <xf numFmtId="1" fontId="177" fillId="48" borderId="70" xfId="8733" applyNumberFormat="1" applyFont="1" applyFill="1" applyBorder="1" applyAlignment="1" applyProtection="1">
      <alignment horizontal="center"/>
      <protection locked="0"/>
    </xf>
    <xf numFmtId="1" fontId="177" fillId="48" borderId="94" xfId="8733" applyNumberFormat="1" applyFont="1" applyFill="1" applyBorder="1" applyAlignment="1" applyProtection="1">
      <alignment horizontal="center"/>
      <protection locked="0"/>
    </xf>
    <xf numFmtId="1" fontId="177" fillId="48" borderId="86" xfId="8733" applyNumberFormat="1" applyFont="1" applyFill="1" applyBorder="1" applyAlignment="1" applyProtection="1">
      <alignment horizontal="center"/>
      <protection locked="0"/>
    </xf>
    <xf numFmtId="1" fontId="177" fillId="48" borderId="95" xfId="8733" applyNumberFormat="1" applyFont="1" applyFill="1" applyBorder="1" applyAlignment="1" applyProtection="1">
      <alignment horizontal="center"/>
      <protection locked="0"/>
    </xf>
    <xf numFmtId="1" fontId="177" fillId="48" borderId="3" xfId="8733" applyNumberFormat="1" applyFont="1" applyFill="1" applyBorder="1" applyAlignment="1" applyProtection="1">
      <alignment horizontal="center"/>
      <protection locked="0"/>
    </xf>
    <xf numFmtId="1" fontId="177" fillId="48" borderId="4" xfId="8733" applyNumberFormat="1" applyFont="1" applyFill="1" applyBorder="1" applyAlignment="1" applyProtection="1">
      <alignment horizontal="center"/>
      <protection locked="0"/>
    </xf>
    <xf numFmtId="1" fontId="177" fillId="48" borderId="5" xfId="8733" applyNumberFormat="1" applyFont="1" applyFill="1" applyBorder="1" applyAlignment="1" applyProtection="1">
      <alignment horizontal="center"/>
      <protection locked="0"/>
    </xf>
    <xf numFmtId="1" fontId="165" fillId="44" borderId="3" xfId="8733" applyNumberFormat="1" applyFont="1" applyFill="1" applyBorder="1" applyAlignment="1">
      <alignment horizontal="center"/>
    </xf>
    <xf numFmtId="1" fontId="165" fillId="44" borderId="4" xfId="8733" applyNumberFormat="1" applyFont="1" applyFill="1" applyBorder="1" applyAlignment="1">
      <alignment horizontal="center"/>
    </xf>
    <xf numFmtId="1" fontId="165" fillId="44" borderId="5" xfId="8733" applyNumberFormat="1" applyFont="1" applyFill="1" applyBorder="1" applyAlignment="1">
      <alignment horizontal="center"/>
    </xf>
    <xf numFmtId="9" fontId="165" fillId="44" borderId="3" xfId="8735" applyFont="1" applyFill="1" applyBorder="1" applyAlignment="1">
      <alignment horizontal="center"/>
    </xf>
    <xf numFmtId="9" fontId="165" fillId="44" borderId="4" xfId="8735" applyFont="1" applyFill="1" applyBorder="1" applyAlignment="1">
      <alignment horizontal="center"/>
    </xf>
    <xf numFmtId="9" fontId="165" fillId="44" borderId="81" xfId="8735" applyFont="1" applyFill="1" applyBorder="1" applyAlignment="1">
      <alignment horizontal="center"/>
    </xf>
    <xf numFmtId="0" fontId="172" fillId="48" borderId="69" xfId="8733" applyFont="1" applyFill="1" applyBorder="1" applyAlignment="1" applyProtection="1">
      <alignment horizontal="right"/>
      <protection locked="0"/>
    </xf>
    <xf numFmtId="0" fontId="172" fillId="48" borderId="70" xfId="8733" applyFont="1" applyFill="1" applyBorder="1" applyAlignment="1" applyProtection="1">
      <alignment horizontal="right"/>
      <protection locked="0"/>
    </xf>
    <xf numFmtId="0" fontId="177" fillId="48" borderId="70" xfId="8733" applyFont="1" applyFill="1" applyBorder="1" applyAlignment="1" applyProtection="1">
      <alignment horizontal="center"/>
      <protection locked="0"/>
    </xf>
    <xf numFmtId="9" fontId="165" fillId="44" borderId="94" xfId="8735" applyFont="1" applyFill="1" applyBorder="1" applyAlignment="1">
      <alignment horizontal="center"/>
    </xf>
    <xf numFmtId="9" fontId="165" fillId="44" borderId="86" xfId="8735" applyFont="1" applyFill="1" applyBorder="1" applyAlignment="1">
      <alignment horizontal="center"/>
    </xf>
    <xf numFmtId="9" fontId="165" fillId="44" borderId="85" xfId="8735" applyFont="1" applyFill="1" applyBorder="1" applyAlignment="1">
      <alignment horizontal="center"/>
    </xf>
    <xf numFmtId="0" fontId="177" fillId="48" borderId="11" xfId="8733" applyFont="1" applyFill="1" applyBorder="1" applyAlignment="1" applyProtection="1">
      <alignment horizontal="center"/>
      <protection locked="0"/>
    </xf>
    <xf numFmtId="1" fontId="177" fillId="48" borderId="11" xfId="8733" applyNumberFormat="1" applyFont="1" applyFill="1" applyBorder="1" applyAlignment="1" applyProtection="1">
      <alignment horizontal="center"/>
      <protection locked="0"/>
    </xf>
    <xf numFmtId="0" fontId="173" fillId="44" borderId="101" xfId="8733" applyFont="1" applyFill="1" applyBorder="1" applyAlignment="1">
      <alignment horizontal="center"/>
    </xf>
    <xf numFmtId="0" fontId="173" fillId="44" borderId="42" xfId="8733" applyFont="1" applyFill="1" applyBorder="1" applyAlignment="1">
      <alignment horizontal="center"/>
    </xf>
    <xf numFmtId="0" fontId="173" fillId="44" borderId="96" xfId="8733" applyFont="1" applyFill="1" applyBorder="1" applyAlignment="1">
      <alignment horizontal="center"/>
    </xf>
    <xf numFmtId="9" fontId="173" fillId="44" borderId="101" xfId="1022" applyFont="1" applyFill="1" applyBorder="1" applyAlignment="1">
      <alignment horizontal="center"/>
    </xf>
    <xf numFmtId="9" fontId="173" fillId="44" borderId="42" xfId="1022" applyFont="1" applyFill="1" applyBorder="1" applyAlignment="1">
      <alignment horizontal="center"/>
    </xf>
    <xf numFmtId="9" fontId="173" fillId="44" borderId="44" xfId="1022" applyFont="1" applyFill="1" applyBorder="1" applyAlignment="1">
      <alignment horizontal="center"/>
    </xf>
    <xf numFmtId="0" fontId="166" fillId="45" borderId="80" xfId="8733" applyFont="1" applyFill="1" applyBorder="1" applyAlignment="1">
      <alignment horizontal="center"/>
    </xf>
    <xf numFmtId="0" fontId="166" fillId="45" borderId="79" xfId="8733" applyFont="1" applyFill="1" applyBorder="1" applyAlignment="1">
      <alignment horizontal="center"/>
    </xf>
    <xf numFmtId="0" fontId="166" fillId="45" borderId="78" xfId="8733" applyFont="1" applyFill="1" applyBorder="1" applyAlignment="1">
      <alignment horizontal="center"/>
    </xf>
    <xf numFmtId="0" fontId="165" fillId="45" borderId="98" xfId="8733" applyFont="1" applyFill="1" applyBorder="1" applyAlignment="1">
      <alignment horizontal="center" vertical="center" wrapText="1"/>
    </xf>
    <xf numFmtId="0" fontId="165" fillId="45" borderId="13" xfId="8733" applyFont="1" applyFill="1" applyBorder="1" applyAlignment="1">
      <alignment horizontal="center" vertical="center"/>
    </xf>
    <xf numFmtId="0" fontId="165" fillId="45" borderId="72" xfId="8733" applyFont="1" applyFill="1" applyBorder="1" applyAlignment="1">
      <alignment horizontal="center" vertical="center"/>
    </xf>
    <xf numFmtId="0" fontId="165" fillId="45" borderId="11" xfId="8733" applyFont="1" applyFill="1" applyBorder="1" applyAlignment="1">
      <alignment horizontal="center" vertical="center"/>
    </xf>
    <xf numFmtId="0" fontId="173" fillId="45" borderId="13" xfId="8733" applyFont="1" applyFill="1" applyBorder="1" applyAlignment="1">
      <alignment horizontal="center" vertical="center" wrapText="1"/>
    </xf>
    <xf numFmtId="0" fontId="173" fillId="45" borderId="13" xfId="8733" applyFont="1" applyFill="1" applyBorder="1" applyAlignment="1">
      <alignment horizontal="center" vertical="center"/>
    </xf>
    <xf numFmtId="0" fontId="173" fillId="45" borderId="11" xfId="8733" applyFont="1" applyFill="1" applyBorder="1" applyAlignment="1">
      <alignment horizontal="center" vertical="center"/>
    </xf>
    <xf numFmtId="0" fontId="173" fillId="45" borderId="9" xfId="8733" applyFont="1" applyFill="1" applyBorder="1" applyAlignment="1">
      <alignment horizontal="center" vertical="center"/>
    </xf>
    <xf numFmtId="0" fontId="173" fillId="45" borderId="3" xfId="8733" applyFont="1" applyFill="1" applyBorder="1" applyAlignment="1">
      <alignment horizontal="center" vertic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5" fillId="45" borderId="65" xfId="8733" applyFont="1" applyFill="1" applyBorder="1" applyAlignment="1">
      <alignment horizontal="center" vertical="center" wrapText="1"/>
    </xf>
    <xf numFmtId="0" fontId="165" fillId="45" borderId="29" xfId="8733" applyFont="1" applyFill="1" applyBorder="1" applyAlignment="1">
      <alignment horizontal="center" vertical="center" wrapText="1"/>
    </xf>
    <xf numFmtId="0" fontId="165" fillId="45" borderId="31" xfId="8733" applyFont="1" applyFill="1" applyBorder="1" applyAlignment="1">
      <alignment horizontal="center" vertical="center" wrapText="1"/>
    </xf>
    <xf numFmtId="0" fontId="165" fillId="45" borderId="73" xfId="8733" applyFont="1" applyFill="1" applyBorder="1" applyAlignment="1">
      <alignment horizontal="center" vertical="center" wrapText="1"/>
    </xf>
    <xf numFmtId="0" fontId="165" fillId="45" borderId="42" xfId="8733" applyFont="1" applyFill="1" applyBorder="1" applyAlignment="1">
      <alignment horizontal="center" vertical="center" wrapText="1"/>
    </xf>
    <xf numFmtId="0" fontId="165" fillId="45" borderId="44" xfId="8733" applyFont="1" applyFill="1" applyBorder="1" applyAlignment="1">
      <alignment horizontal="center" vertical="center" wrapText="1"/>
    </xf>
    <xf numFmtId="9" fontId="173" fillId="48" borderId="13" xfId="8733" applyNumberFormat="1" applyFont="1" applyFill="1" applyBorder="1" applyAlignment="1" applyProtection="1">
      <alignment horizontal="center"/>
      <protection locked="0"/>
    </xf>
    <xf numFmtId="0" fontId="173" fillId="44" borderId="73" xfId="8733" applyFont="1" applyFill="1" applyBorder="1" applyAlignment="1">
      <alignment horizontal="center"/>
    </xf>
    <xf numFmtId="0" fontId="165" fillId="44" borderId="9" xfId="8733" applyFont="1" applyFill="1" applyBorder="1" applyAlignment="1">
      <alignment horizontal="center"/>
    </xf>
    <xf numFmtId="0" fontId="165" fillId="44" borderId="6" xfId="8733" applyFont="1" applyFill="1" applyBorder="1" applyAlignment="1">
      <alignment horizontal="center"/>
    </xf>
    <xf numFmtId="0" fontId="165" fillId="44" borderId="82" xfId="8733" applyFont="1" applyFill="1" applyBorder="1" applyAlignment="1">
      <alignment horizontal="center"/>
    </xf>
    <xf numFmtId="9" fontId="173" fillId="48" borderId="9" xfId="8733" applyNumberFormat="1" applyFont="1" applyFill="1" applyBorder="1" applyAlignment="1" applyProtection="1">
      <alignment horizontal="center"/>
      <protection locked="0"/>
    </xf>
    <xf numFmtId="9" fontId="173" fillId="48" borderId="6" xfId="8733" applyNumberFormat="1" applyFont="1" applyFill="1" applyBorder="1" applyAlignment="1" applyProtection="1">
      <alignment horizontal="center"/>
      <protection locked="0"/>
    </xf>
    <xf numFmtId="9" fontId="173" fillId="48" borderId="10" xfId="8733" applyNumberFormat="1" applyFont="1" applyFill="1" applyBorder="1" applyAlignment="1" applyProtection="1">
      <alignment horizontal="center"/>
      <protection locked="0"/>
    </xf>
    <xf numFmtId="9" fontId="165" fillId="48" borderId="9" xfId="8733" applyNumberFormat="1" applyFont="1" applyFill="1" applyBorder="1" applyAlignment="1" applyProtection="1">
      <alignment horizontal="center"/>
      <protection locked="0"/>
    </xf>
    <xf numFmtId="9" fontId="165" fillId="48" borderId="6" xfId="8733" applyNumberFormat="1" applyFont="1" applyFill="1" applyBorder="1" applyAlignment="1" applyProtection="1">
      <alignment horizontal="center"/>
      <protection locked="0"/>
    </xf>
    <xf numFmtId="9" fontId="165" fillId="48" borderId="10" xfId="8733" applyNumberFormat="1" applyFont="1" applyFill="1" applyBorder="1" applyAlignment="1" applyProtection="1">
      <alignment horizontal="center"/>
      <protection locked="0"/>
    </xf>
    <xf numFmtId="0" fontId="165" fillId="44" borderId="10" xfId="8733" applyFont="1" applyFill="1" applyBorder="1" applyAlignment="1">
      <alignment horizontal="center"/>
    </xf>
    <xf numFmtId="0" fontId="172" fillId="48" borderId="3" xfId="8733" applyFont="1" applyFill="1" applyBorder="1" applyAlignment="1" applyProtection="1">
      <alignment horizontal="center"/>
      <protection locked="0"/>
    </xf>
    <xf numFmtId="0" fontId="172" fillId="48" borderId="4" xfId="8733" applyFont="1" applyFill="1" applyBorder="1" applyAlignment="1" applyProtection="1">
      <alignment horizontal="center"/>
      <protection locked="0"/>
    </xf>
    <xf numFmtId="0" fontId="172" fillId="48" borderId="5" xfId="8733" applyFont="1" applyFill="1" applyBorder="1" applyAlignment="1" applyProtection="1">
      <alignment horizontal="center"/>
      <protection locked="0"/>
    </xf>
    <xf numFmtId="9" fontId="173" fillId="44" borderId="3" xfId="8733" applyNumberFormat="1" applyFont="1" applyFill="1" applyBorder="1" applyAlignment="1">
      <alignment horizontal="center"/>
    </xf>
    <xf numFmtId="9" fontId="173" fillId="44" borderId="4" xfId="8733" applyNumberFormat="1" applyFont="1" applyFill="1" applyBorder="1" applyAlignment="1">
      <alignment horizontal="center"/>
    </xf>
    <xf numFmtId="9" fontId="173" fillId="44" borderId="81" xfId="8733" applyNumberFormat="1" applyFont="1" applyFill="1" applyBorder="1" applyAlignment="1">
      <alignment horizontal="center"/>
    </xf>
    <xf numFmtId="0" fontId="173" fillId="44" borderId="87" xfId="8733" applyFont="1" applyFill="1" applyBorder="1" applyAlignment="1">
      <alignment horizontal="center"/>
    </xf>
    <xf numFmtId="0" fontId="173" fillId="44" borderId="86" xfId="8733" applyFont="1" applyFill="1" applyBorder="1" applyAlignment="1">
      <alignment horizontal="center"/>
    </xf>
    <xf numFmtId="0" fontId="173" fillId="44" borderId="95" xfId="8733" applyFont="1" applyFill="1" applyBorder="1" applyAlignment="1">
      <alignment horizontal="center"/>
    </xf>
    <xf numFmtId="0" fontId="172" fillId="44" borderId="94"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9" fontId="173" fillId="44" borderId="94" xfId="8733" applyNumberFormat="1" applyFont="1" applyFill="1" applyBorder="1" applyAlignment="1">
      <alignment horizontal="center"/>
    </xf>
    <xf numFmtId="9" fontId="173" fillId="44" borderId="86" xfId="8733" applyNumberFormat="1" applyFont="1" applyFill="1" applyBorder="1" applyAlignment="1">
      <alignment horizontal="center"/>
    </xf>
    <xf numFmtId="9" fontId="173" fillId="44" borderId="85" xfId="8733" applyNumberFormat="1" applyFont="1" applyFill="1" applyBorder="1" applyAlignment="1">
      <alignment horizontal="center"/>
    </xf>
    <xf numFmtId="9" fontId="172" fillId="48" borderId="90" xfId="8733" applyNumberFormat="1" applyFont="1" applyFill="1" applyBorder="1" applyAlignment="1" applyProtection="1">
      <alignment horizontal="center"/>
      <protection locked="0"/>
    </xf>
    <xf numFmtId="9" fontId="172" fillId="48" borderId="4" xfId="8733" applyNumberFormat="1" applyFont="1" applyFill="1" applyBorder="1" applyAlignment="1" applyProtection="1">
      <alignment horizontal="center"/>
      <protection locked="0"/>
    </xf>
    <xf numFmtId="9" fontId="172" fillId="48" borderId="5" xfId="8733" applyNumberFormat="1" applyFont="1" applyFill="1" applyBorder="1" applyAlignment="1" applyProtection="1">
      <alignment horizontal="center"/>
      <protection locked="0"/>
    </xf>
    <xf numFmtId="0" fontId="172" fillId="44" borderId="3" xfId="8733" applyFont="1" applyFill="1" applyBorder="1" applyAlignment="1">
      <alignment horizontal="center"/>
    </xf>
    <xf numFmtId="0" fontId="172" fillId="44" borderId="4" xfId="8733" applyFont="1" applyFill="1" applyBorder="1" applyAlignment="1">
      <alignment horizontal="center"/>
    </xf>
    <xf numFmtId="0" fontId="172" fillId="44" borderId="5" xfId="8733" applyFont="1" applyFill="1" applyBorder="1" applyAlignment="1">
      <alignment horizontal="center"/>
    </xf>
    <xf numFmtId="0" fontId="102" fillId="45" borderId="80" xfId="8733" applyFont="1" applyFill="1" applyBorder="1" applyAlignment="1">
      <alignment horizontal="right"/>
    </xf>
    <xf numFmtId="0" fontId="102" fillId="45" borderId="79" xfId="8733" applyFont="1" applyFill="1" applyBorder="1" applyAlignment="1">
      <alignment horizontal="right"/>
    </xf>
    <xf numFmtId="0" fontId="10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73" fillId="45" borderId="11" xfId="8733" applyFont="1" applyFill="1" applyBorder="1" applyAlignment="1">
      <alignment horizontal="right"/>
    </xf>
    <xf numFmtId="14" fontId="169" fillId="48" borderId="11" xfId="8733" applyNumberFormat="1" applyFont="1" applyFill="1" applyBorder="1" applyAlignment="1" applyProtection="1">
      <alignment horizontal="center" vertical="center"/>
      <protection locked="0"/>
    </xf>
    <xf numFmtId="0" fontId="169" fillId="48" borderId="11" xfId="8733" applyFont="1" applyFill="1" applyBorder="1" applyAlignment="1" applyProtection="1">
      <alignment horizontal="center" vertical="center"/>
      <protection locked="0"/>
    </xf>
    <xf numFmtId="0" fontId="173" fillId="45" borderId="97" xfId="8733" applyFont="1" applyFill="1" applyBorder="1" applyAlignment="1">
      <alignment horizontal="center"/>
    </xf>
    <xf numFmtId="0" fontId="173" fillId="45" borderId="2" xfId="8733" applyFont="1" applyFill="1" applyBorder="1" applyAlignment="1">
      <alignment horizontal="center"/>
    </xf>
    <xf numFmtId="0" fontId="173" fillId="45" borderId="7" xfId="8733" applyFont="1" applyFill="1" applyBorder="1" applyAlignment="1">
      <alignment horizontal="center"/>
    </xf>
    <xf numFmtId="0" fontId="173" fillId="45" borderId="3" xfId="8733" applyFont="1" applyFill="1" applyBorder="1" applyAlignment="1">
      <alignment horizontal="center"/>
    </xf>
    <xf numFmtId="0" fontId="173" fillId="45" borderId="4" xfId="8733" applyFont="1" applyFill="1" applyBorder="1" applyAlignment="1">
      <alignment horizontal="center"/>
    </xf>
    <xf numFmtId="0" fontId="173" fillId="45" borderId="5" xfId="8733" applyFont="1" applyFill="1" applyBorder="1" applyAlignment="1">
      <alignment horizontal="center"/>
    </xf>
    <xf numFmtId="0" fontId="173" fillId="45" borderId="81" xfId="8733" applyFont="1" applyFill="1" applyBorder="1" applyAlignment="1">
      <alignment horizontal="center"/>
    </xf>
    <xf numFmtId="0" fontId="102" fillId="45" borderId="80" xfId="8733" applyFont="1" applyFill="1" applyBorder="1" applyAlignment="1">
      <alignment horizontal="center"/>
    </xf>
    <xf numFmtId="0" fontId="102" fillId="45" borderId="79" xfId="8733" applyFont="1" applyFill="1" applyBorder="1" applyAlignment="1">
      <alignment horizontal="center"/>
    </xf>
    <xf numFmtId="0" fontId="102" fillId="45" borderId="78" xfId="8733" applyFont="1" applyFill="1" applyBorder="1" applyAlignment="1">
      <alignment horizontal="center"/>
    </xf>
    <xf numFmtId="0" fontId="169" fillId="48" borderId="80" xfId="8733" applyFont="1" applyFill="1" applyBorder="1" applyAlignment="1" applyProtection="1">
      <alignment horizontal="center"/>
      <protection locked="0"/>
    </xf>
    <xf numFmtId="0" fontId="169" fillId="48" borderId="79" xfId="8733" applyFont="1" applyFill="1" applyBorder="1" applyAlignment="1" applyProtection="1">
      <alignment horizontal="center"/>
      <protection locked="0"/>
    </xf>
    <xf numFmtId="0" fontId="169" fillId="48" borderId="78" xfId="8733" applyFont="1" applyFill="1" applyBorder="1" applyAlignment="1" applyProtection="1">
      <alignment horizontal="center"/>
      <protection locked="0"/>
    </xf>
    <xf numFmtId="1" fontId="2" fillId="44" borderId="11" xfId="8733" applyNumberFormat="1" applyFill="1" applyBorder="1" applyAlignment="1">
      <alignment horizontal="center"/>
    </xf>
    <xf numFmtId="0" fontId="2" fillId="44" borderId="11" xfId="8733" applyFill="1" applyBorder="1" applyAlignment="1">
      <alignment horizontal="center"/>
    </xf>
    <xf numFmtId="0" fontId="170" fillId="45" borderId="11" xfId="8733" applyFont="1" applyFill="1" applyBorder="1" applyAlignment="1">
      <alignment horizontal="right" wrapText="1"/>
    </xf>
    <xf numFmtId="0" fontId="176" fillId="45" borderId="11" xfId="8733" applyFont="1" applyFill="1" applyBorder="1" applyAlignment="1">
      <alignment horizontal="right"/>
    </xf>
    <xf numFmtId="14" fontId="169" fillId="48" borderId="11" xfId="8733" applyNumberFormat="1" applyFont="1" applyFill="1" applyBorder="1" applyAlignment="1" applyProtection="1">
      <alignment horizontal="center"/>
      <protection locked="0"/>
    </xf>
    <xf numFmtId="0" fontId="169" fillId="48" borderId="11" xfId="8733" applyFont="1" applyFill="1" applyBorder="1" applyAlignment="1" applyProtection="1">
      <alignment horizontal="center"/>
      <protection locked="0"/>
    </xf>
    <xf numFmtId="168" fontId="174" fillId="44" borderId="11" xfId="8734" applyNumberFormat="1" applyFont="1" applyFill="1" applyBorder="1" applyAlignment="1" applyProtection="1">
      <alignment horizontal="left"/>
    </xf>
    <xf numFmtId="0" fontId="169" fillId="44" borderId="80" xfId="8733" applyFont="1" applyFill="1" applyBorder="1" applyAlignment="1">
      <alignment horizontal="left"/>
    </xf>
    <xf numFmtId="0" fontId="169" fillId="44" borderId="79" xfId="8733" applyFont="1" applyFill="1" applyBorder="1" applyAlignment="1">
      <alignment horizontal="left"/>
    </xf>
    <xf numFmtId="0" fontId="169" fillId="44" borderId="78" xfId="8733" applyFont="1" applyFill="1" applyBorder="1" applyAlignment="1">
      <alignment horizontal="left"/>
    </xf>
    <xf numFmtId="0" fontId="170" fillId="45" borderId="11" xfId="8733" applyFont="1" applyFill="1" applyBorder="1" applyAlignment="1">
      <alignment horizontal="right"/>
    </xf>
    <xf numFmtId="1" fontId="169" fillId="48" borderId="11"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81" fillId="51" borderId="65" xfId="8733" applyFont="1" applyFill="1" applyBorder="1" applyAlignment="1">
      <alignment horizontal="center"/>
    </xf>
    <xf numFmtId="0" fontId="181" fillId="51" borderId="29" xfId="8733" applyFont="1" applyFill="1" applyBorder="1" applyAlignment="1">
      <alignment horizontal="center"/>
    </xf>
    <xf numFmtId="0" fontId="181" fillId="51" borderId="31" xfId="8733" applyFont="1" applyFill="1" applyBorder="1" applyAlignment="1">
      <alignment horizontal="center"/>
    </xf>
    <xf numFmtId="0" fontId="166" fillId="48" borderId="66" xfId="8733" applyFont="1" applyFill="1" applyBorder="1" applyAlignment="1">
      <alignment horizontal="center"/>
    </xf>
    <xf numFmtId="0" fontId="166" fillId="48" borderId="0" xfId="8733" applyFont="1" applyFill="1" applyAlignment="1">
      <alignment horizontal="center"/>
    </xf>
    <xf numFmtId="0" fontId="166" fillId="48" borderId="41" xfId="8733" applyFont="1" applyFill="1" applyBorder="1" applyAlignment="1">
      <alignment horizontal="center"/>
    </xf>
    <xf numFmtId="168" fontId="17" fillId="0" borderId="11" xfId="569" applyNumberFormat="1" applyBorder="1"/>
    <xf numFmtId="168" fontId="17" fillId="0" borderId="3" xfId="569" applyNumberFormat="1" applyBorder="1"/>
    <xf numFmtId="168" fontId="17" fillId="0" borderId="4" xfId="569" applyNumberFormat="1" applyBorder="1"/>
    <xf numFmtId="168" fontId="17" fillId="0" borderId="5" xfId="569" applyNumberFormat="1" applyBorder="1"/>
    <xf numFmtId="168" fontId="17" fillId="0" borderId="11" xfId="569" applyNumberFormat="1" applyBorder="1" applyAlignment="1">
      <alignment wrapText="1"/>
    </xf>
    <xf numFmtId="168" fontId="17" fillId="0" borderId="11" xfId="569" applyNumberFormat="1" applyBorder="1" applyAlignment="1">
      <alignment horizontal="right"/>
    </xf>
    <xf numFmtId="9" fontId="17" fillId="0" borderId="15" xfId="569" applyNumberFormat="1" applyBorder="1" applyAlignment="1">
      <alignment horizontal="center"/>
    </xf>
    <xf numFmtId="168" fontId="17" fillId="0" borderId="11" xfId="569" applyNumberFormat="1" applyBorder="1" applyAlignment="1">
      <alignment horizontal="center"/>
    </xf>
    <xf numFmtId="0" fontId="17" fillId="0" borderId="11"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107" fillId="0" borderId="0" xfId="0" applyFont="1" applyAlignment="1">
      <alignment horizontal="left" vertical="top"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24" fillId="0" borderId="6" xfId="569" applyFont="1" applyBorder="1" applyAlignment="1">
      <alignment horizontal="center"/>
    </xf>
    <xf numFmtId="168" fontId="17" fillId="0" borderId="3" xfId="569" applyNumberForma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0" fontId="107" fillId="0" borderId="0" xfId="569" applyFont="1" applyAlignment="1">
      <alignment horizontal="left" wrapText="1"/>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0" fontId="24" fillId="0" borderId="16" xfId="271" applyFont="1" applyBorder="1" applyAlignment="1">
      <alignment horizontal="center"/>
    </xf>
    <xf numFmtId="168" fontId="17" fillId="0" borderId="4" xfId="569" applyNumberFormat="1" applyBorder="1" applyAlignment="1">
      <alignment horizontal="center"/>
    </xf>
    <xf numFmtId="168" fontId="17" fillId="0" borderId="5" xfId="569" applyNumberFormat="1" applyBorder="1" applyAlignment="1">
      <alignment horizontal="center"/>
    </xf>
    <xf numFmtId="0" fontId="24" fillId="0" borderId="11" xfId="569" applyFont="1" applyBorder="1" applyAlignment="1">
      <alignment horizontal="center" wrapText="1"/>
    </xf>
    <xf numFmtId="0" fontId="24" fillId="0" borderId="11" xfId="569" applyFont="1" applyBorder="1" applyAlignment="1">
      <alignment horizontal="center"/>
    </xf>
    <xf numFmtId="165" fontId="17" fillId="0" borderId="11" xfId="569" applyNumberFormat="1" applyBorder="1" applyAlignment="1" applyProtection="1">
      <alignment horizontal="center"/>
      <protection locked="0"/>
    </xf>
    <xf numFmtId="0" fontId="53" fillId="0" borderId="0" xfId="569" applyFont="1" applyAlignment="1">
      <alignment horizontal="left"/>
    </xf>
    <xf numFmtId="5" fontId="17" fillId="0" borderId="5" xfId="569" applyNumberFormat="1" applyBorder="1" applyAlignment="1">
      <alignment horizontal="center"/>
    </xf>
    <xf numFmtId="5" fontId="17" fillId="0" borderId="11"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168" fontId="17" fillId="5" borderId="5" xfId="569" applyNumberFormat="1" applyFill="1" applyBorder="1" applyAlignment="1" applyProtection="1">
      <alignment horizontal="center"/>
      <protection locked="0"/>
    </xf>
    <xf numFmtId="168" fontId="17" fillId="5" borderId="11" xfId="569" applyNumberFormat="1" applyFill="1" applyBorder="1" applyAlignment="1" applyProtection="1">
      <alignment horizontal="center"/>
      <protection locked="0"/>
    </xf>
    <xf numFmtId="9" fontId="17" fillId="0" borderId="5" xfId="569" applyNumberFormat="1" applyBorder="1" applyAlignment="1">
      <alignment horizontal="center"/>
    </xf>
    <xf numFmtId="9" fontId="17" fillId="0" borderId="11"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168" fontId="17" fillId="0" borderId="7" xfId="569" applyNumberFormat="1" applyBorder="1" applyAlignment="1">
      <alignment horizontal="center"/>
    </xf>
    <xf numFmtId="168" fontId="17" fillId="0" borderId="15"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179" fontId="24" fillId="0" borderId="0" xfId="569" applyNumberFormat="1" applyFont="1" applyAlignment="1">
      <alignment horizontal="center" wrapText="1"/>
    </xf>
    <xf numFmtId="164" fontId="24" fillId="0" borderId="0" xfId="569" applyNumberFormat="1" applyFont="1" applyAlignment="1">
      <alignment horizontal="center" wrapText="1"/>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5" fontId="122" fillId="0" borderId="55" xfId="4496" applyNumberFormat="1" applyFont="1" applyBorder="1" applyAlignment="1">
      <alignment horizontal="center" vertical="top" wrapText="1"/>
    </xf>
    <xf numFmtId="165" fontId="122" fillId="0" borderId="6" xfId="4496" applyNumberFormat="1" applyFont="1" applyBorder="1" applyAlignment="1">
      <alignment horizontal="center" vertical="top" wrapText="1"/>
    </xf>
    <xf numFmtId="165" fontId="122" fillId="0" borderId="60" xfId="4496" applyNumberFormat="1" applyFont="1" applyBorder="1" applyAlignment="1">
      <alignment horizontal="center" vertical="top" wrapText="1"/>
    </xf>
    <xf numFmtId="165" fontId="122" fillId="0" borderId="4" xfId="4496" applyNumberFormat="1" applyFont="1" applyBorder="1" applyAlignment="1">
      <alignment horizontal="center" vertical="top" wrapText="1"/>
    </xf>
    <xf numFmtId="0" fontId="122" fillId="5" borderId="60" xfId="4496" applyFont="1" applyFill="1" applyBorder="1" applyAlignment="1" applyProtection="1">
      <alignment horizontal="center"/>
      <protection locked="0"/>
    </xf>
    <xf numFmtId="0" fontId="122" fillId="5" borderId="4" xfId="4496" applyFont="1" applyFill="1" applyBorder="1" applyAlignment="1" applyProtection="1">
      <alignment horizontal="center"/>
      <protection locked="0"/>
    </xf>
    <xf numFmtId="0" fontId="122" fillId="5" borderId="6" xfId="4496" applyFont="1" applyFill="1" applyBorder="1" applyAlignment="1" applyProtection="1">
      <alignment horizontal="center"/>
      <protection locked="0"/>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24" fillId="0" borderId="0" xfId="4495" applyFont="1" applyAlignment="1">
      <alignment horizontal="right"/>
    </xf>
    <xf numFmtId="0" fontId="122" fillId="0" borderId="50" xfId="4496" applyFont="1" applyBorder="1" applyAlignment="1">
      <alignment horizontal="left" vertical="top" wrapText="1"/>
    </xf>
    <xf numFmtId="0" fontId="122" fillId="0" borderId="51" xfId="4496" applyFont="1" applyBorder="1" applyAlignment="1">
      <alignment horizontal="left" vertical="top" wrapText="1"/>
    </xf>
    <xf numFmtId="0" fontId="122" fillId="0" borderId="52" xfId="4496" applyFont="1" applyBorder="1" applyAlignment="1">
      <alignment horizontal="left" vertical="top" wrapText="1"/>
    </xf>
    <xf numFmtId="0" fontId="122" fillId="0" borderId="53" xfId="4496" applyFont="1" applyBorder="1" applyAlignment="1">
      <alignment horizontal="left" vertical="top" wrapText="1"/>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22" fillId="0" borderId="57" xfId="4496" applyFont="1" applyBorder="1" applyAlignment="1">
      <alignment horizontal="left" vertical="top" wrapText="1"/>
    </xf>
    <xf numFmtId="0" fontId="122" fillId="0" borderId="58" xfId="4496" applyFont="1" applyBorder="1" applyAlignment="1">
      <alignment horizontal="left" vertical="top" wrapText="1"/>
    </xf>
    <xf numFmtId="0" fontId="122" fillId="0" borderId="59" xfId="4496" applyFont="1" applyBorder="1" applyAlignment="1">
      <alignment horizontal="left" vertical="top" wrapText="1"/>
    </xf>
    <xf numFmtId="0" fontId="122" fillId="5" borderId="55" xfId="4496" applyFont="1" applyFill="1" applyBorder="1" applyAlignment="1" applyProtection="1">
      <alignment horizontal="center"/>
      <protection locked="0"/>
    </xf>
    <xf numFmtId="0" fontId="122" fillId="0" borderId="47" xfId="4496" applyFont="1" applyBorder="1"/>
    <xf numFmtId="0" fontId="122" fillId="0" borderId="48" xfId="4496" applyFont="1" applyBorder="1"/>
    <xf numFmtId="0" fontId="122" fillId="0" borderId="49" xfId="4496" applyFont="1" applyBorder="1"/>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122" fillId="0" borderId="55" xfId="4496" applyFont="1" applyBorder="1" applyAlignment="1">
      <alignment horizontal="center" vertical="top" wrapText="1"/>
    </xf>
    <xf numFmtId="0" fontId="122"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22" fillId="43" borderId="55" xfId="4496" applyFont="1" applyFill="1" applyBorder="1" applyAlignment="1" applyProtection="1">
      <alignment horizontal="left" vertical="top" wrapText="1"/>
      <protection locked="0"/>
    </xf>
    <xf numFmtId="0" fontId="122" fillId="43" borderId="6" xfId="4496" applyFont="1" applyFill="1" applyBorder="1" applyAlignment="1" applyProtection="1">
      <alignment horizontal="left" vertical="top" wrapText="1"/>
      <protection locked="0"/>
    </xf>
    <xf numFmtId="0" fontId="122" fillId="43" borderId="56" xfId="4496" applyFont="1" applyFill="1" applyBorder="1" applyAlignment="1" applyProtection="1">
      <alignment horizontal="left" vertical="top" wrapText="1"/>
      <protection locked="0"/>
    </xf>
    <xf numFmtId="0" fontId="24" fillId="0" borderId="0" xfId="4495" applyFont="1" applyAlignment="1">
      <alignment horizontal="center" vertical="top"/>
    </xf>
    <xf numFmtId="0" fontId="17" fillId="5" borderId="6" xfId="4495" applyFont="1" applyFill="1" applyBorder="1" applyAlignment="1" applyProtection="1">
      <alignment horizontal="left"/>
      <protection locked="0"/>
    </xf>
    <xf numFmtId="168" fontId="122" fillId="0" borderId="55" xfId="4496" applyNumberFormat="1" applyFont="1" applyBorder="1" applyAlignment="1">
      <alignment horizontal="center" vertical="top"/>
    </xf>
    <xf numFmtId="168" fontId="122" fillId="0" borderId="6" xfId="4496" applyNumberFormat="1" applyFont="1" applyBorder="1" applyAlignment="1">
      <alignment horizontal="center" vertical="top"/>
    </xf>
    <xf numFmtId="10" fontId="122" fillId="0" borderId="3" xfId="4496" applyNumberFormat="1" applyFont="1" applyBorder="1" applyAlignment="1">
      <alignment horizontal="center" vertical="top" wrapText="1"/>
    </xf>
    <xf numFmtId="10" fontId="122" fillId="0" borderId="4" xfId="4496" applyNumberFormat="1" applyFont="1" applyBorder="1" applyAlignment="1">
      <alignment horizontal="center" vertical="top" wrapText="1"/>
    </xf>
    <xf numFmtId="10" fontId="122" fillId="0" borderId="5" xfId="4496" applyNumberFormat="1" applyFont="1" applyBorder="1" applyAlignment="1">
      <alignment horizontal="center" vertical="top" wrapText="1"/>
    </xf>
    <xf numFmtId="1" fontId="122" fillId="0" borderId="55" xfId="4496" applyNumberFormat="1" applyFont="1" applyBorder="1" applyAlignment="1">
      <alignment horizontal="center" vertical="top" wrapText="1"/>
    </xf>
    <xf numFmtId="1" fontId="122" fillId="0" borderId="6" xfId="4496" applyNumberFormat="1" applyFont="1" applyBorder="1" applyAlignment="1">
      <alignment horizontal="center" vertical="top" wrapText="1"/>
    </xf>
    <xf numFmtId="168" fontId="122" fillId="43" borderId="55" xfId="4496" applyNumberFormat="1" applyFont="1" applyFill="1" applyBorder="1" applyAlignment="1" applyProtection="1">
      <alignment horizontal="center" vertical="top" wrapText="1"/>
      <protection locked="0"/>
    </xf>
    <xf numFmtId="168" fontId="122" fillId="43" borderId="6" xfId="4496" applyNumberFormat="1" applyFont="1" applyFill="1" applyBorder="1" applyAlignment="1" applyProtection="1">
      <alignment horizontal="center" vertical="top" wrapText="1"/>
      <protection locked="0"/>
    </xf>
    <xf numFmtId="0" fontId="17" fillId="0" borderId="0" xfId="1192" applyAlignment="1">
      <alignment horizontal="right"/>
    </xf>
    <xf numFmtId="0" fontId="17" fillId="5" borderId="6" xfId="1192" applyFill="1" applyBorder="1" applyAlignment="1" applyProtection="1">
      <alignment horizontal="left"/>
      <protection locked="0"/>
    </xf>
    <xf numFmtId="168" fontId="17" fillId="43" borderId="6" xfId="4495" applyNumberFormat="1" applyFont="1" applyFill="1" applyBorder="1" applyAlignment="1" applyProtection="1">
      <alignment horizontal="right"/>
      <protection locked="0"/>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2" xfId="1192" applyNumberFormat="1" applyFill="1" applyBorder="1" applyAlignment="1" applyProtection="1">
      <alignment horizontal="center"/>
      <protection locked="0"/>
    </xf>
    <xf numFmtId="9" fontId="17" fillId="5" borderId="4" xfId="1192" applyNumberFormat="1" applyFill="1" applyBorder="1" applyAlignment="1" applyProtection="1">
      <alignment horizontal="left"/>
      <protection locked="0"/>
    </xf>
    <xf numFmtId="168" fontId="17" fillId="0" borderId="0" xfId="1192" applyNumberFormat="1" applyAlignment="1">
      <alignment horizontal="right"/>
    </xf>
    <xf numFmtId="1" fontId="17" fillId="5" borderId="4" xfId="1192" applyNumberFormat="1" applyFill="1" applyBorder="1" applyAlignment="1" applyProtection="1">
      <alignment horizontal="center"/>
      <protection locked="0"/>
    </xf>
    <xf numFmtId="0" fontId="142" fillId="0" borderId="6" xfId="1192" applyFont="1" applyBorder="1" applyAlignment="1">
      <alignment horizontal="center"/>
    </xf>
    <xf numFmtId="168" fontId="17" fillId="5" borderId="4" xfId="1192" applyNumberFormat="1" applyFill="1" applyBorder="1" applyAlignment="1" applyProtection="1">
      <alignment horizontal="center"/>
      <protection locked="0"/>
    </xf>
    <xf numFmtId="0" fontId="17" fillId="0" borderId="6" xfId="1192" applyBorder="1" applyAlignment="1">
      <alignment horizontal="left"/>
    </xf>
    <xf numFmtId="2" fontId="17" fillId="0" borderId="0" xfId="1192" applyNumberFormat="1" applyAlignment="1">
      <alignment horizontal="right"/>
    </xf>
    <xf numFmtId="0" fontId="25" fillId="5" borderId="6" xfId="4495" applyFont="1" applyFill="1" applyBorder="1" applyAlignment="1" applyProtection="1">
      <alignment horizontal="left"/>
      <protection locked="0"/>
    </xf>
    <xf numFmtId="0" fontId="17" fillId="0" borderId="0" xfId="4495" applyFont="1" applyAlignment="1">
      <alignment horizontal="left"/>
    </xf>
    <xf numFmtId="0" fontId="53"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center"/>
      <protection locked="0"/>
    </xf>
    <xf numFmtId="0" fontId="17" fillId="44" borderId="6" xfId="4495" applyFont="1" applyFill="1" applyBorder="1" applyAlignment="1">
      <alignment horizontal="left"/>
    </xf>
    <xf numFmtId="1" fontId="17" fillId="0" borderId="11" xfId="4495" applyNumberFormat="1" applyFont="1" applyBorder="1" applyAlignment="1">
      <alignment horizontal="center"/>
    </xf>
    <xf numFmtId="0" fontId="17" fillId="0" borderId="11" xfId="4495" applyFont="1" applyBorder="1" applyAlignment="1">
      <alignment horizontal="center"/>
    </xf>
    <xf numFmtId="0" fontId="120" fillId="5" borderId="6" xfId="4495" applyFill="1" applyBorder="1" applyAlignment="1" applyProtection="1">
      <alignment horizontal="center"/>
      <protection locked="0"/>
    </xf>
    <xf numFmtId="0" fontId="24" fillId="0" borderId="0" xfId="4495" applyFont="1" applyAlignment="1">
      <alignment horizontal="left" vertical="top"/>
    </xf>
    <xf numFmtId="0" fontId="120" fillId="0" borderId="0" xfId="4495" applyAlignment="1" applyProtection="1">
      <alignment horizontal="center"/>
      <protection locked="0"/>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168" fontId="17" fillId="0" borderId="6" xfId="4496" applyNumberFormat="1" applyFont="1" applyBorder="1" applyAlignment="1">
      <alignment horizontal="center"/>
    </xf>
    <xf numFmtId="9" fontId="17" fillId="0" borderId="4" xfId="543" applyNumberFormat="1" applyBorder="1" applyAlignment="1">
      <alignment horizontal="center"/>
    </xf>
    <xf numFmtId="0" fontId="17" fillId="0" borderId="4" xfId="4496" applyFont="1" applyBorder="1" applyAlignment="1">
      <alignment horizontal="center"/>
    </xf>
    <xf numFmtId="0" fontId="17" fillId="0" borderId="5" xfId="4496" applyFont="1" applyBorder="1" applyAlignment="1">
      <alignment horizontal="center"/>
    </xf>
    <xf numFmtId="168" fontId="17" fillId="0" borderId="6" xfId="4495" applyNumberFormat="1" applyFont="1" applyBorder="1" applyAlignment="1">
      <alignment horizontal="right"/>
    </xf>
    <xf numFmtId="168" fontId="118" fillId="0" borderId="6" xfId="4495" applyNumberFormat="1" applyFont="1" applyBorder="1" applyAlignment="1">
      <alignment horizontal="right"/>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165" fontId="17" fillId="0" borderId="0" xfId="1192" applyNumberFormat="1" applyAlignment="1">
      <alignment horizontal="right"/>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0" fontId="17" fillId="0" borderId="59" xfId="4495" applyFont="1" applyBorder="1" applyAlignment="1">
      <alignment horizontal="left" vertical="top" wrapText="1"/>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24" fillId="0" borderId="0" xfId="4495" applyFont="1"/>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30" fillId="0" borderId="0" xfId="4495" applyFont="1" applyAlignment="1">
      <alignment horizontal="left" vertical="top" wrapText="1"/>
    </xf>
    <xf numFmtId="0" fontId="120" fillId="5" borderId="55"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4" fillId="0" borderId="54" xfId="4495" applyFont="1" applyBorder="1" applyAlignment="1">
      <alignment horizontal="center" vertical="top"/>
    </xf>
    <xf numFmtId="0" fontId="120" fillId="5" borderId="62" xfId="4495" applyFill="1" applyBorder="1" applyAlignment="1" applyProtection="1">
      <alignment horizontal="center"/>
      <protection locked="0"/>
    </xf>
    <xf numFmtId="0" fontId="120" fillId="5" borderId="63" xfId="4495" applyFill="1" applyBorder="1" applyAlignment="1" applyProtection="1">
      <alignment horizontal="center"/>
      <protection locked="0"/>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center" vertical="center" wrapText="1" shrinkToFit="1"/>
      <protection locked="0"/>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57" fillId="0" borderId="0" xfId="0" applyFont="1" applyAlignment="1" applyProtection="1">
      <alignment horizontal="left"/>
      <protection locked="0"/>
    </xf>
    <xf numFmtId="168" fontId="156" fillId="0" borderId="0" xfId="0" applyNumberFormat="1" applyFont="1" applyAlignment="1">
      <alignment horizontal="center" vertical="top" wrapText="1"/>
    </xf>
    <xf numFmtId="168" fontId="156" fillId="0" borderId="12" xfId="0" applyNumberFormat="1" applyFont="1" applyBorder="1" applyAlignment="1">
      <alignment horizontal="center" vertical="top" wrapText="1"/>
    </xf>
    <xf numFmtId="0" fontId="25" fillId="0" borderId="0" xfId="4495" applyFont="1" applyAlignment="1">
      <alignment horizontal="center"/>
    </xf>
    <xf numFmtId="0" fontId="17" fillId="0" borderId="0" xfId="4495" applyFont="1" applyAlignment="1">
      <alignment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24" fillId="0" borderId="0" xfId="4495" applyFont="1" applyAlignment="1">
      <alignment horizontal="left" vertical="top" wrapText="1"/>
    </xf>
    <xf numFmtId="0" fontId="17" fillId="45" borderId="11" xfId="4495" applyFont="1" applyFill="1" applyBorder="1" applyAlignment="1">
      <alignment horizontal="center"/>
    </xf>
    <xf numFmtId="0" fontId="130" fillId="0" borderId="0" xfId="4495" applyFont="1" applyAlignment="1">
      <alignment horizontal="left" vertical="center" wrapText="1"/>
    </xf>
    <xf numFmtId="0" fontId="24" fillId="0" borderId="11" xfId="4495" applyFont="1" applyBorder="1" applyAlignment="1">
      <alignment horizontal="center"/>
    </xf>
    <xf numFmtId="0" fontId="25" fillId="0" borderId="58" xfId="4495" applyFont="1" applyBorder="1" applyAlignment="1">
      <alignment horizontal="left" vertical="top" wrapText="1"/>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120" fillId="5" borderId="50" xfId="4495" applyFill="1" applyBorder="1" applyAlignment="1">
      <alignment horizontal="center"/>
    </xf>
    <xf numFmtId="0" fontId="120" fillId="5" borderId="51" xfId="4495" applyFill="1" applyBorder="1" applyAlignment="1">
      <alignment horizontal="center"/>
    </xf>
    <xf numFmtId="0" fontId="53" fillId="0" borderId="51" xfId="4495" applyFont="1" applyBorder="1" applyAlignment="1">
      <alignment horizontal="left" wrapText="1"/>
    </xf>
    <xf numFmtId="0" fontId="53" fillId="0" borderId="0" xfId="4495" applyFont="1" applyAlignment="1">
      <alignment horizontal="left" wrapText="1"/>
    </xf>
    <xf numFmtId="0" fontId="120" fillId="5" borderId="53" xfId="4495" applyFill="1" applyBorder="1" applyAlignment="1">
      <alignment horizontal="center"/>
    </xf>
    <xf numFmtId="0" fontId="120" fillId="5" borderId="0" xfId="4495" applyFill="1" applyAlignment="1">
      <alignment horizontal="center"/>
    </xf>
    <xf numFmtId="0" fontId="120" fillId="5" borderId="55" xfId="4495" applyFill="1" applyBorder="1" applyAlignment="1">
      <alignment horizontal="center"/>
    </xf>
    <xf numFmtId="0" fontId="120"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24" fillId="0" borderId="4" xfId="4495" applyFont="1" applyBorder="1" applyAlignment="1">
      <alignment horizontal="left"/>
    </xf>
    <xf numFmtId="0" fontId="24" fillId="0" borderId="5" xfId="4495" applyFont="1" applyBorder="1" applyAlignment="1">
      <alignment horizontal="left"/>
    </xf>
    <xf numFmtId="1" fontId="24" fillId="0" borderId="4" xfId="4495" applyNumberFormat="1"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24" fillId="0" borderId="3" xfId="4495"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1" fontId="24" fillId="0" borderId="11" xfId="4495" applyNumberFormat="1" applyFont="1" applyBorder="1" applyAlignment="1">
      <alignment horizontal="center"/>
    </xf>
    <xf numFmtId="0" fontId="17" fillId="0" borderId="4" xfId="4495" applyFont="1" applyBorder="1" applyAlignment="1">
      <alignment horizontal="left"/>
    </xf>
    <xf numFmtId="0" fontId="17" fillId="0" borderId="5" xfId="4495" applyFont="1" applyBorder="1" applyAlignment="1">
      <alignment horizontal="left"/>
    </xf>
    <xf numFmtId="1" fontId="17" fillId="46" borderId="11" xfId="4495" applyNumberFormat="1" applyFont="1" applyFill="1" applyBorder="1" applyAlignment="1">
      <alignment horizontal="center"/>
    </xf>
    <xf numFmtId="0" fontId="24" fillId="0" borderId="3" xfId="4495" applyFont="1" applyBorder="1" applyAlignment="1">
      <alignment horizontal="left"/>
    </xf>
    <xf numFmtId="0" fontId="17" fillId="5" borderId="11" xfId="4495" applyFont="1" applyFill="1" applyBorder="1" applyAlignment="1" applyProtection="1">
      <alignment horizontal="center"/>
      <protection locked="0"/>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164" fontId="64" fillId="0" borderId="1" xfId="4495" applyNumberFormat="1" applyFont="1" applyBorder="1" applyAlignment="1">
      <alignment horizontal="right" vertical="center"/>
    </xf>
    <xf numFmtId="164" fontId="64" fillId="0" borderId="2" xfId="4495" applyNumberFormat="1" applyFont="1" applyBorder="1" applyAlignment="1">
      <alignment horizontal="right" vertical="center"/>
    </xf>
    <xf numFmtId="164" fontId="64" fillId="0" borderId="7" xfId="4495" applyNumberFormat="1" applyFont="1" applyBorder="1" applyAlignment="1">
      <alignment horizontal="right" vertical="center"/>
    </xf>
    <xf numFmtId="164" fontId="64" fillId="0" borderId="9" xfId="4495" applyNumberFormat="1" applyFont="1" applyBorder="1" applyAlignment="1">
      <alignment horizontal="right" vertical="center"/>
    </xf>
    <xf numFmtId="164" fontId="64" fillId="0" borderId="6" xfId="4495" applyNumberFormat="1" applyFont="1" applyBorder="1" applyAlignment="1">
      <alignment horizontal="right" vertical="center"/>
    </xf>
    <xf numFmtId="164" fontId="64" fillId="0" borderId="10" xfId="4495" applyNumberFormat="1" applyFont="1" applyBorder="1" applyAlignment="1">
      <alignment horizontal="right" vertical="center"/>
    </xf>
    <xf numFmtId="180" fontId="64" fillId="0" borderId="1" xfId="4495" applyNumberFormat="1" applyFont="1" applyBorder="1" applyAlignment="1">
      <alignment horizontal="center" vertical="center"/>
    </xf>
    <xf numFmtId="180" fontId="64" fillId="0" borderId="2" xfId="4495" applyNumberFormat="1" applyFont="1" applyBorder="1" applyAlignment="1">
      <alignment horizontal="center" vertical="center"/>
    </xf>
    <xf numFmtId="180" fontId="64" fillId="0" borderId="7" xfId="4495" applyNumberFormat="1" applyFont="1" applyBorder="1" applyAlignment="1">
      <alignment horizontal="center" vertical="center"/>
    </xf>
    <xf numFmtId="180" fontId="64" fillId="0" borderId="9" xfId="4495" applyNumberFormat="1" applyFont="1" applyBorder="1" applyAlignment="1">
      <alignment horizontal="center" vertical="center"/>
    </xf>
    <xf numFmtId="180" fontId="64" fillId="0" borderId="6" xfId="4495" applyNumberFormat="1" applyFont="1" applyBorder="1" applyAlignment="1">
      <alignment horizontal="center" vertical="center"/>
    </xf>
    <xf numFmtId="180" fontId="64" fillId="0" borderId="10" xfId="4495" applyNumberFormat="1" applyFont="1" applyBorder="1" applyAlignment="1">
      <alignment horizontal="center" vertical="center"/>
    </xf>
    <xf numFmtId="0" fontId="17" fillId="0" borderId="6" xfId="1192" applyBorder="1" applyAlignment="1">
      <alignment horizontal="right"/>
    </xf>
    <xf numFmtId="0" fontId="122" fillId="0" borderId="50" xfId="4496" applyFont="1" applyBorder="1" applyAlignment="1">
      <alignment horizontal="left" wrapText="1"/>
    </xf>
    <xf numFmtId="0" fontId="122" fillId="0" borderId="51" xfId="4496" applyFont="1" applyBorder="1" applyAlignment="1">
      <alignment horizontal="left" wrapText="1"/>
    </xf>
    <xf numFmtId="0" fontId="122" fillId="0" borderId="52" xfId="4496" applyFont="1" applyBorder="1" applyAlignment="1">
      <alignment horizontal="left" wrapText="1"/>
    </xf>
    <xf numFmtId="0" fontId="122" fillId="0" borderId="57" xfId="4496" applyFont="1" applyBorder="1" applyAlignment="1">
      <alignment horizontal="left" wrapText="1"/>
    </xf>
    <xf numFmtId="0" fontId="122" fillId="0" borderId="58" xfId="4496" applyFont="1" applyBorder="1" applyAlignment="1">
      <alignment horizontal="left" wrapText="1"/>
    </xf>
    <xf numFmtId="0" fontId="122" fillId="0" borderId="59" xfId="4496" applyFont="1" applyBorder="1" applyAlignment="1">
      <alignment horizontal="left" wrapText="1"/>
    </xf>
    <xf numFmtId="0" fontId="120" fillId="0" borderId="53" xfId="4495" applyBorder="1" applyAlignment="1">
      <alignment horizontal="center"/>
    </xf>
    <xf numFmtId="0" fontId="120" fillId="0" borderId="0" xfId="4495" applyAlignment="1">
      <alignment horizontal="center"/>
    </xf>
    <xf numFmtId="0" fontId="25" fillId="5" borderId="0" xfId="4495" applyFont="1" applyFill="1" applyAlignment="1">
      <alignment horizontal="left" vertical="top"/>
    </xf>
    <xf numFmtId="168" fontId="17" fillId="0" borderId="6" xfId="1192" applyNumberFormat="1" applyBorder="1" applyAlignment="1">
      <alignment horizontal="right"/>
    </xf>
    <xf numFmtId="0" fontId="118" fillId="0" borderId="4" xfId="1192" applyFont="1" applyBorder="1" applyAlignment="1">
      <alignment horizontal="left"/>
    </xf>
    <xf numFmtId="168" fontId="17" fillId="43" borderId="6" xfId="543" applyNumberFormat="1" applyFill="1" applyBorder="1" applyAlignment="1" applyProtection="1">
      <alignment horizontal="center"/>
      <protection locked="0"/>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53" fillId="0" borderId="51" xfId="4495" applyFont="1" applyBorder="1" applyAlignment="1">
      <alignment horizontal="left" vertical="top" wrapText="1"/>
    </xf>
    <xf numFmtId="0" fontId="53" fillId="0" borderId="0" xfId="4495" applyFont="1" applyAlignment="1">
      <alignment horizontal="left" vertical="top" wrapText="1"/>
    </xf>
    <xf numFmtId="9" fontId="25" fillId="5" borderId="58" xfId="4495" applyNumberFormat="1" applyFont="1" applyFill="1" applyBorder="1" applyAlignment="1">
      <alignment horizontal="left"/>
    </xf>
    <xf numFmtId="9" fontId="25" fillId="5" borderId="6" xfId="4495" applyNumberFormat="1" applyFont="1" applyFill="1" applyBorder="1" applyAlignment="1">
      <alignment horizontal="left"/>
    </xf>
    <xf numFmtId="0" fontId="25" fillId="5" borderId="6" xfId="4495" applyFont="1" applyFill="1" applyBorder="1" applyAlignment="1">
      <alignment horizontal="left"/>
    </xf>
    <xf numFmtId="0" fontId="120" fillId="5" borderId="62" xfId="4495" applyFill="1" applyBorder="1" applyAlignment="1">
      <alignment horizontal="center"/>
    </xf>
    <xf numFmtId="0" fontId="120" fillId="5" borderId="63" xfId="4495" applyFill="1" applyBorder="1" applyAlignment="1">
      <alignment horizontal="center"/>
    </xf>
    <xf numFmtId="10" fontId="25" fillId="0" borderId="2" xfId="4495" applyNumberFormat="1" applyFont="1" applyBorder="1" applyAlignment="1">
      <alignment horizontal="center"/>
    </xf>
    <xf numFmtId="4" fontId="25" fillId="0" borderId="0" xfId="4495" applyNumberFormat="1" applyFont="1" applyAlignment="1">
      <alignment horizontal="center"/>
    </xf>
    <xf numFmtId="0" fontId="33" fillId="42" borderId="2" xfId="4495" applyFont="1" applyFill="1" applyBorder="1" applyAlignment="1">
      <alignment horizontal="center"/>
    </xf>
    <xf numFmtId="0" fontId="33" fillId="42" borderId="6" xfId="4495" applyFont="1" applyFill="1" applyBorder="1" applyAlignment="1">
      <alignment horizontal="center"/>
    </xf>
    <xf numFmtId="4" fontId="25" fillId="0" borderId="6" xfId="4495" applyNumberFormat="1" applyFont="1" applyBorder="1" applyAlignment="1">
      <alignment horizontal="center"/>
    </xf>
    <xf numFmtId="168" fontId="17" fillId="0" borderId="4" xfId="1192" applyNumberFormat="1" applyBorder="1" applyAlignment="1">
      <alignment horizontal="right"/>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24" fillId="0" borderId="0" xfId="4495" applyFont="1" applyAlignment="1">
      <alignment horizontal="left" wrapText="1"/>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22" fillId="0" borderId="3" xfId="4496" applyNumberFormat="1" applyFont="1" applyBorder="1" applyAlignment="1">
      <alignment horizontal="center" vertical="top" wrapText="1"/>
    </xf>
    <xf numFmtId="165" fontId="122"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0" fontId="142" fillId="0" borderId="0" xfId="1192" applyFont="1" applyAlignment="1">
      <alignment horizontal="center"/>
    </xf>
    <xf numFmtId="0" fontId="98" fillId="0" borderId="69" xfId="4496" applyFont="1" applyBorder="1" applyAlignment="1">
      <alignment horizontal="right"/>
    </xf>
    <xf numFmtId="0" fontId="98" fillId="0" borderId="70" xfId="4496" applyFont="1" applyBorder="1" applyAlignment="1">
      <alignment horizontal="right"/>
    </xf>
    <xf numFmtId="0" fontId="98" fillId="0" borderId="11" xfId="4496" applyFont="1" applyBorder="1"/>
    <xf numFmtId="0" fontId="98" fillId="0" borderId="76" xfId="4496" applyFont="1" applyBorder="1"/>
    <xf numFmtId="0" fontId="98" fillId="0" borderId="70" xfId="4496" applyFont="1" applyBorder="1"/>
    <xf numFmtId="0" fontId="98" fillId="0" borderId="77" xfId="4496" applyFont="1" applyBorder="1"/>
    <xf numFmtId="0" fontId="98" fillId="0" borderId="68" xfId="4496" applyFont="1" applyBorder="1"/>
    <xf numFmtId="0" fontId="98" fillId="0" borderId="71" xfId="4496" applyFont="1" applyBorder="1"/>
    <xf numFmtId="0" fontId="98" fillId="0" borderId="67" xfId="4496" applyFont="1" applyBorder="1" applyAlignment="1">
      <alignment horizontal="right"/>
    </xf>
    <xf numFmtId="0" fontId="98" fillId="0" borderId="68" xfId="4496" applyFont="1" applyBorder="1" applyAlignment="1">
      <alignment horizontal="right"/>
    </xf>
    <xf numFmtId="0" fontId="98" fillId="0" borderId="0" xfId="4496" applyFont="1" applyAlignment="1">
      <alignment horizontal="left" wrapText="1" indent="1"/>
    </xf>
    <xf numFmtId="49" fontId="136" fillId="3" borderId="0" xfId="1192" applyNumberFormat="1" applyFont="1" applyFill="1" applyAlignment="1">
      <alignment horizontal="center" vertical="center"/>
    </xf>
    <xf numFmtId="0" fontId="98" fillId="0" borderId="11" xfId="4496" applyFont="1" applyBorder="1" applyAlignment="1">
      <alignment horizontal="left" indent="1"/>
    </xf>
    <xf numFmtId="0" fontId="98" fillId="0" borderId="11" xfId="4496" applyFont="1" applyBorder="1" applyAlignment="1">
      <alignment horizontal="left" indent="2"/>
    </xf>
    <xf numFmtId="0" fontId="137" fillId="45" borderId="3" xfId="4496" applyFont="1" applyFill="1" applyBorder="1" applyAlignment="1">
      <alignment horizontal="center" vertical="center"/>
    </xf>
    <xf numFmtId="0" fontId="137" fillId="45" borderId="4" xfId="4496" applyFont="1" applyFill="1" applyBorder="1" applyAlignment="1">
      <alignment horizontal="center" vertical="center"/>
    </xf>
    <xf numFmtId="0" fontId="137" fillId="45" borderId="5" xfId="4496" applyFont="1" applyFill="1" applyBorder="1" applyAlignment="1">
      <alignment horizontal="center" vertical="center"/>
    </xf>
    <xf numFmtId="9" fontId="137" fillId="45" borderId="3" xfId="4499" applyFont="1" applyFill="1" applyBorder="1" applyAlignment="1" applyProtection="1">
      <alignment horizontal="center" vertical="center"/>
    </xf>
    <xf numFmtId="9" fontId="137" fillId="45" borderId="4" xfId="4499" applyFont="1" applyFill="1" applyBorder="1" applyAlignment="1" applyProtection="1">
      <alignment horizontal="center" vertical="center"/>
    </xf>
    <xf numFmtId="9" fontId="137" fillId="45" borderId="5" xfId="4499" applyFont="1" applyFill="1" applyBorder="1" applyAlignment="1" applyProtection="1">
      <alignment horizontal="center" vertical="center"/>
    </xf>
    <xf numFmtId="168" fontId="98" fillId="0" borderId="11" xfId="4499" applyNumberFormat="1" applyFont="1" applyFill="1" applyBorder="1" applyAlignment="1" applyProtection="1">
      <alignment horizontal="left" vertical="center" indent="1"/>
    </xf>
    <xf numFmtId="49" fontId="98" fillId="45" borderId="15" xfId="4496" applyNumberFormat="1" applyFont="1" applyFill="1" applyBorder="1" applyAlignment="1">
      <alignment horizontal="center" vertical="center" wrapText="1"/>
    </xf>
    <xf numFmtId="49" fontId="98" fillId="45" borderId="13" xfId="4496" applyNumberFormat="1" applyFont="1" applyFill="1" applyBorder="1" applyAlignment="1">
      <alignment horizontal="center" vertical="center" wrapText="1"/>
    </xf>
    <xf numFmtId="0" fontId="137" fillId="0" borderId="68" xfId="4496" applyFont="1" applyBorder="1" applyAlignment="1">
      <alignment horizontal="left" indent="1"/>
    </xf>
    <xf numFmtId="168" fontId="98" fillId="0" borderId="70" xfId="4499" applyNumberFormat="1" applyFont="1" applyFill="1" applyBorder="1" applyAlignment="1" applyProtection="1">
      <alignment horizontal="left" vertical="center" indent="1"/>
    </xf>
    <xf numFmtId="0" fontId="98" fillId="0" borderId="72" xfId="4496" applyFont="1" applyBorder="1" applyAlignment="1">
      <alignment horizontal="right"/>
    </xf>
    <xf numFmtId="0" fontId="98" fillId="0" borderId="11" xfId="4496" applyFont="1" applyBorder="1" applyAlignment="1">
      <alignment horizontal="right"/>
    </xf>
    <xf numFmtId="168" fontId="98" fillId="0" borderId="13" xfId="4499" applyNumberFormat="1" applyFont="1" applyFill="1" applyBorder="1" applyAlignment="1" applyProtection="1">
      <alignment horizontal="left" vertical="center" indent="1"/>
    </xf>
    <xf numFmtId="0" fontId="98" fillId="0" borderId="3" xfId="4496" applyFont="1" applyBorder="1" applyAlignment="1">
      <alignment horizontal="left" indent="1"/>
    </xf>
    <xf numFmtId="0" fontId="98" fillId="0" borderId="4" xfId="4496" applyFont="1" applyBorder="1" applyAlignment="1">
      <alignment horizontal="left" indent="1"/>
    </xf>
    <xf numFmtId="0" fontId="98" fillId="0" borderId="5" xfId="4496" applyFont="1" applyBorder="1" applyAlignment="1">
      <alignment horizontal="left" indent="1"/>
    </xf>
    <xf numFmtId="0" fontId="98" fillId="0" borderId="3" xfId="4496" applyFont="1" applyBorder="1" applyAlignment="1">
      <alignment horizontal="left" indent="2"/>
    </xf>
    <xf numFmtId="0" fontId="98" fillId="0" borderId="4" xfId="4496" applyFont="1" applyBorder="1" applyAlignment="1">
      <alignment horizontal="left" indent="2"/>
    </xf>
    <xf numFmtId="0" fontId="98" fillId="0" borderId="5" xfId="4496" applyFont="1" applyBorder="1" applyAlignment="1">
      <alignment horizontal="left" indent="2"/>
    </xf>
    <xf numFmtId="0" fontId="98" fillId="0" borderId="0" xfId="4496" applyFont="1" applyAlignment="1">
      <alignment wrapText="1"/>
    </xf>
    <xf numFmtId="0" fontId="137" fillId="0" borderId="75" xfId="4496" applyFont="1" applyBorder="1" applyAlignment="1">
      <alignment horizontal="center" vertical="top" wrapText="1"/>
    </xf>
    <xf numFmtId="0" fontId="137" fillId="0" borderId="74" xfId="4496" applyFont="1" applyBorder="1" applyAlignment="1">
      <alignment horizontal="center" vertical="top" wrapText="1"/>
    </xf>
    <xf numFmtId="0" fontId="98" fillId="0" borderId="0" xfId="4496" applyFont="1" applyAlignment="1">
      <alignment horizontal="left" wrapText="1"/>
    </xf>
    <xf numFmtId="0" fontId="98" fillId="0" borderId="0" xfId="4496" applyFont="1" applyAlignment="1">
      <alignment horizontal="center" vertical="center" wrapText="1"/>
    </xf>
    <xf numFmtId="0" fontId="98" fillId="43" borderId="0" xfId="4496" applyFont="1" applyFill="1" applyAlignment="1" applyProtection="1">
      <alignment horizontal="left" vertical="top" wrapText="1"/>
      <protection locked="0"/>
    </xf>
    <xf numFmtId="0" fontId="98" fillId="43" borderId="6" xfId="4496" applyFont="1" applyFill="1" applyBorder="1" applyAlignment="1" applyProtection="1">
      <alignment horizontal="left" vertical="top" wrapText="1"/>
      <protection locked="0"/>
    </xf>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3" fontId="26" fillId="0" borderId="0" xfId="0" applyNumberFormat="1" applyFont="1" applyAlignment="1">
      <alignment horizontal="left" vertical="top" wrapText="1"/>
    </xf>
    <xf numFmtId="0" fontId="17" fillId="43" borderId="0" xfId="0" applyFont="1" applyFill="1" applyAlignment="1">
      <alignment horizontal="left"/>
    </xf>
  </cellXfs>
  <cellStyles count="25615">
    <cellStyle name="20% - Accent1" xfId="1" builtinId="30" customBuiltin="1"/>
    <cellStyle name="20% - Accent1 10" xfId="4504" xr:uid="{00000000-0005-0000-0000-000001000000}"/>
    <cellStyle name="20% - Accent1 10 2" xfId="21395" xr:uid="{8064292E-C799-4418-9788-51D4AC63026F}"/>
    <cellStyle name="20% - Accent1 10 3" xfId="12954" xr:uid="{B27BCC62-FA9B-491B-A478-86E3A8847E7F}"/>
    <cellStyle name="20% - Accent1 11" xfId="17177" xr:uid="{AF2864CB-8EEE-4A2E-834A-8E1E21D378CB}"/>
    <cellStyle name="20% - Accent1 12" xfId="8736" xr:uid="{51065478-8074-436D-BFE8-CBA81A8E5841}"/>
    <cellStyle name="20% - Accent1 2" xfId="2" xr:uid="{00000000-0005-0000-0000-000002000000}"/>
    <cellStyle name="20% - Accent1 2 10" xfId="17178" xr:uid="{C1F96242-BD18-4371-974A-94B6F8E1F926}"/>
    <cellStyle name="20% - Accent1 2 11" xfId="8737" xr:uid="{EC97C2B8-1FF3-43CC-82CA-2AA6C2DEEA58}"/>
    <cellStyle name="20% - Accent1 2 2" xfId="3" xr:uid="{00000000-0005-0000-0000-000003000000}"/>
    <cellStyle name="20% - Accent1 2 2 10" xfId="8738" xr:uid="{4C264D7F-1C46-4975-8A7E-D1523BE8D7FC}"/>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2 2 2" xfId="23957" xr:uid="{04378299-C178-4684-A7A7-19FFC10D68A0}"/>
    <cellStyle name="20% - Accent1 2 2 2 2 2 2 3" xfId="15516" xr:uid="{C5750A9B-4131-4EF7-85D6-3954C4266DF0}"/>
    <cellStyle name="20% - Accent1 2 2 2 2 2 3" xfId="19739" xr:uid="{06F34965-C8E3-4252-9105-DADF29FD6CC0}"/>
    <cellStyle name="20% - Accent1 2 2 2 2 2 4" xfId="11298" xr:uid="{BC2930AC-A772-403F-BC31-F26F2C8872CC}"/>
    <cellStyle name="20% - Accent1 2 2 2 2 3" xfId="4921" xr:uid="{00000000-0005-0000-0000-000008000000}"/>
    <cellStyle name="20% - Accent1 2 2 2 2 3 2" xfId="21812" xr:uid="{277DB146-AF21-4B72-9A48-6E88D76EC174}"/>
    <cellStyle name="20% - Accent1 2 2 2 2 3 3" xfId="13371" xr:uid="{2BE2A7F3-0EF7-46DA-817B-EFAC8DB2A659}"/>
    <cellStyle name="20% - Accent1 2 2 2 2 4" xfId="17594" xr:uid="{A9538402-29A3-4AEF-BD7A-116DDB394016}"/>
    <cellStyle name="20% - Accent1 2 2 2 2 5" xfId="9153" xr:uid="{98C338C7-1331-4912-9216-307A8DA0EBB8}"/>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2 2 2" xfId="24370" xr:uid="{BC4DC6EE-0175-496E-977D-A3E505D4F5E6}"/>
    <cellStyle name="20% - Accent1 2 2 2 3 2 2 3" xfId="15929" xr:uid="{F94FBFA6-EB4D-4BB8-AB41-3D7E8B1D3D66}"/>
    <cellStyle name="20% - Accent1 2 2 2 3 2 3" xfId="20152" xr:uid="{70DF2E13-6B21-4BFC-82FB-E43B47FD19FE}"/>
    <cellStyle name="20% - Accent1 2 2 2 3 2 4" xfId="11711" xr:uid="{6AD80EE9-CD6A-4CFE-836F-E226BC5AD8CF}"/>
    <cellStyle name="20% - Accent1 2 2 2 3 3" xfId="5334" xr:uid="{00000000-0005-0000-0000-00000C000000}"/>
    <cellStyle name="20% - Accent1 2 2 2 3 3 2" xfId="22225" xr:uid="{046206B5-38A4-433F-AFF3-E8A319E5A542}"/>
    <cellStyle name="20% - Accent1 2 2 2 3 3 3" xfId="13784" xr:uid="{990E6FEC-8EC4-42BB-934F-90E255D48846}"/>
    <cellStyle name="20% - Accent1 2 2 2 3 4" xfId="18007" xr:uid="{AA3BE350-1E34-47BC-9575-44064E53DFF8}"/>
    <cellStyle name="20% - Accent1 2 2 2 3 5" xfId="9566" xr:uid="{6F974D24-D620-467D-87C0-E61E6C6E705D}"/>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2 2 2" xfId="24783" xr:uid="{5C47DDC0-FA99-4D76-BCCF-32E7E44A8820}"/>
    <cellStyle name="20% - Accent1 2 2 2 4 2 2 3" xfId="16342" xr:uid="{5D5E66E3-EA0E-4130-8795-97197FAFDB98}"/>
    <cellStyle name="20% - Accent1 2 2 2 4 2 3" xfId="20565" xr:uid="{4EF5C1AB-05D0-493D-AAB7-201C67EE39CF}"/>
    <cellStyle name="20% - Accent1 2 2 2 4 2 4" xfId="12124" xr:uid="{166D8B61-5E6D-45F3-9BB1-53363BFABF73}"/>
    <cellStyle name="20% - Accent1 2 2 2 4 3" xfId="5747" xr:uid="{00000000-0005-0000-0000-000010000000}"/>
    <cellStyle name="20% - Accent1 2 2 2 4 3 2" xfId="22638" xr:uid="{1705C315-9AC5-4271-94E5-D06F3F882CB6}"/>
    <cellStyle name="20% - Accent1 2 2 2 4 3 3" xfId="14197" xr:uid="{FDD8B32E-24BD-43C2-94E6-FF21C5285DD8}"/>
    <cellStyle name="20% - Accent1 2 2 2 4 4" xfId="18420" xr:uid="{2CDD53F2-E8E3-44A0-82BF-29E3FBE24397}"/>
    <cellStyle name="20% - Accent1 2 2 2 4 5" xfId="9979" xr:uid="{FA974AFF-829B-4298-BAEF-0F34010D0F2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2 2 2" xfId="25196" xr:uid="{6423D82B-34D9-4AC7-ADAE-2B9550F36DF8}"/>
    <cellStyle name="20% - Accent1 2 2 2 5 2 2 3" xfId="16755" xr:uid="{D513EFE6-4A60-4BDA-97EB-9211C424747F}"/>
    <cellStyle name="20% - Accent1 2 2 2 5 2 3" xfId="20978" xr:uid="{3E009DD4-E63F-4D6F-B638-96FA32030EC9}"/>
    <cellStyle name="20% - Accent1 2 2 2 5 2 4" xfId="12537" xr:uid="{CC2DD024-CC55-4EC7-BC52-5103336D7716}"/>
    <cellStyle name="20% - Accent1 2 2 2 5 3" xfId="6160" xr:uid="{00000000-0005-0000-0000-000014000000}"/>
    <cellStyle name="20% - Accent1 2 2 2 5 3 2" xfId="23051" xr:uid="{6D27317F-3F4B-4A09-B827-031F2AF09BD0}"/>
    <cellStyle name="20% - Accent1 2 2 2 5 3 3" xfId="14610" xr:uid="{87E412A4-AEEE-4E6E-9A46-2285B0E73C8C}"/>
    <cellStyle name="20% - Accent1 2 2 2 5 4" xfId="18833" xr:uid="{522C51F0-54D1-4FF8-81A0-D7A133EBFC3D}"/>
    <cellStyle name="20% - Accent1 2 2 2 5 5" xfId="10392" xr:uid="{41B5D0B6-D91F-497A-8BBA-9D6047F376DB}"/>
    <cellStyle name="20% - Accent1 2 2 2 6" xfId="2267" xr:uid="{00000000-0005-0000-0000-000015000000}"/>
    <cellStyle name="20% - Accent1 2 2 2 6 2" xfId="6573" xr:uid="{00000000-0005-0000-0000-000016000000}"/>
    <cellStyle name="20% - Accent1 2 2 2 6 2 2" xfId="23464" xr:uid="{83F36D4E-C2FD-4779-8C34-2906B9338179}"/>
    <cellStyle name="20% - Accent1 2 2 2 6 2 3" xfId="15023" xr:uid="{DD0E6AA8-2097-4C9C-8448-663E455F9B7E}"/>
    <cellStyle name="20% - Accent1 2 2 2 6 3" xfId="19246" xr:uid="{0554D1C8-847F-4E30-B54B-4345A24779C0}"/>
    <cellStyle name="20% - Accent1 2 2 2 6 4" xfId="10805" xr:uid="{22BECD5F-4B70-42FA-8C3B-C0DBFC37F465}"/>
    <cellStyle name="20% - Accent1 2 2 2 7" xfId="4507" xr:uid="{00000000-0005-0000-0000-000017000000}"/>
    <cellStyle name="20% - Accent1 2 2 2 7 2" xfId="21398" xr:uid="{3897D481-EA53-433C-A6C8-9D3E4BEE3FBE}"/>
    <cellStyle name="20% - Accent1 2 2 2 7 3" xfId="12957" xr:uid="{0CCD0164-E96E-4BEE-A1DC-18DB335075AA}"/>
    <cellStyle name="20% - Accent1 2 2 2 8" xfId="17180" xr:uid="{9AA2A5BC-C534-408D-A701-6298FCBF6CFB}"/>
    <cellStyle name="20% - Accent1 2 2 2 9" xfId="8739" xr:uid="{5B1CE7BB-9483-4890-90E5-7973E09A64A8}"/>
    <cellStyle name="20% - Accent1 2 2 3" xfId="572" xr:uid="{00000000-0005-0000-0000-000018000000}"/>
    <cellStyle name="20% - Accent1 2 2 3 2" xfId="2843" xr:uid="{00000000-0005-0000-0000-000019000000}"/>
    <cellStyle name="20% - Accent1 2 2 3 2 2" xfId="7065" xr:uid="{00000000-0005-0000-0000-00001A000000}"/>
    <cellStyle name="20% - Accent1 2 2 3 2 2 2" xfId="23956" xr:uid="{CE0800F3-9BC1-408A-BEDC-748E5FDA65E9}"/>
    <cellStyle name="20% - Accent1 2 2 3 2 2 3" xfId="15515" xr:uid="{FA082A18-4945-4812-B7BD-01BD3578D295}"/>
    <cellStyle name="20% - Accent1 2 2 3 2 3" xfId="19738" xr:uid="{F7527C8A-E059-4019-9848-3BB98CA82F94}"/>
    <cellStyle name="20% - Accent1 2 2 3 2 4" xfId="11297" xr:uid="{98748218-7682-4883-8889-DDCB448A50F2}"/>
    <cellStyle name="20% - Accent1 2 2 3 3" xfId="4920" xr:uid="{00000000-0005-0000-0000-00001B000000}"/>
    <cellStyle name="20% - Accent1 2 2 3 3 2" xfId="21811" xr:uid="{CE19AF51-4304-4E29-B43B-C2664E26F188}"/>
    <cellStyle name="20% - Accent1 2 2 3 3 3" xfId="13370" xr:uid="{E7BE0B98-9D96-45D5-9FBB-EF2A6A3E9A87}"/>
    <cellStyle name="20% - Accent1 2 2 3 4" xfId="17593" xr:uid="{23AE953D-C278-426F-BB55-458A79070DDA}"/>
    <cellStyle name="20% - Accent1 2 2 3 5" xfId="9152" xr:uid="{FF88AC48-35F1-4C0B-8B0B-DEC1D7E3DFAE}"/>
    <cellStyle name="20% - Accent1 2 2 4" xfId="1025" xr:uid="{00000000-0005-0000-0000-00001C000000}"/>
    <cellStyle name="20% - Accent1 2 2 4 2" xfId="3256" xr:uid="{00000000-0005-0000-0000-00001D000000}"/>
    <cellStyle name="20% - Accent1 2 2 4 2 2" xfId="7478" xr:uid="{00000000-0005-0000-0000-00001E000000}"/>
    <cellStyle name="20% - Accent1 2 2 4 2 2 2" xfId="24369" xr:uid="{876AD87E-BC67-44BF-B39C-EB6342EC44C8}"/>
    <cellStyle name="20% - Accent1 2 2 4 2 2 3" xfId="15928" xr:uid="{E2613EEC-70FE-42C7-94D6-C4FB83BCF677}"/>
    <cellStyle name="20% - Accent1 2 2 4 2 3" xfId="20151" xr:uid="{7A784E53-C4AD-4853-91B7-92189786446F}"/>
    <cellStyle name="20% - Accent1 2 2 4 2 4" xfId="11710" xr:uid="{34EAADCC-4C68-42AA-B778-2714DE1993CA}"/>
    <cellStyle name="20% - Accent1 2 2 4 3" xfId="5333" xr:uid="{00000000-0005-0000-0000-00001F000000}"/>
    <cellStyle name="20% - Accent1 2 2 4 3 2" xfId="22224" xr:uid="{379AF926-A882-486D-BD2D-6088C80A6040}"/>
    <cellStyle name="20% - Accent1 2 2 4 3 3" xfId="13783" xr:uid="{8DD3C63D-E8F9-49FA-8F6F-908E9C7FFCD7}"/>
    <cellStyle name="20% - Accent1 2 2 4 4" xfId="18006" xr:uid="{151BA5A4-33E1-4434-B558-09113CA0A95F}"/>
    <cellStyle name="20% - Accent1 2 2 4 5" xfId="9565" xr:uid="{3DDDFB0A-638C-4ECD-8719-9D84DC9A5729}"/>
    <cellStyle name="20% - Accent1 2 2 5" xfId="1439" xr:uid="{00000000-0005-0000-0000-000020000000}"/>
    <cellStyle name="20% - Accent1 2 2 5 2" xfId="3669" xr:uid="{00000000-0005-0000-0000-000021000000}"/>
    <cellStyle name="20% - Accent1 2 2 5 2 2" xfId="7891" xr:uid="{00000000-0005-0000-0000-000022000000}"/>
    <cellStyle name="20% - Accent1 2 2 5 2 2 2" xfId="24782" xr:uid="{91702398-FACD-42EC-A362-7D340795E291}"/>
    <cellStyle name="20% - Accent1 2 2 5 2 2 3" xfId="16341" xr:uid="{D8AA41E3-ABB9-4AB0-BE8A-DA806D73C55C}"/>
    <cellStyle name="20% - Accent1 2 2 5 2 3" xfId="20564" xr:uid="{89A61D26-71C8-40D6-87DD-A139A063AC89}"/>
    <cellStyle name="20% - Accent1 2 2 5 2 4" xfId="12123" xr:uid="{2D68AF85-6368-4B18-B2F7-DCE72C4D65BD}"/>
    <cellStyle name="20% - Accent1 2 2 5 3" xfId="5746" xr:uid="{00000000-0005-0000-0000-000023000000}"/>
    <cellStyle name="20% - Accent1 2 2 5 3 2" xfId="22637" xr:uid="{38F07A2A-24DF-41F9-9538-2DDB2D780D82}"/>
    <cellStyle name="20% - Accent1 2 2 5 3 3" xfId="14196" xr:uid="{58E4AFBA-A05B-467B-B67B-E270B21893FE}"/>
    <cellStyle name="20% - Accent1 2 2 5 4" xfId="18419" xr:uid="{9D293845-4DBE-43F8-A043-B6D45882E87B}"/>
    <cellStyle name="20% - Accent1 2 2 5 5" xfId="9978" xr:uid="{9C891D28-CA79-434D-B02D-F3DE9D0599AB}"/>
    <cellStyle name="20% - Accent1 2 2 6" xfId="1853" xr:uid="{00000000-0005-0000-0000-000024000000}"/>
    <cellStyle name="20% - Accent1 2 2 6 2" xfId="4082" xr:uid="{00000000-0005-0000-0000-000025000000}"/>
    <cellStyle name="20% - Accent1 2 2 6 2 2" xfId="8304" xr:uid="{00000000-0005-0000-0000-000026000000}"/>
    <cellStyle name="20% - Accent1 2 2 6 2 2 2" xfId="25195" xr:uid="{10A48B13-FDAA-4AF9-8D7D-9AF3CCB5C257}"/>
    <cellStyle name="20% - Accent1 2 2 6 2 2 3" xfId="16754" xr:uid="{7B8EE331-81BD-42DE-AD7E-93CF51D815A3}"/>
    <cellStyle name="20% - Accent1 2 2 6 2 3" xfId="20977" xr:uid="{0A91BC61-1DB0-49E0-868D-749FE4B91A5E}"/>
    <cellStyle name="20% - Accent1 2 2 6 2 4" xfId="12536" xr:uid="{B464C685-6AF5-4730-9741-D56F44B34931}"/>
    <cellStyle name="20% - Accent1 2 2 6 3" xfId="6159" xr:uid="{00000000-0005-0000-0000-000027000000}"/>
    <cellStyle name="20% - Accent1 2 2 6 3 2" xfId="23050" xr:uid="{C3B0EA42-D121-4E31-96C9-3732D84EBE0F}"/>
    <cellStyle name="20% - Accent1 2 2 6 3 3" xfId="14609" xr:uid="{BDDADF52-0045-46F2-96E1-EA6663B47CC0}"/>
    <cellStyle name="20% - Accent1 2 2 6 4" xfId="18832" xr:uid="{E53295C1-8ED9-4A55-AD11-B045B5798794}"/>
    <cellStyle name="20% - Accent1 2 2 6 5" xfId="10391" xr:uid="{1CA7A797-09BB-4ED0-89F2-26089028453F}"/>
    <cellStyle name="20% - Accent1 2 2 7" xfId="2266" xr:uid="{00000000-0005-0000-0000-000028000000}"/>
    <cellStyle name="20% - Accent1 2 2 7 2" xfId="6572" xr:uid="{00000000-0005-0000-0000-000029000000}"/>
    <cellStyle name="20% - Accent1 2 2 7 2 2" xfId="23463" xr:uid="{DFB5C1EB-8252-49F3-A069-9B85508BDAC9}"/>
    <cellStyle name="20% - Accent1 2 2 7 2 3" xfId="15022" xr:uid="{8999F050-B547-4603-92C3-DD5DE3A9F8AA}"/>
    <cellStyle name="20% - Accent1 2 2 7 3" xfId="19245" xr:uid="{50C7C5F9-A641-4E1C-9D59-C4F0D162D8B5}"/>
    <cellStyle name="20% - Accent1 2 2 7 4" xfId="10804" xr:uid="{8C0C9602-DC47-4175-9D2A-951047657A92}"/>
    <cellStyle name="20% - Accent1 2 2 8" xfId="4506" xr:uid="{00000000-0005-0000-0000-00002A000000}"/>
    <cellStyle name="20% - Accent1 2 2 8 2" xfId="21397" xr:uid="{EC808CDB-08C7-4E0E-A65E-4C7F98D15B76}"/>
    <cellStyle name="20% - Accent1 2 2 8 3" xfId="12956" xr:uid="{536D6C65-C219-431A-9A12-74174C0D4265}"/>
    <cellStyle name="20% - Accent1 2 2 9" xfId="17179" xr:uid="{99C7146F-0FCE-4BDE-9B14-9BF97CC10D18}"/>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2 2 2" xfId="23958" xr:uid="{7A3A6151-971A-45C4-9F0E-FA9040A3F7C7}"/>
    <cellStyle name="20% - Accent1 2 3 2 2 2 3" xfId="15517" xr:uid="{7B6CA98F-33F8-4939-9DB7-3858A4E5D5F3}"/>
    <cellStyle name="20% - Accent1 2 3 2 2 3" xfId="19740" xr:uid="{3700EA77-30B0-43C7-9F3F-CF29C9E5E979}"/>
    <cellStyle name="20% - Accent1 2 3 2 2 4" xfId="11299" xr:uid="{7F777515-2D32-4C78-9A0D-3FEDD9460F3B}"/>
    <cellStyle name="20% - Accent1 2 3 2 3" xfId="4922" xr:uid="{00000000-0005-0000-0000-00002F000000}"/>
    <cellStyle name="20% - Accent1 2 3 2 3 2" xfId="21813" xr:uid="{20249791-5C97-4035-981F-8C9950785873}"/>
    <cellStyle name="20% - Accent1 2 3 2 3 3" xfId="13372" xr:uid="{197DC5BF-938F-4514-8E54-A32E3D686AF9}"/>
    <cellStyle name="20% - Accent1 2 3 2 4" xfId="17595" xr:uid="{95888C21-7A79-4907-AB05-E6FED0037F3F}"/>
    <cellStyle name="20% - Accent1 2 3 2 5" xfId="9154" xr:uid="{F1D86267-3F32-4FBC-B04F-DE0868AFADFE}"/>
    <cellStyle name="20% - Accent1 2 3 3" xfId="1027" xr:uid="{00000000-0005-0000-0000-000030000000}"/>
    <cellStyle name="20% - Accent1 2 3 3 2" xfId="3258" xr:uid="{00000000-0005-0000-0000-000031000000}"/>
    <cellStyle name="20% - Accent1 2 3 3 2 2" xfId="7480" xr:uid="{00000000-0005-0000-0000-000032000000}"/>
    <cellStyle name="20% - Accent1 2 3 3 2 2 2" xfId="24371" xr:uid="{C0231CB0-76E8-474A-858F-73FBE24F9990}"/>
    <cellStyle name="20% - Accent1 2 3 3 2 2 3" xfId="15930" xr:uid="{7459FC51-34C4-48D5-8ABC-34E5E3A03E24}"/>
    <cellStyle name="20% - Accent1 2 3 3 2 3" xfId="20153" xr:uid="{4720BAEE-DFDA-4DF2-A25C-B6EBD0AF6741}"/>
    <cellStyle name="20% - Accent1 2 3 3 2 4" xfId="11712" xr:uid="{AD9B8CA9-91DF-4F4D-BE29-5FAB12A5151C}"/>
    <cellStyle name="20% - Accent1 2 3 3 3" xfId="5335" xr:uid="{00000000-0005-0000-0000-000033000000}"/>
    <cellStyle name="20% - Accent1 2 3 3 3 2" xfId="22226" xr:uid="{F9A54B13-197D-4BF4-927F-BAA814908255}"/>
    <cellStyle name="20% - Accent1 2 3 3 3 3" xfId="13785" xr:uid="{F835D61B-E401-4D4F-AF4D-D1C91F01C5DB}"/>
    <cellStyle name="20% - Accent1 2 3 3 4" xfId="18008" xr:uid="{ACEE9EB2-BAE9-47FE-B3CE-63C16FC5BD9E}"/>
    <cellStyle name="20% - Accent1 2 3 3 5" xfId="9567" xr:uid="{A1113925-556F-4942-9D79-D9294E233063}"/>
    <cellStyle name="20% - Accent1 2 3 4" xfId="1441" xr:uid="{00000000-0005-0000-0000-000034000000}"/>
    <cellStyle name="20% - Accent1 2 3 4 2" xfId="3671" xr:uid="{00000000-0005-0000-0000-000035000000}"/>
    <cellStyle name="20% - Accent1 2 3 4 2 2" xfId="7893" xr:uid="{00000000-0005-0000-0000-000036000000}"/>
    <cellStyle name="20% - Accent1 2 3 4 2 2 2" xfId="24784" xr:uid="{4B9B4529-2923-48F0-BA75-5C307130B279}"/>
    <cellStyle name="20% - Accent1 2 3 4 2 2 3" xfId="16343" xr:uid="{71DA70FC-576F-4B4E-9A3C-E6BCB5858505}"/>
    <cellStyle name="20% - Accent1 2 3 4 2 3" xfId="20566" xr:uid="{C5BDB0D4-2377-4162-89B5-8E58B6F1B233}"/>
    <cellStyle name="20% - Accent1 2 3 4 2 4" xfId="12125" xr:uid="{83BCC324-8A2D-4BAA-9ECE-5D35447E6144}"/>
    <cellStyle name="20% - Accent1 2 3 4 3" xfId="5748" xr:uid="{00000000-0005-0000-0000-000037000000}"/>
    <cellStyle name="20% - Accent1 2 3 4 3 2" xfId="22639" xr:uid="{E62F98FF-6CDD-411B-B410-3F31717EA1E4}"/>
    <cellStyle name="20% - Accent1 2 3 4 3 3" xfId="14198" xr:uid="{EC075718-9D1D-49F4-AD5D-1A9FED206F27}"/>
    <cellStyle name="20% - Accent1 2 3 4 4" xfId="18421" xr:uid="{FE2A0AC9-BCE6-4B74-A36F-42769B4B5533}"/>
    <cellStyle name="20% - Accent1 2 3 4 5" xfId="9980" xr:uid="{48A5ECA9-1958-45E1-B1F2-FD489D41F2EE}"/>
    <cellStyle name="20% - Accent1 2 3 5" xfId="1855" xr:uid="{00000000-0005-0000-0000-000038000000}"/>
    <cellStyle name="20% - Accent1 2 3 5 2" xfId="4084" xr:uid="{00000000-0005-0000-0000-000039000000}"/>
    <cellStyle name="20% - Accent1 2 3 5 2 2" xfId="8306" xr:uid="{00000000-0005-0000-0000-00003A000000}"/>
    <cellStyle name="20% - Accent1 2 3 5 2 2 2" xfId="25197" xr:uid="{AA52E37A-255E-401A-9D30-F28BE28AE32A}"/>
    <cellStyle name="20% - Accent1 2 3 5 2 2 3" xfId="16756" xr:uid="{09734DE1-165A-41E5-BC73-04AACE455C10}"/>
    <cellStyle name="20% - Accent1 2 3 5 2 3" xfId="20979" xr:uid="{C570B8D7-C72C-414D-AB56-E2C990945623}"/>
    <cellStyle name="20% - Accent1 2 3 5 2 4" xfId="12538" xr:uid="{8F6CFC3F-E20B-4C3E-A367-12AC043BCF4A}"/>
    <cellStyle name="20% - Accent1 2 3 5 3" xfId="6161" xr:uid="{00000000-0005-0000-0000-00003B000000}"/>
    <cellStyle name="20% - Accent1 2 3 5 3 2" xfId="23052" xr:uid="{1D98C3B3-FE50-4EBA-BCA1-99183604F8F3}"/>
    <cellStyle name="20% - Accent1 2 3 5 3 3" xfId="14611" xr:uid="{DF4861A7-569D-4C5F-BA15-77E05EFEA77D}"/>
    <cellStyle name="20% - Accent1 2 3 5 4" xfId="18834" xr:uid="{3D3C9ABD-2257-44B0-B80E-FC96943C8B90}"/>
    <cellStyle name="20% - Accent1 2 3 5 5" xfId="10393" xr:uid="{E1564978-7253-4AA9-8918-634FE9CEE838}"/>
    <cellStyle name="20% - Accent1 2 3 6" xfId="2268" xr:uid="{00000000-0005-0000-0000-00003C000000}"/>
    <cellStyle name="20% - Accent1 2 3 6 2" xfId="6574" xr:uid="{00000000-0005-0000-0000-00003D000000}"/>
    <cellStyle name="20% - Accent1 2 3 6 2 2" xfId="23465" xr:uid="{79E5CE57-AC8B-4343-A15E-A8E2FA8C687A}"/>
    <cellStyle name="20% - Accent1 2 3 6 2 3" xfId="15024" xr:uid="{7850F575-7611-415A-BA53-711EF1BEB72F}"/>
    <cellStyle name="20% - Accent1 2 3 6 3" xfId="19247" xr:uid="{6C3D90E9-B324-49DA-8C29-19089C3DC3CD}"/>
    <cellStyle name="20% - Accent1 2 3 6 4" xfId="10806" xr:uid="{AEC863F6-2141-4851-8707-85DC5A5749FD}"/>
    <cellStyle name="20% - Accent1 2 3 7" xfId="4508" xr:uid="{00000000-0005-0000-0000-00003E000000}"/>
    <cellStyle name="20% - Accent1 2 3 7 2" xfId="21399" xr:uid="{FF2A78E6-23FF-4B71-9308-1EA9997270CD}"/>
    <cellStyle name="20% - Accent1 2 3 7 3" xfId="12958" xr:uid="{2B1790DC-853E-4FCC-BD27-DF6EB0408FD7}"/>
    <cellStyle name="20% - Accent1 2 3 8" xfId="17181" xr:uid="{F20285AC-AE24-4B3D-864B-1CEE2FFBDAEA}"/>
    <cellStyle name="20% - Accent1 2 3 9" xfId="8740" xr:uid="{8ED1A443-E6E1-40B7-8F11-8CBC08FC2A3C}"/>
    <cellStyle name="20% - Accent1 2 4" xfId="571" xr:uid="{00000000-0005-0000-0000-00003F000000}"/>
    <cellStyle name="20% - Accent1 2 4 2" xfId="2842" xr:uid="{00000000-0005-0000-0000-000040000000}"/>
    <cellStyle name="20% - Accent1 2 4 2 2" xfId="7064" xr:uid="{00000000-0005-0000-0000-000041000000}"/>
    <cellStyle name="20% - Accent1 2 4 2 2 2" xfId="23955" xr:uid="{46C7C797-5650-4A79-8148-06DD58623B54}"/>
    <cellStyle name="20% - Accent1 2 4 2 2 3" xfId="15514" xr:uid="{9E591304-4070-476C-BD60-29B25746429A}"/>
    <cellStyle name="20% - Accent1 2 4 2 3" xfId="19737" xr:uid="{227BBB56-D215-4A2A-BCCD-1D6A6E5FD286}"/>
    <cellStyle name="20% - Accent1 2 4 2 4" xfId="11296" xr:uid="{DDB42BC4-8E32-43FF-8504-16114406E6EB}"/>
    <cellStyle name="20% - Accent1 2 4 3" xfId="4919" xr:uid="{00000000-0005-0000-0000-000042000000}"/>
    <cellStyle name="20% - Accent1 2 4 3 2" xfId="21810" xr:uid="{3C163922-43A1-4C7E-8906-A098E8DAD680}"/>
    <cellStyle name="20% - Accent1 2 4 3 3" xfId="13369" xr:uid="{0DA994BC-9D62-4CEB-8302-07BDCB91F63B}"/>
    <cellStyle name="20% - Accent1 2 4 4" xfId="17592" xr:uid="{C048F1D6-777D-40C2-9B83-1588933B78BB}"/>
    <cellStyle name="20% - Accent1 2 4 5" xfId="9151" xr:uid="{9B0C6479-2042-46D3-B657-A1EC05B1436B}"/>
    <cellStyle name="20% - Accent1 2 5" xfId="1024" xr:uid="{00000000-0005-0000-0000-000043000000}"/>
    <cellStyle name="20% - Accent1 2 5 2" xfId="3255" xr:uid="{00000000-0005-0000-0000-000044000000}"/>
    <cellStyle name="20% - Accent1 2 5 2 2" xfId="7477" xr:uid="{00000000-0005-0000-0000-000045000000}"/>
    <cellStyle name="20% - Accent1 2 5 2 2 2" xfId="24368" xr:uid="{4E41B84F-6D38-4D48-9C23-AD668339C296}"/>
    <cellStyle name="20% - Accent1 2 5 2 2 3" xfId="15927" xr:uid="{8FC72253-3882-42EE-9FCE-370466354CA9}"/>
    <cellStyle name="20% - Accent1 2 5 2 3" xfId="20150" xr:uid="{906AD8D4-2DAF-4144-AEE5-196B5A400C0D}"/>
    <cellStyle name="20% - Accent1 2 5 2 4" xfId="11709" xr:uid="{284D3450-446E-4D6C-9564-AA04736CCC13}"/>
    <cellStyle name="20% - Accent1 2 5 3" xfId="5332" xr:uid="{00000000-0005-0000-0000-000046000000}"/>
    <cellStyle name="20% - Accent1 2 5 3 2" xfId="22223" xr:uid="{894D9812-731F-4FF8-A1A7-9DEEF50E2F61}"/>
    <cellStyle name="20% - Accent1 2 5 3 3" xfId="13782" xr:uid="{AA0DA455-D126-466C-9FC7-33BC365C1EFB}"/>
    <cellStyle name="20% - Accent1 2 5 4" xfId="18005" xr:uid="{5032612B-28CB-4A97-9180-8E4C5F1C9EC6}"/>
    <cellStyle name="20% - Accent1 2 5 5" xfId="9564" xr:uid="{D8379B17-DDDF-4C26-BB34-4BE78C5CDE1E}"/>
    <cellStyle name="20% - Accent1 2 6" xfId="1438" xr:uid="{00000000-0005-0000-0000-000047000000}"/>
    <cellStyle name="20% - Accent1 2 6 2" xfId="3668" xr:uid="{00000000-0005-0000-0000-000048000000}"/>
    <cellStyle name="20% - Accent1 2 6 2 2" xfId="7890" xr:uid="{00000000-0005-0000-0000-000049000000}"/>
    <cellStyle name="20% - Accent1 2 6 2 2 2" xfId="24781" xr:uid="{C0DAE5D6-7751-433D-A6BE-83976B9F94E3}"/>
    <cellStyle name="20% - Accent1 2 6 2 2 3" xfId="16340" xr:uid="{36BA360A-F410-431F-B076-5E36FAC5AC99}"/>
    <cellStyle name="20% - Accent1 2 6 2 3" xfId="20563" xr:uid="{FB0B3308-5883-4E33-AA63-CD4DA5DF281F}"/>
    <cellStyle name="20% - Accent1 2 6 2 4" xfId="12122" xr:uid="{14C2110B-E56F-48FD-8A80-72AC2A5232AC}"/>
    <cellStyle name="20% - Accent1 2 6 3" xfId="5745" xr:uid="{00000000-0005-0000-0000-00004A000000}"/>
    <cellStyle name="20% - Accent1 2 6 3 2" xfId="22636" xr:uid="{D38F8B80-0ABF-4BD9-8987-E9D261103B9A}"/>
    <cellStyle name="20% - Accent1 2 6 3 3" xfId="14195" xr:uid="{21C6372F-E258-4DC3-BE0D-FEDC46539CEE}"/>
    <cellStyle name="20% - Accent1 2 6 4" xfId="18418" xr:uid="{8DA3CA44-0CFD-4B2B-A4FE-1A43B3CE43E3}"/>
    <cellStyle name="20% - Accent1 2 6 5" xfId="9977" xr:uid="{03C3C1E3-82A4-4CF0-BF36-E410BCD58A0F}"/>
    <cellStyle name="20% - Accent1 2 7" xfId="1852" xr:uid="{00000000-0005-0000-0000-00004B000000}"/>
    <cellStyle name="20% - Accent1 2 7 2" xfId="4081" xr:uid="{00000000-0005-0000-0000-00004C000000}"/>
    <cellStyle name="20% - Accent1 2 7 2 2" xfId="8303" xr:uid="{00000000-0005-0000-0000-00004D000000}"/>
    <cellStyle name="20% - Accent1 2 7 2 2 2" xfId="25194" xr:uid="{020A66D6-6F0F-4474-B6F8-16C4A8F5089E}"/>
    <cellStyle name="20% - Accent1 2 7 2 2 3" xfId="16753" xr:uid="{F386F06D-5A87-43E4-AE59-CC6235E324C1}"/>
    <cellStyle name="20% - Accent1 2 7 2 3" xfId="20976" xr:uid="{BBE4AA7E-040C-436F-8E89-902AB5367C78}"/>
    <cellStyle name="20% - Accent1 2 7 2 4" xfId="12535" xr:uid="{D1B7AF5F-BC96-492B-858B-372E4DB008E4}"/>
    <cellStyle name="20% - Accent1 2 7 3" xfId="6158" xr:uid="{00000000-0005-0000-0000-00004E000000}"/>
    <cellStyle name="20% - Accent1 2 7 3 2" xfId="23049" xr:uid="{327161A4-339B-49A7-95F5-105B9DE10586}"/>
    <cellStyle name="20% - Accent1 2 7 3 3" xfId="14608" xr:uid="{B7447CBA-68D6-4605-BEB5-F6C0F2870231}"/>
    <cellStyle name="20% - Accent1 2 7 4" xfId="18831" xr:uid="{7998C6A6-1E7C-4DD6-B4BC-61E6557FBD2F}"/>
    <cellStyle name="20% - Accent1 2 7 5" xfId="10390" xr:uid="{42136500-924D-429F-9F63-E0EFA5BF72C7}"/>
    <cellStyle name="20% - Accent1 2 8" xfId="2265" xr:uid="{00000000-0005-0000-0000-00004F000000}"/>
    <cellStyle name="20% - Accent1 2 8 2" xfId="6571" xr:uid="{00000000-0005-0000-0000-000050000000}"/>
    <cellStyle name="20% - Accent1 2 8 2 2" xfId="23462" xr:uid="{B8844D0C-CB91-4BEB-96C1-5C947CDB5197}"/>
    <cellStyle name="20% - Accent1 2 8 2 3" xfId="15021" xr:uid="{538148A1-3C6F-48D5-B0D3-882D2B95E9E7}"/>
    <cellStyle name="20% - Accent1 2 8 3" xfId="19244" xr:uid="{E47B75B7-E4E1-496A-A44F-D2120B2C2D43}"/>
    <cellStyle name="20% - Accent1 2 8 4" xfId="10803" xr:uid="{14E54B91-5391-48FC-A715-1F2FBD4F0B80}"/>
    <cellStyle name="20% - Accent1 2 9" xfId="4505" xr:uid="{00000000-0005-0000-0000-000051000000}"/>
    <cellStyle name="20% - Accent1 2 9 2" xfId="21396" xr:uid="{51F665DA-886B-418B-8664-E82B928E6D41}"/>
    <cellStyle name="20% - Accent1 2 9 3" xfId="12955" xr:uid="{87F7E0E3-0013-43F5-AC73-1FE920B8ED29}"/>
    <cellStyle name="20% - Accent1 3" xfId="6" xr:uid="{00000000-0005-0000-0000-000052000000}"/>
    <cellStyle name="20% - Accent1 3 10" xfId="8741" xr:uid="{C1353F30-A565-4F6E-B99A-A519FDA71682}"/>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2 2 2" xfId="23960" xr:uid="{0C83DD35-630C-4EDD-A9B2-B8C57F23D002}"/>
    <cellStyle name="20% - Accent1 3 2 2 2 2 3" xfId="15519" xr:uid="{F28C1DF8-C626-45F7-BE0A-F856DD2B12FD}"/>
    <cellStyle name="20% - Accent1 3 2 2 2 3" xfId="19742" xr:uid="{E528849D-A082-4C45-A2BE-EC1A4067C61E}"/>
    <cellStyle name="20% - Accent1 3 2 2 2 4" xfId="11301" xr:uid="{B3325A7A-26F1-4ECA-BC0C-20275FE3FFF4}"/>
    <cellStyle name="20% - Accent1 3 2 2 3" xfId="4924" xr:uid="{00000000-0005-0000-0000-000057000000}"/>
    <cellStyle name="20% - Accent1 3 2 2 3 2" xfId="21815" xr:uid="{26DBE54C-8A34-46B1-BF11-C83CE724744E}"/>
    <cellStyle name="20% - Accent1 3 2 2 3 3" xfId="13374" xr:uid="{3C8D467D-12E7-4860-B872-0B686C70A58E}"/>
    <cellStyle name="20% - Accent1 3 2 2 4" xfId="17597" xr:uid="{3676F27D-1862-4036-9E4F-72910B8A6A8F}"/>
    <cellStyle name="20% - Accent1 3 2 2 5" xfId="9156" xr:uid="{CDBCBD35-3CEF-4AF4-B532-0440E7257D4A}"/>
    <cellStyle name="20% - Accent1 3 2 3" xfId="1029" xr:uid="{00000000-0005-0000-0000-000058000000}"/>
    <cellStyle name="20% - Accent1 3 2 3 2" xfId="3260" xr:uid="{00000000-0005-0000-0000-000059000000}"/>
    <cellStyle name="20% - Accent1 3 2 3 2 2" xfId="7482" xr:uid="{00000000-0005-0000-0000-00005A000000}"/>
    <cellStyle name="20% - Accent1 3 2 3 2 2 2" xfId="24373" xr:uid="{503CAB33-7F03-47D3-AFBB-6A82E3445C0C}"/>
    <cellStyle name="20% - Accent1 3 2 3 2 2 3" xfId="15932" xr:uid="{9AA26C27-71E4-40F0-83B5-578818FDB2F1}"/>
    <cellStyle name="20% - Accent1 3 2 3 2 3" xfId="20155" xr:uid="{3CFC2F6C-B71D-49FD-AEC0-5AB132784EEA}"/>
    <cellStyle name="20% - Accent1 3 2 3 2 4" xfId="11714" xr:uid="{EFC7A821-1CB7-4CC4-9524-C28D096A901D}"/>
    <cellStyle name="20% - Accent1 3 2 3 3" xfId="5337" xr:uid="{00000000-0005-0000-0000-00005B000000}"/>
    <cellStyle name="20% - Accent1 3 2 3 3 2" xfId="22228" xr:uid="{1B13672B-CAE4-424B-9EA9-70CCA3B3E493}"/>
    <cellStyle name="20% - Accent1 3 2 3 3 3" xfId="13787" xr:uid="{398E99C9-38F5-48F4-9C1D-F440438E8110}"/>
    <cellStyle name="20% - Accent1 3 2 3 4" xfId="18010" xr:uid="{2463AE7E-E6ED-4C24-A59F-E776DD9C5866}"/>
    <cellStyle name="20% - Accent1 3 2 3 5" xfId="9569" xr:uid="{CFBD39E3-69F3-4FC0-9109-A4A5851F5ED6}"/>
    <cellStyle name="20% - Accent1 3 2 4" xfId="1443" xr:uid="{00000000-0005-0000-0000-00005C000000}"/>
    <cellStyle name="20% - Accent1 3 2 4 2" xfId="3673" xr:uid="{00000000-0005-0000-0000-00005D000000}"/>
    <cellStyle name="20% - Accent1 3 2 4 2 2" xfId="7895" xr:uid="{00000000-0005-0000-0000-00005E000000}"/>
    <cellStyle name="20% - Accent1 3 2 4 2 2 2" xfId="24786" xr:uid="{F6F91A73-57F2-4D89-B0F6-9C18B8975A60}"/>
    <cellStyle name="20% - Accent1 3 2 4 2 2 3" xfId="16345" xr:uid="{3A05E406-4611-46F6-AA41-574E181FA836}"/>
    <cellStyle name="20% - Accent1 3 2 4 2 3" xfId="20568" xr:uid="{58F9952C-E496-427A-8D6B-6FCB9B73BC45}"/>
    <cellStyle name="20% - Accent1 3 2 4 2 4" xfId="12127" xr:uid="{D7E237C8-6D67-49F1-AB6E-B7DB8185C9D0}"/>
    <cellStyle name="20% - Accent1 3 2 4 3" xfId="5750" xr:uid="{00000000-0005-0000-0000-00005F000000}"/>
    <cellStyle name="20% - Accent1 3 2 4 3 2" xfId="22641" xr:uid="{57ABD040-9A07-415D-AD62-23D1ACD871E8}"/>
    <cellStyle name="20% - Accent1 3 2 4 3 3" xfId="14200" xr:uid="{22036FB9-F2D2-4497-BC9B-0AAE1EE68659}"/>
    <cellStyle name="20% - Accent1 3 2 4 4" xfId="18423" xr:uid="{4D6578D3-48F8-4B8D-B14C-F075390FCFA2}"/>
    <cellStyle name="20% - Accent1 3 2 4 5" xfId="9982" xr:uid="{3F06269E-CD08-4454-AE84-8720089F72FE}"/>
    <cellStyle name="20% - Accent1 3 2 5" xfId="1857" xr:uid="{00000000-0005-0000-0000-000060000000}"/>
    <cellStyle name="20% - Accent1 3 2 5 2" xfId="4086" xr:uid="{00000000-0005-0000-0000-000061000000}"/>
    <cellStyle name="20% - Accent1 3 2 5 2 2" xfId="8308" xr:uid="{00000000-0005-0000-0000-000062000000}"/>
    <cellStyle name="20% - Accent1 3 2 5 2 2 2" xfId="25199" xr:uid="{69007501-2FE5-4DBB-92A7-67AF39539D60}"/>
    <cellStyle name="20% - Accent1 3 2 5 2 2 3" xfId="16758" xr:uid="{0196EF66-A8C5-4ABA-B594-C36420BFE975}"/>
    <cellStyle name="20% - Accent1 3 2 5 2 3" xfId="20981" xr:uid="{CA0C7CCC-B631-497C-84E0-04EAB0DF3F3B}"/>
    <cellStyle name="20% - Accent1 3 2 5 2 4" xfId="12540" xr:uid="{6254706F-F4AE-4392-AF73-CC79F21C39FB}"/>
    <cellStyle name="20% - Accent1 3 2 5 3" xfId="6163" xr:uid="{00000000-0005-0000-0000-000063000000}"/>
    <cellStyle name="20% - Accent1 3 2 5 3 2" xfId="23054" xr:uid="{8A8A3CF4-3970-41A0-8D60-D689F87075D6}"/>
    <cellStyle name="20% - Accent1 3 2 5 3 3" xfId="14613" xr:uid="{47434757-E1ED-42DC-BF94-4741ED4E3A4D}"/>
    <cellStyle name="20% - Accent1 3 2 5 4" xfId="18836" xr:uid="{FDF89C76-07EF-480E-9DC8-E2841D62A381}"/>
    <cellStyle name="20% - Accent1 3 2 5 5" xfId="10395" xr:uid="{6D860D8C-F7E3-4E00-BA49-F5B81304E25C}"/>
    <cellStyle name="20% - Accent1 3 2 6" xfId="2270" xr:uid="{00000000-0005-0000-0000-000064000000}"/>
    <cellStyle name="20% - Accent1 3 2 6 2" xfId="6576" xr:uid="{00000000-0005-0000-0000-000065000000}"/>
    <cellStyle name="20% - Accent1 3 2 6 2 2" xfId="23467" xr:uid="{3DE08BE4-B38C-4DC6-A01C-C488557C21A9}"/>
    <cellStyle name="20% - Accent1 3 2 6 2 3" xfId="15026" xr:uid="{C3F5693F-1510-400E-86BA-D3C6BE58BBA4}"/>
    <cellStyle name="20% - Accent1 3 2 6 3" xfId="19249" xr:uid="{A8915222-363E-42A3-954E-859639773505}"/>
    <cellStyle name="20% - Accent1 3 2 6 4" xfId="10808" xr:uid="{19DA287A-CD80-44DF-BF6D-35157B705B97}"/>
    <cellStyle name="20% - Accent1 3 2 7" xfId="4510" xr:uid="{00000000-0005-0000-0000-000066000000}"/>
    <cellStyle name="20% - Accent1 3 2 7 2" xfId="21401" xr:uid="{8E0F6780-51D2-451E-943E-6AE3E0B17D9B}"/>
    <cellStyle name="20% - Accent1 3 2 7 3" xfId="12960" xr:uid="{B4C98302-B832-42A9-90E9-53D4E99CAA91}"/>
    <cellStyle name="20% - Accent1 3 2 8" xfId="17183" xr:uid="{0123711D-5F9E-4281-B8E2-EA1D160750F0}"/>
    <cellStyle name="20% - Accent1 3 2 9" xfId="8742" xr:uid="{8AE126FE-FACA-4984-91B1-BD06F4035C96}"/>
    <cellStyle name="20% - Accent1 3 3" xfId="575" xr:uid="{00000000-0005-0000-0000-000067000000}"/>
    <cellStyle name="20% - Accent1 3 3 2" xfId="2846" xr:uid="{00000000-0005-0000-0000-000068000000}"/>
    <cellStyle name="20% - Accent1 3 3 2 2" xfId="7068" xr:uid="{00000000-0005-0000-0000-000069000000}"/>
    <cellStyle name="20% - Accent1 3 3 2 2 2" xfId="23959" xr:uid="{9219A574-CDB9-4DBD-BD1C-82E5EE951085}"/>
    <cellStyle name="20% - Accent1 3 3 2 2 3" xfId="15518" xr:uid="{705C18CF-CDF8-4F85-955B-B1820DE727BA}"/>
    <cellStyle name="20% - Accent1 3 3 2 3" xfId="19741" xr:uid="{321CB77E-0034-4883-BAD2-307EE9D5A73A}"/>
    <cellStyle name="20% - Accent1 3 3 2 4" xfId="11300" xr:uid="{17BB26AC-1124-4841-8AF4-EFA3311C192D}"/>
    <cellStyle name="20% - Accent1 3 3 3" xfId="4923" xr:uid="{00000000-0005-0000-0000-00006A000000}"/>
    <cellStyle name="20% - Accent1 3 3 3 2" xfId="21814" xr:uid="{27F3BF41-3BA3-4F35-A380-AFEBFA0956D3}"/>
    <cellStyle name="20% - Accent1 3 3 3 3" xfId="13373" xr:uid="{4B9254D9-D443-440E-8B21-7CCEB2F741B3}"/>
    <cellStyle name="20% - Accent1 3 3 4" xfId="17596" xr:uid="{B8B0DA93-9E91-4375-924A-8FEAC4848D1E}"/>
    <cellStyle name="20% - Accent1 3 3 5" xfId="9155" xr:uid="{4905E79A-ED3C-4807-89E7-3607F5E25F74}"/>
    <cellStyle name="20% - Accent1 3 4" xfId="1028" xr:uid="{00000000-0005-0000-0000-00006B000000}"/>
    <cellStyle name="20% - Accent1 3 4 2" xfId="3259" xr:uid="{00000000-0005-0000-0000-00006C000000}"/>
    <cellStyle name="20% - Accent1 3 4 2 2" xfId="7481" xr:uid="{00000000-0005-0000-0000-00006D000000}"/>
    <cellStyle name="20% - Accent1 3 4 2 2 2" xfId="24372" xr:uid="{5C745B09-39B8-495D-9182-CB63D39F9B50}"/>
    <cellStyle name="20% - Accent1 3 4 2 2 3" xfId="15931" xr:uid="{7EC504D2-C989-4BE8-A320-A6807CD0E629}"/>
    <cellStyle name="20% - Accent1 3 4 2 3" xfId="20154" xr:uid="{737CD4EE-B52B-4FB2-845A-F75F6AE5A253}"/>
    <cellStyle name="20% - Accent1 3 4 2 4" xfId="11713" xr:uid="{B897D50F-6EEF-4932-A430-BE6439F67588}"/>
    <cellStyle name="20% - Accent1 3 4 3" xfId="5336" xr:uid="{00000000-0005-0000-0000-00006E000000}"/>
    <cellStyle name="20% - Accent1 3 4 3 2" xfId="22227" xr:uid="{62C6DDD7-48F3-4184-BDC4-1E7EED713A44}"/>
    <cellStyle name="20% - Accent1 3 4 3 3" xfId="13786" xr:uid="{0768F272-5FCC-40A0-9AA2-1918B47849D6}"/>
    <cellStyle name="20% - Accent1 3 4 4" xfId="18009" xr:uid="{ACF1AB41-FEE0-409F-9404-70F8D80D57BC}"/>
    <cellStyle name="20% - Accent1 3 4 5" xfId="9568" xr:uid="{AE2485C8-F278-4C2A-851E-848F37199DE0}"/>
    <cellStyle name="20% - Accent1 3 5" xfId="1442" xr:uid="{00000000-0005-0000-0000-00006F000000}"/>
    <cellStyle name="20% - Accent1 3 5 2" xfId="3672" xr:uid="{00000000-0005-0000-0000-000070000000}"/>
    <cellStyle name="20% - Accent1 3 5 2 2" xfId="7894" xr:uid="{00000000-0005-0000-0000-000071000000}"/>
    <cellStyle name="20% - Accent1 3 5 2 2 2" xfId="24785" xr:uid="{9363DFED-8131-4221-8EFF-413A239484DC}"/>
    <cellStyle name="20% - Accent1 3 5 2 2 3" xfId="16344" xr:uid="{E0C04A86-600B-45A0-B87D-76B008D4EB41}"/>
    <cellStyle name="20% - Accent1 3 5 2 3" xfId="20567" xr:uid="{9A93C87A-750D-4823-95B4-A1A5357FCE79}"/>
    <cellStyle name="20% - Accent1 3 5 2 4" xfId="12126" xr:uid="{0FF06EFC-202C-4261-A179-2A0ED3CC8AB8}"/>
    <cellStyle name="20% - Accent1 3 5 3" xfId="5749" xr:uid="{00000000-0005-0000-0000-000072000000}"/>
    <cellStyle name="20% - Accent1 3 5 3 2" xfId="22640" xr:uid="{E01F9777-F7DC-40E5-AA8E-A79EA6C9F072}"/>
    <cellStyle name="20% - Accent1 3 5 3 3" xfId="14199" xr:uid="{9104C24D-0A6C-4CE4-AE82-6FEFCBEFBCE4}"/>
    <cellStyle name="20% - Accent1 3 5 4" xfId="18422" xr:uid="{8995A62A-8B94-49FF-BF5F-D6FA481F3FC8}"/>
    <cellStyle name="20% - Accent1 3 5 5" xfId="9981" xr:uid="{741F9B06-4243-4A6F-9D6C-542664D4FEA0}"/>
    <cellStyle name="20% - Accent1 3 6" xfId="1856" xr:uid="{00000000-0005-0000-0000-000073000000}"/>
    <cellStyle name="20% - Accent1 3 6 2" xfId="4085" xr:uid="{00000000-0005-0000-0000-000074000000}"/>
    <cellStyle name="20% - Accent1 3 6 2 2" xfId="8307" xr:uid="{00000000-0005-0000-0000-000075000000}"/>
    <cellStyle name="20% - Accent1 3 6 2 2 2" xfId="25198" xr:uid="{9A1FDFD7-E9BE-4853-9037-0D231EE0A46D}"/>
    <cellStyle name="20% - Accent1 3 6 2 2 3" xfId="16757" xr:uid="{E7E880FA-5CCA-47ED-B08B-88A60E593D5D}"/>
    <cellStyle name="20% - Accent1 3 6 2 3" xfId="20980" xr:uid="{D831BDAF-C8E8-49E3-88BD-07A21A5899BA}"/>
    <cellStyle name="20% - Accent1 3 6 2 4" xfId="12539" xr:uid="{FA56F383-A8BC-4DE1-B399-CD20F0986B74}"/>
    <cellStyle name="20% - Accent1 3 6 3" xfId="6162" xr:uid="{00000000-0005-0000-0000-000076000000}"/>
    <cellStyle name="20% - Accent1 3 6 3 2" xfId="23053" xr:uid="{0452F40E-76E8-4AA9-A533-F2990BC0DFFA}"/>
    <cellStyle name="20% - Accent1 3 6 3 3" xfId="14612" xr:uid="{8F063768-0111-4BCE-8635-574BE92F7B43}"/>
    <cellStyle name="20% - Accent1 3 6 4" xfId="18835" xr:uid="{24413062-CA63-4C66-8890-65848B61FD5F}"/>
    <cellStyle name="20% - Accent1 3 6 5" xfId="10394" xr:uid="{0CC91912-59DA-4416-8296-27D1F1B057C6}"/>
    <cellStyle name="20% - Accent1 3 7" xfId="2269" xr:uid="{00000000-0005-0000-0000-000077000000}"/>
    <cellStyle name="20% - Accent1 3 7 2" xfId="6575" xr:uid="{00000000-0005-0000-0000-000078000000}"/>
    <cellStyle name="20% - Accent1 3 7 2 2" xfId="23466" xr:uid="{1C24106E-9221-4323-A3D0-DCB5CF7BFEB8}"/>
    <cellStyle name="20% - Accent1 3 7 2 3" xfId="15025" xr:uid="{0E624B48-4A18-4634-A911-F392FFEF27CC}"/>
    <cellStyle name="20% - Accent1 3 7 3" xfId="19248" xr:uid="{39BD7473-F784-4157-AB6E-16BE23CBBE56}"/>
    <cellStyle name="20% - Accent1 3 7 4" xfId="10807" xr:uid="{35F1F62D-F65B-413F-A753-CC999D65EBC5}"/>
    <cellStyle name="20% - Accent1 3 8" xfId="4509" xr:uid="{00000000-0005-0000-0000-000079000000}"/>
    <cellStyle name="20% - Accent1 3 8 2" xfId="21400" xr:uid="{C5C2767C-17FF-43EF-B272-E5F8B285E807}"/>
    <cellStyle name="20% - Accent1 3 8 3" xfId="12959" xr:uid="{1114831E-B496-41F0-9658-FF827EE21CE9}"/>
    <cellStyle name="20% - Accent1 3 9" xfId="17182" xr:uid="{D89045D0-4627-4054-997D-A2C22822198D}"/>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2 2 2" xfId="23961" xr:uid="{7FDBF443-003A-4B60-BE81-F14678B13832}"/>
    <cellStyle name="20% - Accent1 4 2 2 2 3" xfId="15520" xr:uid="{D2C7719F-D037-4E18-AFD6-4401F044D8B8}"/>
    <cellStyle name="20% - Accent1 4 2 2 3" xfId="19743" xr:uid="{4F92A602-C2AC-4E32-8968-BD63423810C5}"/>
    <cellStyle name="20% - Accent1 4 2 2 4" xfId="11302" xr:uid="{8CC8F640-A640-48EE-91A5-2A198EC8F7A1}"/>
    <cellStyle name="20% - Accent1 4 2 3" xfId="4925" xr:uid="{00000000-0005-0000-0000-00007E000000}"/>
    <cellStyle name="20% - Accent1 4 2 3 2" xfId="21816" xr:uid="{8B922B81-AAC8-45E0-B64C-7A32A82EF57A}"/>
    <cellStyle name="20% - Accent1 4 2 3 3" xfId="13375" xr:uid="{379C5032-561F-43CE-A9E1-10C4BF3C5255}"/>
    <cellStyle name="20% - Accent1 4 2 4" xfId="17598" xr:uid="{B39E1EB2-64E6-4A5D-8612-94136E99670A}"/>
    <cellStyle name="20% - Accent1 4 2 5" xfId="9157" xr:uid="{3F0388A3-37D0-4C60-929A-7F1747C7A9D3}"/>
    <cellStyle name="20% - Accent1 4 3" xfId="1030" xr:uid="{00000000-0005-0000-0000-00007F000000}"/>
    <cellStyle name="20% - Accent1 4 3 2" xfId="3261" xr:uid="{00000000-0005-0000-0000-000080000000}"/>
    <cellStyle name="20% - Accent1 4 3 2 2" xfId="7483" xr:uid="{00000000-0005-0000-0000-000081000000}"/>
    <cellStyle name="20% - Accent1 4 3 2 2 2" xfId="24374" xr:uid="{CB981E30-1D7C-413F-A2E7-0138B76674B4}"/>
    <cellStyle name="20% - Accent1 4 3 2 2 3" xfId="15933" xr:uid="{F642BE98-ECA2-4FE3-AD76-814D1C5092DB}"/>
    <cellStyle name="20% - Accent1 4 3 2 3" xfId="20156" xr:uid="{5D76B7F5-299B-45B9-A1CE-2DBED2F1AD6B}"/>
    <cellStyle name="20% - Accent1 4 3 2 4" xfId="11715" xr:uid="{C2548505-C7DF-4BBA-820C-EF33BDD06123}"/>
    <cellStyle name="20% - Accent1 4 3 3" xfId="5338" xr:uid="{00000000-0005-0000-0000-000082000000}"/>
    <cellStyle name="20% - Accent1 4 3 3 2" xfId="22229" xr:uid="{61EB9BC2-AD22-458D-993C-E0B359CBC56F}"/>
    <cellStyle name="20% - Accent1 4 3 3 3" xfId="13788" xr:uid="{B1E61F37-A7EB-444E-A047-66DF0953A8B1}"/>
    <cellStyle name="20% - Accent1 4 3 4" xfId="18011" xr:uid="{939187FB-7EFE-495C-8B31-BFEDF9355936}"/>
    <cellStyle name="20% - Accent1 4 3 5" xfId="9570" xr:uid="{DB0ADFD5-41C1-4BC5-A828-E665D29D360C}"/>
    <cellStyle name="20% - Accent1 4 4" xfId="1444" xr:uid="{00000000-0005-0000-0000-000083000000}"/>
    <cellStyle name="20% - Accent1 4 4 2" xfId="3674" xr:uid="{00000000-0005-0000-0000-000084000000}"/>
    <cellStyle name="20% - Accent1 4 4 2 2" xfId="7896" xr:uid="{00000000-0005-0000-0000-000085000000}"/>
    <cellStyle name="20% - Accent1 4 4 2 2 2" xfId="24787" xr:uid="{48B41777-576B-43B1-973A-3EA077E4AD76}"/>
    <cellStyle name="20% - Accent1 4 4 2 2 3" xfId="16346" xr:uid="{13F633A5-A1C4-4DDC-806D-C8A124CF9A87}"/>
    <cellStyle name="20% - Accent1 4 4 2 3" xfId="20569" xr:uid="{CE77ABC4-E923-42CB-BDD1-BA4908974559}"/>
    <cellStyle name="20% - Accent1 4 4 2 4" xfId="12128" xr:uid="{8049D232-ABB3-4CEC-8D14-8A82A670E25B}"/>
    <cellStyle name="20% - Accent1 4 4 3" xfId="5751" xr:uid="{00000000-0005-0000-0000-000086000000}"/>
    <cellStyle name="20% - Accent1 4 4 3 2" xfId="22642" xr:uid="{46F006A0-520B-4136-9353-140F79CF3989}"/>
    <cellStyle name="20% - Accent1 4 4 3 3" xfId="14201" xr:uid="{5731CE8F-42EC-4619-9AAF-DE667215598A}"/>
    <cellStyle name="20% - Accent1 4 4 4" xfId="18424" xr:uid="{F49311CD-FFC8-46B5-AB2B-133B449A4158}"/>
    <cellStyle name="20% - Accent1 4 4 5" xfId="9983" xr:uid="{8FFA8FCB-E159-4E4E-8AFC-31ACE11B12F6}"/>
    <cellStyle name="20% - Accent1 4 5" xfId="1858" xr:uid="{00000000-0005-0000-0000-000087000000}"/>
    <cellStyle name="20% - Accent1 4 5 2" xfId="4087" xr:uid="{00000000-0005-0000-0000-000088000000}"/>
    <cellStyle name="20% - Accent1 4 5 2 2" xfId="8309" xr:uid="{00000000-0005-0000-0000-000089000000}"/>
    <cellStyle name="20% - Accent1 4 5 2 2 2" xfId="25200" xr:uid="{79AD82FF-563E-4729-94FD-B71A4FFF3751}"/>
    <cellStyle name="20% - Accent1 4 5 2 2 3" xfId="16759" xr:uid="{C5D1D3BF-43CD-42FA-9F9E-6363DA944B8B}"/>
    <cellStyle name="20% - Accent1 4 5 2 3" xfId="20982" xr:uid="{AF7ECAEA-F79A-429F-AA2A-771D64B385EB}"/>
    <cellStyle name="20% - Accent1 4 5 2 4" xfId="12541" xr:uid="{2130FA14-2EA7-43B6-B0C1-28B868E36F5F}"/>
    <cellStyle name="20% - Accent1 4 5 3" xfId="6164" xr:uid="{00000000-0005-0000-0000-00008A000000}"/>
    <cellStyle name="20% - Accent1 4 5 3 2" xfId="23055" xr:uid="{429C2AE4-ECD3-4ADD-BD23-FD05784E6189}"/>
    <cellStyle name="20% - Accent1 4 5 3 3" xfId="14614" xr:uid="{7678EAAB-BF6A-42B9-AAD3-F755D8FC04F6}"/>
    <cellStyle name="20% - Accent1 4 5 4" xfId="18837" xr:uid="{B2D10B23-9CC7-4E39-8731-A9F417CD135D}"/>
    <cellStyle name="20% - Accent1 4 5 5" xfId="10396" xr:uid="{5AE9281C-9041-4D57-8F92-CB6B6DA0EC05}"/>
    <cellStyle name="20% - Accent1 4 6" xfId="2271" xr:uid="{00000000-0005-0000-0000-00008B000000}"/>
    <cellStyle name="20% - Accent1 4 6 2" xfId="6577" xr:uid="{00000000-0005-0000-0000-00008C000000}"/>
    <cellStyle name="20% - Accent1 4 6 2 2" xfId="23468" xr:uid="{A57D83EB-1619-4E72-B8D6-6D33DE29FAA7}"/>
    <cellStyle name="20% - Accent1 4 6 2 3" xfId="15027" xr:uid="{C62A88C6-9507-4B1C-B78C-7E639124998F}"/>
    <cellStyle name="20% - Accent1 4 6 3" xfId="19250" xr:uid="{0FFD47EB-EF8D-490D-97A9-B058076FD5FB}"/>
    <cellStyle name="20% - Accent1 4 6 4" xfId="10809" xr:uid="{362957DF-3BEA-4BEC-A8D4-AB4705058CF2}"/>
    <cellStyle name="20% - Accent1 4 7" xfId="4511" xr:uid="{00000000-0005-0000-0000-00008D000000}"/>
    <cellStyle name="20% - Accent1 4 7 2" xfId="21402" xr:uid="{1C51B630-E91D-45D4-B5C6-A8D09EC5D805}"/>
    <cellStyle name="20% - Accent1 4 7 3" xfId="12961" xr:uid="{5559083C-0A0D-46A7-BBC7-FA05E06E3C41}"/>
    <cellStyle name="20% - Accent1 4 8" xfId="17184" xr:uid="{1E1087A1-EA9D-4D85-8F01-2AAC9C4E51A2}"/>
    <cellStyle name="20% - Accent1 4 9" xfId="8743" xr:uid="{B88069FB-F4F3-4F11-9CD0-2F5CF3A5D43C}"/>
    <cellStyle name="20% - Accent1 5" xfId="570" xr:uid="{00000000-0005-0000-0000-00008E000000}"/>
    <cellStyle name="20% - Accent1 5 2" xfId="2841" xr:uid="{00000000-0005-0000-0000-00008F000000}"/>
    <cellStyle name="20% - Accent1 5 2 2" xfId="7063" xr:uid="{00000000-0005-0000-0000-000090000000}"/>
    <cellStyle name="20% - Accent1 5 2 2 2" xfId="23954" xr:uid="{A5DB111E-DEAC-4ADA-86BF-4E1DE6B64D46}"/>
    <cellStyle name="20% - Accent1 5 2 2 3" xfId="15513" xr:uid="{6524DD2A-BC74-466C-B7FA-B3484ADE4C6E}"/>
    <cellStyle name="20% - Accent1 5 2 3" xfId="19736" xr:uid="{54ED65D7-A3AC-42F4-8672-BCCB5A775FAE}"/>
    <cellStyle name="20% - Accent1 5 2 4" xfId="11295" xr:uid="{83C09C05-721F-43E4-9FA0-9F6FCF074B40}"/>
    <cellStyle name="20% - Accent1 5 3" xfId="4918" xr:uid="{00000000-0005-0000-0000-000091000000}"/>
    <cellStyle name="20% - Accent1 5 3 2" xfId="21809" xr:uid="{C392CE3F-B512-470A-923F-4047AC045873}"/>
    <cellStyle name="20% - Accent1 5 3 3" xfId="13368" xr:uid="{D75481D1-BC4C-43E3-AE07-041E8B9B3B4F}"/>
    <cellStyle name="20% - Accent1 5 4" xfId="17591" xr:uid="{E70357C4-7694-4EA7-B6F4-A85FC46C3F27}"/>
    <cellStyle name="20% - Accent1 5 5" xfId="9150" xr:uid="{821DFC3E-EC3B-45EA-A2BF-6B15B4512FC8}"/>
    <cellStyle name="20% - Accent1 6" xfId="1023" xr:uid="{00000000-0005-0000-0000-000092000000}"/>
    <cellStyle name="20% - Accent1 6 2" xfId="3254" xr:uid="{00000000-0005-0000-0000-000093000000}"/>
    <cellStyle name="20% - Accent1 6 2 2" xfId="7476" xr:uid="{00000000-0005-0000-0000-000094000000}"/>
    <cellStyle name="20% - Accent1 6 2 2 2" xfId="24367" xr:uid="{73AA4895-3CCB-4E4E-B3CE-C093B9CD1C83}"/>
    <cellStyle name="20% - Accent1 6 2 2 3" xfId="15926" xr:uid="{9AE1F2DB-D435-4222-9EC0-3A939DB7D21C}"/>
    <cellStyle name="20% - Accent1 6 2 3" xfId="20149" xr:uid="{277EC2B5-E775-4BC1-9A9F-9A79E102488B}"/>
    <cellStyle name="20% - Accent1 6 2 4" xfId="11708" xr:uid="{1E1ECAF3-2CAD-43EF-9F8B-C308360F711C}"/>
    <cellStyle name="20% - Accent1 6 3" xfId="5331" xr:uid="{00000000-0005-0000-0000-000095000000}"/>
    <cellStyle name="20% - Accent1 6 3 2" xfId="22222" xr:uid="{6171D59E-D7FB-48A7-B8D5-9E4678E0ECD2}"/>
    <cellStyle name="20% - Accent1 6 3 3" xfId="13781" xr:uid="{7A7E69C1-5B5E-49A4-9009-2384DEB1A806}"/>
    <cellStyle name="20% - Accent1 6 4" xfId="18004" xr:uid="{B2DC5FE0-C009-4676-9EE9-6EFE1F4D2433}"/>
    <cellStyle name="20% - Accent1 6 5" xfId="9563" xr:uid="{509E5A7F-8771-4AFF-AD91-49B058C6D1C9}"/>
    <cellStyle name="20% - Accent1 7" xfId="1437" xr:uid="{00000000-0005-0000-0000-000096000000}"/>
    <cellStyle name="20% - Accent1 7 2" xfId="3667" xr:uid="{00000000-0005-0000-0000-000097000000}"/>
    <cellStyle name="20% - Accent1 7 2 2" xfId="7889" xr:uid="{00000000-0005-0000-0000-000098000000}"/>
    <cellStyle name="20% - Accent1 7 2 2 2" xfId="24780" xr:uid="{C1EC3BBE-877E-48A3-A528-E000099E84E5}"/>
    <cellStyle name="20% - Accent1 7 2 2 3" xfId="16339" xr:uid="{FD8022D6-9C2D-42A1-971E-46698BAEE0A3}"/>
    <cellStyle name="20% - Accent1 7 2 3" xfId="20562" xr:uid="{B75A3F1B-DE8A-4253-B990-17FD858D38C0}"/>
    <cellStyle name="20% - Accent1 7 2 4" xfId="12121" xr:uid="{BA141807-8041-4809-B712-F98DF255A9B6}"/>
    <cellStyle name="20% - Accent1 7 3" xfId="5744" xr:uid="{00000000-0005-0000-0000-000099000000}"/>
    <cellStyle name="20% - Accent1 7 3 2" xfId="22635" xr:uid="{1230C618-FD15-482D-AB3E-647A60812DD7}"/>
    <cellStyle name="20% - Accent1 7 3 3" xfId="14194" xr:uid="{C36F8C3B-44A7-40C4-92C8-CBD9A460CB0C}"/>
    <cellStyle name="20% - Accent1 7 4" xfId="18417" xr:uid="{7E7A42C7-3283-438E-9DF4-1D907CC4E999}"/>
    <cellStyle name="20% - Accent1 7 5" xfId="9976" xr:uid="{6C6DBD6C-6A22-4929-9908-061D9F2CBA7B}"/>
    <cellStyle name="20% - Accent1 8" xfId="1851" xr:uid="{00000000-0005-0000-0000-00009A000000}"/>
    <cellStyle name="20% - Accent1 8 2" xfId="4080" xr:uid="{00000000-0005-0000-0000-00009B000000}"/>
    <cellStyle name="20% - Accent1 8 2 2" xfId="8302" xr:uid="{00000000-0005-0000-0000-00009C000000}"/>
    <cellStyle name="20% - Accent1 8 2 2 2" xfId="25193" xr:uid="{1C3A6A08-058E-4F14-851C-BC57B5A62FCD}"/>
    <cellStyle name="20% - Accent1 8 2 2 3" xfId="16752" xr:uid="{456ED480-5684-47DF-9203-D806306B7CDD}"/>
    <cellStyle name="20% - Accent1 8 2 3" xfId="20975" xr:uid="{317D03B1-148A-40D2-8688-6476BE0D539E}"/>
    <cellStyle name="20% - Accent1 8 2 4" xfId="12534" xr:uid="{9BB8B467-CAFA-401C-9548-157685086CD0}"/>
    <cellStyle name="20% - Accent1 8 3" xfId="6157" xr:uid="{00000000-0005-0000-0000-00009D000000}"/>
    <cellStyle name="20% - Accent1 8 3 2" xfId="23048" xr:uid="{D4105057-15B9-4F26-B10D-C8C60BC6BE4C}"/>
    <cellStyle name="20% - Accent1 8 3 3" xfId="14607" xr:uid="{2979ABA9-B1AE-4EA1-BC71-5B9C9002957B}"/>
    <cellStyle name="20% - Accent1 8 4" xfId="18830" xr:uid="{931F4674-94B6-4974-89F7-AD8F5F5AF67B}"/>
    <cellStyle name="20% - Accent1 8 5" xfId="10389" xr:uid="{B21BDE76-7D17-489F-AA5A-82E92C2095E5}"/>
    <cellStyle name="20% - Accent1 9" xfId="2264" xr:uid="{00000000-0005-0000-0000-00009E000000}"/>
    <cellStyle name="20% - Accent1 9 2" xfId="6570" xr:uid="{00000000-0005-0000-0000-00009F000000}"/>
    <cellStyle name="20% - Accent1 9 2 2" xfId="23461" xr:uid="{83CD712D-5CF0-4A37-B8B2-2C3539F7F9AE}"/>
    <cellStyle name="20% - Accent1 9 2 3" xfId="15020" xr:uid="{AD2149AD-0100-426F-95AD-5DCEF2630B0E}"/>
    <cellStyle name="20% - Accent1 9 3" xfId="19243" xr:uid="{111A3D05-2D72-4984-A479-2709F374D596}"/>
    <cellStyle name="20% - Accent1 9 4" xfId="10802" xr:uid="{4601BE73-761F-4905-839C-537A1C0CB883}"/>
    <cellStyle name="20% - Accent2" xfId="9" builtinId="34" customBuiltin="1"/>
    <cellStyle name="20% - Accent2 10" xfId="4512" xr:uid="{00000000-0005-0000-0000-0000A1000000}"/>
    <cellStyle name="20% - Accent2 10 2" xfId="21403" xr:uid="{EDA7F985-D1C3-47C7-916C-9919910040C0}"/>
    <cellStyle name="20% - Accent2 10 3" xfId="12962" xr:uid="{17DC77C8-3E6D-42D2-8669-A753308EDCA9}"/>
    <cellStyle name="20% - Accent2 11" xfId="17185" xr:uid="{C40BF59B-E198-4334-A35C-4432A5625AFD}"/>
    <cellStyle name="20% - Accent2 12" xfId="8744" xr:uid="{C50180FD-CE80-4C43-BE38-EEB16FD05A5A}"/>
    <cellStyle name="20% - Accent2 2" xfId="10" xr:uid="{00000000-0005-0000-0000-0000A2000000}"/>
    <cellStyle name="20% - Accent2 2 10" xfId="17186" xr:uid="{35D31349-426C-4F7A-97B5-8B90A4B7B27D}"/>
    <cellStyle name="20% - Accent2 2 11" xfId="8745" xr:uid="{485F8A70-88D4-43B1-A9E7-7C99A1CCD697}"/>
    <cellStyle name="20% - Accent2 2 2" xfId="11" xr:uid="{00000000-0005-0000-0000-0000A3000000}"/>
    <cellStyle name="20% - Accent2 2 2 10" xfId="8746" xr:uid="{CADAA284-3F55-417A-AE02-B435571F7BC5}"/>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2 2 2" xfId="23965" xr:uid="{D6AD783B-5C37-45AD-9DDD-A6BD7378764D}"/>
    <cellStyle name="20% - Accent2 2 2 2 2 2 2 3" xfId="15524" xr:uid="{8C71442A-84AF-494F-A8F2-5D00A947AC50}"/>
    <cellStyle name="20% - Accent2 2 2 2 2 2 3" xfId="19747" xr:uid="{9F3AF46D-26C4-49EE-83A9-A6497BCF213C}"/>
    <cellStyle name="20% - Accent2 2 2 2 2 2 4" xfId="11306" xr:uid="{91BBE678-B7D4-4BE3-98F0-79EA02161E78}"/>
    <cellStyle name="20% - Accent2 2 2 2 2 3" xfId="4929" xr:uid="{00000000-0005-0000-0000-0000A8000000}"/>
    <cellStyle name="20% - Accent2 2 2 2 2 3 2" xfId="21820" xr:uid="{846CE0FB-4D10-46ED-8D39-A17A28FC7DE3}"/>
    <cellStyle name="20% - Accent2 2 2 2 2 3 3" xfId="13379" xr:uid="{36441BBA-16D5-496D-A0DC-CDFC28F3069F}"/>
    <cellStyle name="20% - Accent2 2 2 2 2 4" xfId="17602" xr:uid="{918A99A1-9D12-470B-A849-A3CDD78BFC1C}"/>
    <cellStyle name="20% - Accent2 2 2 2 2 5" xfId="9161" xr:uid="{47907031-3B1F-4592-92AC-1DE23387C744}"/>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2 2 2" xfId="24378" xr:uid="{B854DDE3-033C-47DC-8B4F-8570C061F79C}"/>
    <cellStyle name="20% - Accent2 2 2 2 3 2 2 3" xfId="15937" xr:uid="{570FBC95-A5EA-4E49-8EB4-5F17659067DA}"/>
    <cellStyle name="20% - Accent2 2 2 2 3 2 3" xfId="20160" xr:uid="{69C26D17-62AB-438F-BFE3-012CA42A2A70}"/>
    <cellStyle name="20% - Accent2 2 2 2 3 2 4" xfId="11719" xr:uid="{4694115D-3AD7-4DA8-8516-4DAA65039660}"/>
    <cellStyle name="20% - Accent2 2 2 2 3 3" xfId="5342" xr:uid="{00000000-0005-0000-0000-0000AC000000}"/>
    <cellStyle name="20% - Accent2 2 2 2 3 3 2" xfId="22233" xr:uid="{66946C27-8FB3-40F9-957E-BCE13152E428}"/>
    <cellStyle name="20% - Accent2 2 2 2 3 3 3" xfId="13792" xr:uid="{531FB0F2-D70F-49B8-953D-C4EE5DFAF56C}"/>
    <cellStyle name="20% - Accent2 2 2 2 3 4" xfId="18015" xr:uid="{69D32A19-5E8A-41A5-A2F3-98DBA04E3C2D}"/>
    <cellStyle name="20% - Accent2 2 2 2 3 5" xfId="9574" xr:uid="{31EFD9A8-41A9-4B45-85DD-61CDB0A45199}"/>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2 2 2" xfId="24791" xr:uid="{2512FAB8-EC96-4B71-9755-48FB43BEE97F}"/>
    <cellStyle name="20% - Accent2 2 2 2 4 2 2 3" xfId="16350" xr:uid="{2CE407B1-EBC8-41D2-B61A-B8F6E261F022}"/>
    <cellStyle name="20% - Accent2 2 2 2 4 2 3" xfId="20573" xr:uid="{B9B79AE8-956A-44B3-8BD5-7C8C117DE3CF}"/>
    <cellStyle name="20% - Accent2 2 2 2 4 2 4" xfId="12132" xr:uid="{B7E617F6-890D-4C44-84B3-569AF84F5B77}"/>
    <cellStyle name="20% - Accent2 2 2 2 4 3" xfId="5755" xr:uid="{00000000-0005-0000-0000-0000B0000000}"/>
    <cellStyle name="20% - Accent2 2 2 2 4 3 2" xfId="22646" xr:uid="{BDE8BE06-1A6D-4347-809F-5E07317A72B0}"/>
    <cellStyle name="20% - Accent2 2 2 2 4 3 3" xfId="14205" xr:uid="{2524117D-F67F-4D67-B252-CF783F8ED8E7}"/>
    <cellStyle name="20% - Accent2 2 2 2 4 4" xfId="18428" xr:uid="{7389376F-568D-4C51-8C80-4D596FCCC4DF}"/>
    <cellStyle name="20% - Accent2 2 2 2 4 5" xfId="9987" xr:uid="{6768D109-A6EC-46C3-A0E3-C57EA6FE5514}"/>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2 2 2" xfId="25204" xr:uid="{02690055-6E30-4D09-8620-DD5DA319A0A8}"/>
    <cellStyle name="20% - Accent2 2 2 2 5 2 2 3" xfId="16763" xr:uid="{84237541-1182-4360-A9A6-B7F537DFA233}"/>
    <cellStyle name="20% - Accent2 2 2 2 5 2 3" xfId="20986" xr:uid="{ACCC0ACF-1B36-4B38-9C36-5395EC562734}"/>
    <cellStyle name="20% - Accent2 2 2 2 5 2 4" xfId="12545" xr:uid="{74DAC7F2-B6A5-4E29-AA99-D9E65527F66E}"/>
    <cellStyle name="20% - Accent2 2 2 2 5 3" xfId="6168" xr:uid="{00000000-0005-0000-0000-0000B4000000}"/>
    <cellStyle name="20% - Accent2 2 2 2 5 3 2" xfId="23059" xr:uid="{B41516F7-B3B7-456E-80E7-FDB425A7A28A}"/>
    <cellStyle name="20% - Accent2 2 2 2 5 3 3" xfId="14618" xr:uid="{C188F9FD-91C4-472C-87DD-7E69B7C688DB}"/>
    <cellStyle name="20% - Accent2 2 2 2 5 4" xfId="18841" xr:uid="{A3FC0DD3-66D9-4C5E-8484-E982A8E71378}"/>
    <cellStyle name="20% - Accent2 2 2 2 5 5" xfId="10400" xr:uid="{C7738890-CBAF-4077-90E4-10BF3AE09586}"/>
    <cellStyle name="20% - Accent2 2 2 2 6" xfId="2275" xr:uid="{00000000-0005-0000-0000-0000B5000000}"/>
    <cellStyle name="20% - Accent2 2 2 2 6 2" xfId="6581" xr:uid="{00000000-0005-0000-0000-0000B6000000}"/>
    <cellStyle name="20% - Accent2 2 2 2 6 2 2" xfId="23472" xr:uid="{1D9767F5-EE13-4411-BE96-8297733FEAB0}"/>
    <cellStyle name="20% - Accent2 2 2 2 6 2 3" xfId="15031" xr:uid="{09EC7BAD-D455-4E4D-813B-497FB4979004}"/>
    <cellStyle name="20% - Accent2 2 2 2 6 3" xfId="19254" xr:uid="{C2802269-F52F-4CA8-9366-2A2C2C614140}"/>
    <cellStyle name="20% - Accent2 2 2 2 6 4" xfId="10813" xr:uid="{C7F22A09-339D-4EF0-A02E-CA79F16ADCAB}"/>
    <cellStyle name="20% - Accent2 2 2 2 7" xfId="4515" xr:uid="{00000000-0005-0000-0000-0000B7000000}"/>
    <cellStyle name="20% - Accent2 2 2 2 7 2" xfId="21406" xr:uid="{4307842A-C267-4B4E-BB5A-A7257AE315C3}"/>
    <cellStyle name="20% - Accent2 2 2 2 7 3" xfId="12965" xr:uid="{88F3D79F-0399-4FD9-ACE3-C0875333989E}"/>
    <cellStyle name="20% - Accent2 2 2 2 8" xfId="17188" xr:uid="{4B516E4F-71FA-4FDA-BFFC-ED0108C7285E}"/>
    <cellStyle name="20% - Accent2 2 2 2 9" xfId="8747" xr:uid="{8C590469-2045-4FF3-8D80-2DC77239DD9B}"/>
    <cellStyle name="20% - Accent2 2 2 3" xfId="580" xr:uid="{00000000-0005-0000-0000-0000B8000000}"/>
    <cellStyle name="20% - Accent2 2 2 3 2" xfId="2851" xr:uid="{00000000-0005-0000-0000-0000B9000000}"/>
    <cellStyle name="20% - Accent2 2 2 3 2 2" xfId="7073" xr:uid="{00000000-0005-0000-0000-0000BA000000}"/>
    <cellStyle name="20% - Accent2 2 2 3 2 2 2" xfId="23964" xr:uid="{B054A7DD-5B20-4213-9835-AC643DA4B340}"/>
    <cellStyle name="20% - Accent2 2 2 3 2 2 3" xfId="15523" xr:uid="{342D2939-3593-4CC3-8FDE-27A669AE4659}"/>
    <cellStyle name="20% - Accent2 2 2 3 2 3" xfId="19746" xr:uid="{8A15A2B5-A50C-4B35-8978-7466506F937E}"/>
    <cellStyle name="20% - Accent2 2 2 3 2 4" xfId="11305" xr:uid="{B4A85329-E986-48BF-837E-EF412BA52D46}"/>
    <cellStyle name="20% - Accent2 2 2 3 3" xfId="4928" xr:uid="{00000000-0005-0000-0000-0000BB000000}"/>
    <cellStyle name="20% - Accent2 2 2 3 3 2" xfId="21819" xr:uid="{6C9D99B6-6300-4539-949B-30280966448B}"/>
    <cellStyle name="20% - Accent2 2 2 3 3 3" xfId="13378" xr:uid="{C1593051-E99F-4A82-86D6-0A796BC2C5F5}"/>
    <cellStyle name="20% - Accent2 2 2 3 4" xfId="17601" xr:uid="{8069EF58-C44E-42D9-A9A6-5D14BB02914F}"/>
    <cellStyle name="20% - Accent2 2 2 3 5" xfId="9160" xr:uid="{6558D67D-3D18-407A-9391-53061B3C13E4}"/>
    <cellStyle name="20% - Accent2 2 2 4" xfId="1033" xr:uid="{00000000-0005-0000-0000-0000BC000000}"/>
    <cellStyle name="20% - Accent2 2 2 4 2" xfId="3264" xr:uid="{00000000-0005-0000-0000-0000BD000000}"/>
    <cellStyle name="20% - Accent2 2 2 4 2 2" xfId="7486" xr:uid="{00000000-0005-0000-0000-0000BE000000}"/>
    <cellStyle name="20% - Accent2 2 2 4 2 2 2" xfId="24377" xr:uid="{DE5E963E-3BBF-4C48-AF6F-9ED07EF58AF1}"/>
    <cellStyle name="20% - Accent2 2 2 4 2 2 3" xfId="15936" xr:uid="{96D65FF1-CFC3-484C-9980-AE19E1785BC6}"/>
    <cellStyle name="20% - Accent2 2 2 4 2 3" xfId="20159" xr:uid="{AE94DF32-614C-4C3F-8735-7569E9005BBD}"/>
    <cellStyle name="20% - Accent2 2 2 4 2 4" xfId="11718" xr:uid="{5B59478F-FEBF-4CC7-A9C4-80CEF3050AB5}"/>
    <cellStyle name="20% - Accent2 2 2 4 3" xfId="5341" xr:uid="{00000000-0005-0000-0000-0000BF000000}"/>
    <cellStyle name="20% - Accent2 2 2 4 3 2" xfId="22232" xr:uid="{8605642F-18E9-4FBD-BDBC-089479326D60}"/>
    <cellStyle name="20% - Accent2 2 2 4 3 3" xfId="13791" xr:uid="{15D1C000-AC81-4A90-8149-79B083B56E82}"/>
    <cellStyle name="20% - Accent2 2 2 4 4" xfId="18014" xr:uid="{3E68CBC7-6122-44A0-8600-81AA0A048CE7}"/>
    <cellStyle name="20% - Accent2 2 2 4 5" xfId="9573" xr:uid="{B71B3EF2-4C98-48EB-A1E3-F0BD88133A16}"/>
    <cellStyle name="20% - Accent2 2 2 5" xfId="1447" xr:uid="{00000000-0005-0000-0000-0000C0000000}"/>
    <cellStyle name="20% - Accent2 2 2 5 2" xfId="3677" xr:uid="{00000000-0005-0000-0000-0000C1000000}"/>
    <cellStyle name="20% - Accent2 2 2 5 2 2" xfId="7899" xr:uid="{00000000-0005-0000-0000-0000C2000000}"/>
    <cellStyle name="20% - Accent2 2 2 5 2 2 2" xfId="24790" xr:uid="{1CEE5352-FF3D-4540-BAEB-C5FEFFE6666B}"/>
    <cellStyle name="20% - Accent2 2 2 5 2 2 3" xfId="16349" xr:uid="{7F1E6A83-6988-47A2-A654-660CB362600A}"/>
    <cellStyle name="20% - Accent2 2 2 5 2 3" xfId="20572" xr:uid="{B3225926-D69A-464A-895D-5191FFFEAD3C}"/>
    <cellStyle name="20% - Accent2 2 2 5 2 4" xfId="12131" xr:uid="{5B8DDD71-9790-4672-854C-9BEB784D2A39}"/>
    <cellStyle name="20% - Accent2 2 2 5 3" xfId="5754" xr:uid="{00000000-0005-0000-0000-0000C3000000}"/>
    <cellStyle name="20% - Accent2 2 2 5 3 2" xfId="22645" xr:uid="{8099A40E-47BD-4BE5-8D08-727E590700A5}"/>
    <cellStyle name="20% - Accent2 2 2 5 3 3" xfId="14204" xr:uid="{7616FFE4-F655-4FB6-8864-26015D4EF320}"/>
    <cellStyle name="20% - Accent2 2 2 5 4" xfId="18427" xr:uid="{DADF53E2-0B0D-4396-9D49-5FC65703C8C4}"/>
    <cellStyle name="20% - Accent2 2 2 5 5" xfId="9986" xr:uid="{011BE370-E08B-41B1-904A-FB68785523FA}"/>
    <cellStyle name="20% - Accent2 2 2 6" xfId="1861" xr:uid="{00000000-0005-0000-0000-0000C4000000}"/>
    <cellStyle name="20% - Accent2 2 2 6 2" xfId="4090" xr:uid="{00000000-0005-0000-0000-0000C5000000}"/>
    <cellStyle name="20% - Accent2 2 2 6 2 2" xfId="8312" xr:uid="{00000000-0005-0000-0000-0000C6000000}"/>
    <cellStyle name="20% - Accent2 2 2 6 2 2 2" xfId="25203" xr:uid="{4B049845-6739-4C10-AF9F-B78F727CADF0}"/>
    <cellStyle name="20% - Accent2 2 2 6 2 2 3" xfId="16762" xr:uid="{AE5940F5-36FE-4BC8-B348-EC9EA34E7261}"/>
    <cellStyle name="20% - Accent2 2 2 6 2 3" xfId="20985" xr:uid="{D207F294-66B2-4782-BC2E-FD308BB9A0FF}"/>
    <cellStyle name="20% - Accent2 2 2 6 2 4" xfId="12544" xr:uid="{31C4A949-53C4-43F9-92F8-258410DF5DF3}"/>
    <cellStyle name="20% - Accent2 2 2 6 3" xfId="6167" xr:uid="{00000000-0005-0000-0000-0000C7000000}"/>
    <cellStyle name="20% - Accent2 2 2 6 3 2" xfId="23058" xr:uid="{622E01C1-E99D-4ED4-8EFD-47232D55303E}"/>
    <cellStyle name="20% - Accent2 2 2 6 3 3" xfId="14617" xr:uid="{2993110C-FB1A-4751-8B79-99CDBF963236}"/>
    <cellStyle name="20% - Accent2 2 2 6 4" xfId="18840" xr:uid="{95215671-BFB6-4599-A13E-7344CEF0E469}"/>
    <cellStyle name="20% - Accent2 2 2 6 5" xfId="10399" xr:uid="{3FFBDC2B-77A4-467A-A73E-6E74F1EEFCC7}"/>
    <cellStyle name="20% - Accent2 2 2 7" xfId="2274" xr:uid="{00000000-0005-0000-0000-0000C8000000}"/>
    <cellStyle name="20% - Accent2 2 2 7 2" xfId="6580" xr:uid="{00000000-0005-0000-0000-0000C9000000}"/>
    <cellStyle name="20% - Accent2 2 2 7 2 2" xfId="23471" xr:uid="{75F462E0-2B22-4168-9A94-A2D2D20D7337}"/>
    <cellStyle name="20% - Accent2 2 2 7 2 3" xfId="15030" xr:uid="{17BEBB10-F0FC-4498-96A3-DC1F32FACD92}"/>
    <cellStyle name="20% - Accent2 2 2 7 3" xfId="19253" xr:uid="{62F2291E-05B4-4E7C-9727-A721F2DF51E3}"/>
    <cellStyle name="20% - Accent2 2 2 7 4" xfId="10812" xr:uid="{B4630FF9-A5A3-477E-97A3-98592C42C24E}"/>
    <cellStyle name="20% - Accent2 2 2 8" xfId="4514" xr:uid="{00000000-0005-0000-0000-0000CA000000}"/>
    <cellStyle name="20% - Accent2 2 2 8 2" xfId="21405" xr:uid="{CBDBD13F-42D3-449A-832A-ED7E71A2D533}"/>
    <cellStyle name="20% - Accent2 2 2 8 3" xfId="12964" xr:uid="{E2408CE9-8605-4D93-8CFC-F01DDB0A4608}"/>
    <cellStyle name="20% - Accent2 2 2 9" xfId="17187" xr:uid="{BB5FCFC4-80AC-4BC8-87E5-D7034375DEA6}"/>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2 2 2" xfId="23966" xr:uid="{692E11F9-24E8-4A27-9A87-EEFF7DC64A8D}"/>
    <cellStyle name="20% - Accent2 2 3 2 2 2 3" xfId="15525" xr:uid="{681C1FB5-B7E5-4209-9FAD-FB716B61F624}"/>
    <cellStyle name="20% - Accent2 2 3 2 2 3" xfId="19748" xr:uid="{802129F1-5380-496B-8A11-BA63CF893FA3}"/>
    <cellStyle name="20% - Accent2 2 3 2 2 4" xfId="11307" xr:uid="{478BF039-B235-4670-9F64-1FC7A849AB81}"/>
    <cellStyle name="20% - Accent2 2 3 2 3" xfId="4930" xr:uid="{00000000-0005-0000-0000-0000CF000000}"/>
    <cellStyle name="20% - Accent2 2 3 2 3 2" xfId="21821" xr:uid="{39C5A9D2-6EDD-4F9D-9AE7-D0E8680F9A88}"/>
    <cellStyle name="20% - Accent2 2 3 2 3 3" xfId="13380" xr:uid="{253C6FF0-5889-4CD5-A666-7A113592D95A}"/>
    <cellStyle name="20% - Accent2 2 3 2 4" xfId="17603" xr:uid="{B9B36285-27B1-40AD-9544-2CD7EEB31741}"/>
    <cellStyle name="20% - Accent2 2 3 2 5" xfId="9162" xr:uid="{B4F3217C-96DD-4EC7-80B6-C89F63B4EF37}"/>
    <cellStyle name="20% - Accent2 2 3 3" xfId="1035" xr:uid="{00000000-0005-0000-0000-0000D0000000}"/>
    <cellStyle name="20% - Accent2 2 3 3 2" xfId="3266" xr:uid="{00000000-0005-0000-0000-0000D1000000}"/>
    <cellStyle name="20% - Accent2 2 3 3 2 2" xfId="7488" xr:uid="{00000000-0005-0000-0000-0000D2000000}"/>
    <cellStyle name="20% - Accent2 2 3 3 2 2 2" xfId="24379" xr:uid="{E53B21B3-23F0-4AF6-AF88-A97F80917E63}"/>
    <cellStyle name="20% - Accent2 2 3 3 2 2 3" xfId="15938" xr:uid="{E798523C-B0C7-48FA-9799-5D0A64B2320B}"/>
    <cellStyle name="20% - Accent2 2 3 3 2 3" xfId="20161" xr:uid="{8C2DC062-B51D-4364-91A2-0D188F373025}"/>
    <cellStyle name="20% - Accent2 2 3 3 2 4" xfId="11720" xr:uid="{D17D3F6F-3618-40D5-A1F7-4792CF53B59D}"/>
    <cellStyle name="20% - Accent2 2 3 3 3" xfId="5343" xr:uid="{00000000-0005-0000-0000-0000D3000000}"/>
    <cellStyle name="20% - Accent2 2 3 3 3 2" xfId="22234" xr:uid="{DBC5B955-7A07-43AF-A1FC-5C47CF54FF99}"/>
    <cellStyle name="20% - Accent2 2 3 3 3 3" xfId="13793" xr:uid="{63696D70-DE83-4368-BFBC-89626F7FCF5E}"/>
    <cellStyle name="20% - Accent2 2 3 3 4" xfId="18016" xr:uid="{68EF4E71-9572-43F1-B61B-B4D212B6BBF7}"/>
    <cellStyle name="20% - Accent2 2 3 3 5" xfId="9575" xr:uid="{55ACFD91-8555-48D1-BAED-BEA03BA7A667}"/>
    <cellStyle name="20% - Accent2 2 3 4" xfId="1449" xr:uid="{00000000-0005-0000-0000-0000D4000000}"/>
    <cellStyle name="20% - Accent2 2 3 4 2" xfId="3679" xr:uid="{00000000-0005-0000-0000-0000D5000000}"/>
    <cellStyle name="20% - Accent2 2 3 4 2 2" xfId="7901" xr:uid="{00000000-0005-0000-0000-0000D6000000}"/>
    <cellStyle name="20% - Accent2 2 3 4 2 2 2" xfId="24792" xr:uid="{09AB3930-031A-45A5-B325-A91A40D2CF02}"/>
    <cellStyle name="20% - Accent2 2 3 4 2 2 3" xfId="16351" xr:uid="{8D029851-CEDF-4C63-96A0-B0ECC7F4422B}"/>
    <cellStyle name="20% - Accent2 2 3 4 2 3" xfId="20574" xr:uid="{3BF379EB-40B3-4142-AEF4-5C0DA17DC7BB}"/>
    <cellStyle name="20% - Accent2 2 3 4 2 4" xfId="12133" xr:uid="{E4BAE4C9-7622-4567-9747-431D81BF70BB}"/>
    <cellStyle name="20% - Accent2 2 3 4 3" xfId="5756" xr:uid="{00000000-0005-0000-0000-0000D7000000}"/>
    <cellStyle name="20% - Accent2 2 3 4 3 2" xfId="22647" xr:uid="{A4C58D08-6900-4F20-AA4A-967A20C2B85E}"/>
    <cellStyle name="20% - Accent2 2 3 4 3 3" xfId="14206" xr:uid="{4F33EE04-DE55-4CC4-9F61-9A48484CEC05}"/>
    <cellStyle name="20% - Accent2 2 3 4 4" xfId="18429" xr:uid="{4A042755-5831-4BB2-A343-192C1D12D3EA}"/>
    <cellStyle name="20% - Accent2 2 3 4 5" xfId="9988" xr:uid="{5B42E3F4-16EC-4106-9918-0506BA7537D4}"/>
    <cellStyle name="20% - Accent2 2 3 5" xfId="1863" xr:uid="{00000000-0005-0000-0000-0000D8000000}"/>
    <cellStyle name="20% - Accent2 2 3 5 2" xfId="4092" xr:uid="{00000000-0005-0000-0000-0000D9000000}"/>
    <cellStyle name="20% - Accent2 2 3 5 2 2" xfId="8314" xr:uid="{00000000-0005-0000-0000-0000DA000000}"/>
    <cellStyle name="20% - Accent2 2 3 5 2 2 2" xfId="25205" xr:uid="{1A41D7F8-0BD7-4BF1-AF72-A1843594B473}"/>
    <cellStyle name="20% - Accent2 2 3 5 2 2 3" xfId="16764" xr:uid="{77910BB9-6F10-4292-A26B-33340CE8E4CA}"/>
    <cellStyle name="20% - Accent2 2 3 5 2 3" xfId="20987" xr:uid="{BA545994-F0A2-493D-AE33-19527612F1E6}"/>
    <cellStyle name="20% - Accent2 2 3 5 2 4" xfId="12546" xr:uid="{65FFD5F7-5376-442A-8CCB-C8BA9579D04E}"/>
    <cellStyle name="20% - Accent2 2 3 5 3" xfId="6169" xr:uid="{00000000-0005-0000-0000-0000DB000000}"/>
    <cellStyle name="20% - Accent2 2 3 5 3 2" xfId="23060" xr:uid="{37EF9E3D-60B1-4455-A1E3-A6323E56E274}"/>
    <cellStyle name="20% - Accent2 2 3 5 3 3" xfId="14619" xr:uid="{9EC62F3B-330E-4ABE-9EC2-1E4913B0C560}"/>
    <cellStyle name="20% - Accent2 2 3 5 4" xfId="18842" xr:uid="{F07756E8-93FB-4C7C-A5B6-AA318DAE0353}"/>
    <cellStyle name="20% - Accent2 2 3 5 5" xfId="10401" xr:uid="{22A2FFD2-F9B8-433B-A56A-A427CAD7089B}"/>
    <cellStyle name="20% - Accent2 2 3 6" xfId="2276" xr:uid="{00000000-0005-0000-0000-0000DC000000}"/>
    <cellStyle name="20% - Accent2 2 3 6 2" xfId="6582" xr:uid="{00000000-0005-0000-0000-0000DD000000}"/>
    <cellStyle name="20% - Accent2 2 3 6 2 2" xfId="23473" xr:uid="{8C0D856E-84DB-4D0D-AB8E-54F14B69DABC}"/>
    <cellStyle name="20% - Accent2 2 3 6 2 3" xfId="15032" xr:uid="{3FF06240-FC9D-4B70-ACC1-238ABDC4B875}"/>
    <cellStyle name="20% - Accent2 2 3 6 3" xfId="19255" xr:uid="{C30E16A3-3816-4B29-B28A-8BFF52719D57}"/>
    <cellStyle name="20% - Accent2 2 3 6 4" xfId="10814" xr:uid="{328FCFDA-1159-448F-A3B6-689049606C03}"/>
    <cellStyle name="20% - Accent2 2 3 7" xfId="4516" xr:uid="{00000000-0005-0000-0000-0000DE000000}"/>
    <cellStyle name="20% - Accent2 2 3 7 2" xfId="21407" xr:uid="{8252447C-AF7F-4E76-B7DE-F667CA8F55E1}"/>
    <cellStyle name="20% - Accent2 2 3 7 3" xfId="12966" xr:uid="{93F20A22-5956-4578-9528-3EA23A8541C0}"/>
    <cellStyle name="20% - Accent2 2 3 8" xfId="17189" xr:uid="{AC56873A-FB50-4886-A0E6-4E6DB28EC9BE}"/>
    <cellStyle name="20% - Accent2 2 3 9" xfId="8748" xr:uid="{41A6FCC5-7A3D-4EF4-A90D-0DBE8E5C6385}"/>
    <cellStyle name="20% - Accent2 2 4" xfId="579" xr:uid="{00000000-0005-0000-0000-0000DF000000}"/>
    <cellStyle name="20% - Accent2 2 4 2" xfId="2850" xr:uid="{00000000-0005-0000-0000-0000E0000000}"/>
    <cellStyle name="20% - Accent2 2 4 2 2" xfId="7072" xr:uid="{00000000-0005-0000-0000-0000E1000000}"/>
    <cellStyle name="20% - Accent2 2 4 2 2 2" xfId="23963" xr:uid="{60A42AB8-F7A8-4963-9EE2-BBD5C407AFFC}"/>
    <cellStyle name="20% - Accent2 2 4 2 2 3" xfId="15522" xr:uid="{E5AAED6A-FB27-4A8D-8D39-0165E964E686}"/>
    <cellStyle name="20% - Accent2 2 4 2 3" xfId="19745" xr:uid="{17E9CCD2-3931-4E93-B8F4-990FF60503B3}"/>
    <cellStyle name="20% - Accent2 2 4 2 4" xfId="11304" xr:uid="{5C3A06A9-95D1-424B-8DE8-160E80569D49}"/>
    <cellStyle name="20% - Accent2 2 4 3" xfId="4927" xr:uid="{00000000-0005-0000-0000-0000E2000000}"/>
    <cellStyle name="20% - Accent2 2 4 3 2" xfId="21818" xr:uid="{416D1093-7A38-42F8-9415-5286DC9E5CFE}"/>
    <cellStyle name="20% - Accent2 2 4 3 3" xfId="13377" xr:uid="{B0D72EB3-D411-43A2-B9BA-AFCDDC6CA03D}"/>
    <cellStyle name="20% - Accent2 2 4 4" xfId="17600" xr:uid="{216D140F-FEC0-4AFA-B794-17FC2550D276}"/>
    <cellStyle name="20% - Accent2 2 4 5" xfId="9159" xr:uid="{48A59EF7-7FDE-41AC-B11A-B1ED5A462DF5}"/>
    <cellStyle name="20% - Accent2 2 5" xfId="1032" xr:uid="{00000000-0005-0000-0000-0000E3000000}"/>
    <cellStyle name="20% - Accent2 2 5 2" xfId="3263" xr:uid="{00000000-0005-0000-0000-0000E4000000}"/>
    <cellStyle name="20% - Accent2 2 5 2 2" xfId="7485" xr:uid="{00000000-0005-0000-0000-0000E5000000}"/>
    <cellStyle name="20% - Accent2 2 5 2 2 2" xfId="24376" xr:uid="{A7A96B80-A2E3-4AD4-AE29-8500C7A6C3E7}"/>
    <cellStyle name="20% - Accent2 2 5 2 2 3" xfId="15935" xr:uid="{CBCB7B46-AF7F-4D25-A3D5-A3FFB1B1067C}"/>
    <cellStyle name="20% - Accent2 2 5 2 3" xfId="20158" xr:uid="{858EFBFA-504B-4C88-B523-030A14B25750}"/>
    <cellStyle name="20% - Accent2 2 5 2 4" xfId="11717" xr:uid="{720ADA9D-8DF4-4316-B940-ECE9F73201EE}"/>
    <cellStyle name="20% - Accent2 2 5 3" xfId="5340" xr:uid="{00000000-0005-0000-0000-0000E6000000}"/>
    <cellStyle name="20% - Accent2 2 5 3 2" xfId="22231" xr:uid="{0B78B471-5C1B-4F04-BCBE-FCD60445188C}"/>
    <cellStyle name="20% - Accent2 2 5 3 3" xfId="13790" xr:uid="{55B48707-E0BD-434C-A3F3-A7B40CCB5A77}"/>
    <cellStyle name="20% - Accent2 2 5 4" xfId="18013" xr:uid="{04DC5965-E6B5-4A82-A5CE-01A64827C50F}"/>
    <cellStyle name="20% - Accent2 2 5 5" xfId="9572" xr:uid="{3FA3ABFA-3518-47E9-B584-A86F9AEEBB3F}"/>
    <cellStyle name="20% - Accent2 2 6" xfId="1446" xr:uid="{00000000-0005-0000-0000-0000E7000000}"/>
    <cellStyle name="20% - Accent2 2 6 2" xfId="3676" xr:uid="{00000000-0005-0000-0000-0000E8000000}"/>
    <cellStyle name="20% - Accent2 2 6 2 2" xfId="7898" xr:uid="{00000000-0005-0000-0000-0000E9000000}"/>
    <cellStyle name="20% - Accent2 2 6 2 2 2" xfId="24789" xr:uid="{5BAB58F3-49E5-4DA3-99CE-A81F9CAFA4B4}"/>
    <cellStyle name="20% - Accent2 2 6 2 2 3" xfId="16348" xr:uid="{711ECF4E-CC59-4611-A0C2-DD08C49EB407}"/>
    <cellStyle name="20% - Accent2 2 6 2 3" xfId="20571" xr:uid="{135842B5-251F-4DB4-9A6D-C81405E90A00}"/>
    <cellStyle name="20% - Accent2 2 6 2 4" xfId="12130" xr:uid="{AC0CAE63-BDB8-453F-B3EC-B827E6A5093D}"/>
    <cellStyle name="20% - Accent2 2 6 3" xfId="5753" xr:uid="{00000000-0005-0000-0000-0000EA000000}"/>
    <cellStyle name="20% - Accent2 2 6 3 2" xfId="22644" xr:uid="{454455DF-47D6-4180-A250-BBDBB8BB8FD2}"/>
    <cellStyle name="20% - Accent2 2 6 3 3" xfId="14203" xr:uid="{BC956527-CC3F-4CDC-AE2F-24BD03D614C4}"/>
    <cellStyle name="20% - Accent2 2 6 4" xfId="18426" xr:uid="{DDFF4CF4-CBC1-4DEE-9A49-AC2537DE24D4}"/>
    <cellStyle name="20% - Accent2 2 6 5" xfId="9985" xr:uid="{4A192CA0-E1D0-480B-9504-247937CE5FEC}"/>
    <cellStyle name="20% - Accent2 2 7" xfId="1860" xr:uid="{00000000-0005-0000-0000-0000EB000000}"/>
    <cellStyle name="20% - Accent2 2 7 2" xfId="4089" xr:uid="{00000000-0005-0000-0000-0000EC000000}"/>
    <cellStyle name="20% - Accent2 2 7 2 2" xfId="8311" xr:uid="{00000000-0005-0000-0000-0000ED000000}"/>
    <cellStyle name="20% - Accent2 2 7 2 2 2" xfId="25202" xr:uid="{468A1FC3-DA41-4A28-AE90-270E5586F46C}"/>
    <cellStyle name="20% - Accent2 2 7 2 2 3" xfId="16761" xr:uid="{2D0D7268-5551-4184-8705-431D9075BE7D}"/>
    <cellStyle name="20% - Accent2 2 7 2 3" xfId="20984" xr:uid="{547AEAF9-A5D3-466D-BEFE-6C77B15FDA48}"/>
    <cellStyle name="20% - Accent2 2 7 2 4" xfId="12543" xr:uid="{88D445B9-4F4F-4C38-8B2A-4F80B234C89A}"/>
    <cellStyle name="20% - Accent2 2 7 3" xfId="6166" xr:uid="{00000000-0005-0000-0000-0000EE000000}"/>
    <cellStyle name="20% - Accent2 2 7 3 2" xfId="23057" xr:uid="{CEA97D43-BB07-42B0-8611-7AA2E9C50FF6}"/>
    <cellStyle name="20% - Accent2 2 7 3 3" xfId="14616" xr:uid="{70C89B58-966F-49C9-AD4A-948FD0FD2DCB}"/>
    <cellStyle name="20% - Accent2 2 7 4" xfId="18839" xr:uid="{7C28B982-3381-4A2E-B8AD-6C4242125561}"/>
    <cellStyle name="20% - Accent2 2 7 5" xfId="10398" xr:uid="{671B35D1-7ACE-4BA2-BA39-4218F56E40CC}"/>
    <cellStyle name="20% - Accent2 2 8" xfId="2273" xr:uid="{00000000-0005-0000-0000-0000EF000000}"/>
    <cellStyle name="20% - Accent2 2 8 2" xfId="6579" xr:uid="{00000000-0005-0000-0000-0000F0000000}"/>
    <cellStyle name="20% - Accent2 2 8 2 2" xfId="23470" xr:uid="{321B8621-E13B-41A0-806C-1E10A6B02148}"/>
    <cellStyle name="20% - Accent2 2 8 2 3" xfId="15029" xr:uid="{D101D43E-A03D-47A8-AE18-3F3FCA92FD57}"/>
    <cellStyle name="20% - Accent2 2 8 3" xfId="19252" xr:uid="{427C7AE2-6475-4E6D-9182-EE9B72F47D2F}"/>
    <cellStyle name="20% - Accent2 2 8 4" xfId="10811" xr:uid="{9C78F966-4F68-4660-B6A8-2380AE12FD71}"/>
    <cellStyle name="20% - Accent2 2 9" xfId="4513" xr:uid="{00000000-0005-0000-0000-0000F1000000}"/>
    <cellStyle name="20% - Accent2 2 9 2" xfId="21404" xr:uid="{A69C6414-58F7-4F76-B009-19732C33B595}"/>
    <cellStyle name="20% - Accent2 2 9 3" xfId="12963" xr:uid="{42D1350F-B476-48A5-A4C0-69EA4C495865}"/>
    <cellStyle name="20% - Accent2 3" xfId="14" xr:uid="{00000000-0005-0000-0000-0000F2000000}"/>
    <cellStyle name="20% - Accent2 3 10" xfId="8749" xr:uid="{2E7D6483-1C3F-4F5C-9469-B833F60BE071}"/>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2 2 2" xfId="23968" xr:uid="{5D6EF091-C57C-415B-B1A0-519BBA7B3B25}"/>
    <cellStyle name="20% - Accent2 3 2 2 2 2 3" xfId="15527" xr:uid="{E5F125BF-FD94-406D-B8EB-A906DAF67BB3}"/>
    <cellStyle name="20% - Accent2 3 2 2 2 3" xfId="19750" xr:uid="{0BEB891B-25DE-44D9-B913-EA02F1EC1A71}"/>
    <cellStyle name="20% - Accent2 3 2 2 2 4" xfId="11309" xr:uid="{83BE5496-0EBF-4610-8A9E-7DFB5540B08F}"/>
    <cellStyle name="20% - Accent2 3 2 2 3" xfId="4932" xr:uid="{00000000-0005-0000-0000-0000F7000000}"/>
    <cellStyle name="20% - Accent2 3 2 2 3 2" xfId="21823" xr:uid="{37962E06-3D4F-4C81-8828-BBBAC48B5203}"/>
    <cellStyle name="20% - Accent2 3 2 2 3 3" xfId="13382" xr:uid="{670EEBA1-CBC7-4A2C-A8D4-FA0E211124F3}"/>
    <cellStyle name="20% - Accent2 3 2 2 4" xfId="17605" xr:uid="{1B46AF3B-8B02-4770-AA0A-C2E18EDCFCA8}"/>
    <cellStyle name="20% - Accent2 3 2 2 5" xfId="9164" xr:uid="{DB451B66-A66A-4CED-957C-A79ECF2C7A22}"/>
    <cellStyle name="20% - Accent2 3 2 3" xfId="1037" xr:uid="{00000000-0005-0000-0000-0000F8000000}"/>
    <cellStyle name="20% - Accent2 3 2 3 2" xfId="3268" xr:uid="{00000000-0005-0000-0000-0000F9000000}"/>
    <cellStyle name="20% - Accent2 3 2 3 2 2" xfId="7490" xr:uid="{00000000-0005-0000-0000-0000FA000000}"/>
    <cellStyle name="20% - Accent2 3 2 3 2 2 2" xfId="24381" xr:uid="{85AA6D20-C5BB-4B9F-AE5B-01B7FEB23339}"/>
    <cellStyle name="20% - Accent2 3 2 3 2 2 3" xfId="15940" xr:uid="{69A2A144-560C-4754-8742-0F09B01D68BB}"/>
    <cellStyle name="20% - Accent2 3 2 3 2 3" xfId="20163" xr:uid="{B9F275CF-9BD4-4129-AA5E-5228AEAF2056}"/>
    <cellStyle name="20% - Accent2 3 2 3 2 4" xfId="11722" xr:uid="{54614D8A-FE7A-4777-81DA-FF4F102ABD07}"/>
    <cellStyle name="20% - Accent2 3 2 3 3" xfId="5345" xr:uid="{00000000-0005-0000-0000-0000FB000000}"/>
    <cellStyle name="20% - Accent2 3 2 3 3 2" xfId="22236" xr:uid="{4ED141A8-30A9-40E7-9C64-DEB42A99CF27}"/>
    <cellStyle name="20% - Accent2 3 2 3 3 3" xfId="13795" xr:uid="{D97CF0E3-9AEA-4E20-B40F-E53EE77904AE}"/>
    <cellStyle name="20% - Accent2 3 2 3 4" xfId="18018" xr:uid="{70768684-4F9B-438A-A390-FF79A5D5710B}"/>
    <cellStyle name="20% - Accent2 3 2 3 5" xfId="9577" xr:uid="{6F6ACEC0-6D92-4131-A949-093924536BCA}"/>
    <cellStyle name="20% - Accent2 3 2 4" xfId="1451" xr:uid="{00000000-0005-0000-0000-0000FC000000}"/>
    <cellStyle name="20% - Accent2 3 2 4 2" xfId="3681" xr:uid="{00000000-0005-0000-0000-0000FD000000}"/>
    <cellStyle name="20% - Accent2 3 2 4 2 2" xfId="7903" xr:uid="{00000000-0005-0000-0000-0000FE000000}"/>
    <cellStyle name="20% - Accent2 3 2 4 2 2 2" xfId="24794" xr:uid="{7B682A8E-C16B-49E6-A913-20F15D2F634A}"/>
    <cellStyle name="20% - Accent2 3 2 4 2 2 3" xfId="16353" xr:uid="{A4F1524B-00D7-402F-9B11-DD73CA6B22FF}"/>
    <cellStyle name="20% - Accent2 3 2 4 2 3" xfId="20576" xr:uid="{2829A11D-030D-42DB-B6BE-AA5D3D9AA1F1}"/>
    <cellStyle name="20% - Accent2 3 2 4 2 4" xfId="12135" xr:uid="{7C182EC2-B851-4081-B292-F02B115A7F17}"/>
    <cellStyle name="20% - Accent2 3 2 4 3" xfId="5758" xr:uid="{00000000-0005-0000-0000-0000FF000000}"/>
    <cellStyle name="20% - Accent2 3 2 4 3 2" xfId="22649" xr:uid="{795E8867-CF20-4917-9360-6F224FAAC544}"/>
    <cellStyle name="20% - Accent2 3 2 4 3 3" xfId="14208" xr:uid="{0CBF1E13-DF39-4C6B-9AD8-FBE8A183B213}"/>
    <cellStyle name="20% - Accent2 3 2 4 4" xfId="18431" xr:uid="{F58DE000-A6BD-461A-83C0-46579E30DEF3}"/>
    <cellStyle name="20% - Accent2 3 2 4 5" xfId="9990" xr:uid="{42E81112-9EE5-4458-9CC3-DAD608A1B7B4}"/>
    <cellStyle name="20% - Accent2 3 2 5" xfId="1865" xr:uid="{00000000-0005-0000-0000-000000010000}"/>
    <cellStyle name="20% - Accent2 3 2 5 2" xfId="4094" xr:uid="{00000000-0005-0000-0000-000001010000}"/>
    <cellStyle name="20% - Accent2 3 2 5 2 2" xfId="8316" xr:uid="{00000000-0005-0000-0000-000002010000}"/>
    <cellStyle name="20% - Accent2 3 2 5 2 2 2" xfId="25207" xr:uid="{81B638C5-55CC-4AB1-803B-2E92C8344694}"/>
    <cellStyle name="20% - Accent2 3 2 5 2 2 3" xfId="16766" xr:uid="{2FEEF119-5752-4E99-A6C6-52856AD49055}"/>
    <cellStyle name="20% - Accent2 3 2 5 2 3" xfId="20989" xr:uid="{8301DD4A-4AAC-4419-A35F-1E52F6C1E66E}"/>
    <cellStyle name="20% - Accent2 3 2 5 2 4" xfId="12548" xr:uid="{2F88C300-4819-4BC5-897F-57FF4E56BF9E}"/>
    <cellStyle name="20% - Accent2 3 2 5 3" xfId="6171" xr:uid="{00000000-0005-0000-0000-000003010000}"/>
    <cellStyle name="20% - Accent2 3 2 5 3 2" xfId="23062" xr:uid="{C59E8BA2-9DF2-4C06-B565-710ECACF738B}"/>
    <cellStyle name="20% - Accent2 3 2 5 3 3" xfId="14621" xr:uid="{9795DD52-1118-4EF3-A4CA-03792FDEB273}"/>
    <cellStyle name="20% - Accent2 3 2 5 4" xfId="18844" xr:uid="{F94542BC-EFE3-4C6A-B360-5AABF0A7F5DE}"/>
    <cellStyle name="20% - Accent2 3 2 5 5" xfId="10403" xr:uid="{6E64CCD6-CDA6-44CA-B549-D1885ABD6246}"/>
    <cellStyle name="20% - Accent2 3 2 6" xfId="2278" xr:uid="{00000000-0005-0000-0000-000004010000}"/>
    <cellStyle name="20% - Accent2 3 2 6 2" xfId="6584" xr:uid="{00000000-0005-0000-0000-000005010000}"/>
    <cellStyle name="20% - Accent2 3 2 6 2 2" xfId="23475" xr:uid="{A477B817-FCF7-4333-A93D-6EA0EBBFEE5D}"/>
    <cellStyle name="20% - Accent2 3 2 6 2 3" xfId="15034" xr:uid="{075F8AA9-A24E-4A09-BFF2-6CC4C9FD5738}"/>
    <cellStyle name="20% - Accent2 3 2 6 3" xfId="19257" xr:uid="{67300F81-6D12-442E-B1D1-05131822AFBD}"/>
    <cellStyle name="20% - Accent2 3 2 6 4" xfId="10816" xr:uid="{2B1116D8-BFF9-47D2-9DA9-A7B65E62F6E5}"/>
    <cellStyle name="20% - Accent2 3 2 7" xfId="4518" xr:uid="{00000000-0005-0000-0000-000006010000}"/>
    <cellStyle name="20% - Accent2 3 2 7 2" xfId="21409" xr:uid="{DB93E7B7-8AFC-42DA-BCA0-2A8F2DCD5666}"/>
    <cellStyle name="20% - Accent2 3 2 7 3" xfId="12968" xr:uid="{A7667639-D281-4949-9318-4FFE9ADD9690}"/>
    <cellStyle name="20% - Accent2 3 2 8" xfId="17191" xr:uid="{89DE203D-33A3-42AF-9D9F-0902E0B0EB36}"/>
    <cellStyle name="20% - Accent2 3 2 9" xfId="8750" xr:uid="{253AD8FD-5ECD-4501-92A5-141A7CA17AE5}"/>
    <cellStyle name="20% - Accent2 3 3" xfId="583" xr:uid="{00000000-0005-0000-0000-000007010000}"/>
    <cellStyle name="20% - Accent2 3 3 2" xfId="2854" xr:uid="{00000000-0005-0000-0000-000008010000}"/>
    <cellStyle name="20% - Accent2 3 3 2 2" xfId="7076" xr:uid="{00000000-0005-0000-0000-000009010000}"/>
    <cellStyle name="20% - Accent2 3 3 2 2 2" xfId="23967" xr:uid="{FB9E5730-65D8-4078-A8D6-7581B6F6AEB7}"/>
    <cellStyle name="20% - Accent2 3 3 2 2 3" xfId="15526" xr:uid="{8E217229-7241-44D4-8242-74BDF0046FCE}"/>
    <cellStyle name="20% - Accent2 3 3 2 3" xfId="19749" xr:uid="{48D57A91-60A4-43D7-B4D5-3AAF0631BF14}"/>
    <cellStyle name="20% - Accent2 3 3 2 4" xfId="11308" xr:uid="{1DF70326-6B8C-42B0-9813-9685A81B34C0}"/>
    <cellStyle name="20% - Accent2 3 3 3" xfId="4931" xr:uid="{00000000-0005-0000-0000-00000A010000}"/>
    <cellStyle name="20% - Accent2 3 3 3 2" xfId="21822" xr:uid="{2A0B526C-0424-4997-A30A-C32132DDBF19}"/>
    <cellStyle name="20% - Accent2 3 3 3 3" xfId="13381" xr:uid="{B08D3479-BF58-4CF3-81F1-E0DD06F0BBAE}"/>
    <cellStyle name="20% - Accent2 3 3 4" xfId="17604" xr:uid="{983CD5EA-BCE8-4347-8E28-B217C38F5905}"/>
    <cellStyle name="20% - Accent2 3 3 5" xfId="9163" xr:uid="{6ABB96A3-498D-4675-A843-5832F716AF23}"/>
    <cellStyle name="20% - Accent2 3 4" xfId="1036" xr:uid="{00000000-0005-0000-0000-00000B010000}"/>
    <cellStyle name="20% - Accent2 3 4 2" xfId="3267" xr:uid="{00000000-0005-0000-0000-00000C010000}"/>
    <cellStyle name="20% - Accent2 3 4 2 2" xfId="7489" xr:uid="{00000000-0005-0000-0000-00000D010000}"/>
    <cellStyle name="20% - Accent2 3 4 2 2 2" xfId="24380" xr:uid="{B9A8E861-F2D4-4D3C-A6C3-0C8DA7BDA7DB}"/>
    <cellStyle name="20% - Accent2 3 4 2 2 3" xfId="15939" xr:uid="{EA06FBEA-5534-4ACA-B03B-2C1A2D7EF5F6}"/>
    <cellStyle name="20% - Accent2 3 4 2 3" xfId="20162" xr:uid="{659EEA55-E7CC-4079-8BD0-7EEEA630283F}"/>
    <cellStyle name="20% - Accent2 3 4 2 4" xfId="11721" xr:uid="{CB4FF152-0AA1-455A-A31D-2B6440342F2F}"/>
    <cellStyle name="20% - Accent2 3 4 3" xfId="5344" xr:uid="{00000000-0005-0000-0000-00000E010000}"/>
    <cellStyle name="20% - Accent2 3 4 3 2" xfId="22235" xr:uid="{8E3D6199-89E6-4491-9D7D-1A57775D4E7F}"/>
    <cellStyle name="20% - Accent2 3 4 3 3" xfId="13794" xr:uid="{D7F984F4-A030-4803-B2B5-7DBF3941DD60}"/>
    <cellStyle name="20% - Accent2 3 4 4" xfId="18017" xr:uid="{5CAF49C1-BE3A-4CB1-958E-108800A7FFD6}"/>
    <cellStyle name="20% - Accent2 3 4 5" xfId="9576" xr:uid="{6B0633D3-3E26-42F4-8E8E-AF69A14B05A6}"/>
    <cellStyle name="20% - Accent2 3 5" xfId="1450" xr:uid="{00000000-0005-0000-0000-00000F010000}"/>
    <cellStyle name="20% - Accent2 3 5 2" xfId="3680" xr:uid="{00000000-0005-0000-0000-000010010000}"/>
    <cellStyle name="20% - Accent2 3 5 2 2" xfId="7902" xr:uid="{00000000-0005-0000-0000-000011010000}"/>
    <cellStyle name="20% - Accent2 3 5 2 2 2" xfId="24793" xr:uid="{EB7C89C1-2885-456F-A3F2-3243F972F3DE}"/>
    <cellStyle name="20% - Accent2 3 5 2 2 3" xfId="16352" xr:uid="{25D2372E-76A7-407C-9855-EAF092164A1C}"/>
    <cellStyle name="20% - Accent2 3 5 2 3" xfId="20575" xr:uid="{ADA7F604-8203-4B9D-884B-FA69C092B95D}"/>
    <cellStyle name="20% - Accent2 3 5 2 4" xfId="12134" xr:uid="{8D52B54D-3A64-4823-97E5-D987C9028247}"/>
    <cellStyle name="20% - Accent2 3 5 3" xfId="5757" xr:uid="{00000000-0005-0000-0000-000012010000}"/>
    <cellStyle name="20% - Accent2 3 5 3 2" xfId="22648" xr:uid="{DD510A9F-79FC-4FA5-9293-F30F62E53ACD}"/>
    <cellStyle name="20% - Accent2 3 5 3 3" xfId="14207" xr:uid="{1B7FF2CF-EF32-4113-AAE1-81389CC876F1}"/>
    <cellStyle name="20% - Accent2 3 5 4" xfId="18430" xr:uid="{01B252F0-3F9C-4157-86AA-998AF813EEF8}"/>
    <cellStyle name="20% - Accent2 3 5 5" xfId="9989" xr:uid="{76A0FFA2-A020-42F5-A4D9-E54E4A3C077C}"/>
    <cellStyle name="20% - Accent2 3 6" xfId="1864" xr:uid="{00000000-0005-0000-0000-000013010000}"/>
    <cellStyle name="20% - Accent2 3 6 2" xfId="4093" xr:uid="{00000000-0005-0000-0000-000014010000}"/>
    <cellStyle name="20% - Accent2 3 6 2 2" xfId="8315" xr:uid="{00000000-0005-0000-0000-000015010000}"/>
    <cellStyle name="20% - Accent2 3 6 2 2 2" xfId="25206" xr:uid="{33472C22-C1DF-4E2F-97C7-3AB7358B6B9D}"/>
    <cellStyle name="20% - Accent2 3 6 2 2 3" xfId="16765" xr:uid="{CC73BB80-045E-44F6-B656-D4D4C96157FB}"/>
    <cellStyle name="20% - Accent2 3 6 2 3" xfId="20988" xr:uid="{91A354FC-D62F-4DCA-AC1B-91152D5EAA5D}"/>
    <cellStyle name="20% - Accent2 3 6 2 4" xfId="12547" xr:uid="{9B452668-B457-4F84-956A-8954ED02E7EF}"/>
    <cellStyle name="20% - Accent2 3 6 3" xfId="6170" xr:uid="{00000000-0005-0000-0000-000016010000}"/>
    <cellStyle name="20% - Accent2 3 6 3 2" xfId="23061" xr:uid="{91357C9F-4FC7-4798-B8ED-BEE054C10203}"/>
    <cellStyle name="20% - Accent2 3 6 3 3" xfId="14620" xr:uid="{264C066D-3FFC-40B7-9492-6AD556A76942}"/>
    <cellStyle name="20% - Accent2 3 6 4" xfId="18843" xr:uid="{F7B4EB02-82FA-4833-B60B-C772BB6E98D3}"/>
    <cellStyle name="20% - Accent2 3 6 5" xfId="10402" xr:uid="{0C820627-531E-4D84-B2D3-5517DF70CD07}"/>
    <cellStyle name="20% - Accent2 3 7" xfId="2277" xr:uid="{00000000-0005-0000-0000-000017010000}"/>
    <cellStyle name="20% - Accent2 3 7 2" xfId="6583" xr:uid="{00000000-0005-0000-0000-000018010000}"/>
    <cellStyle name="20% - Accent2 3 7 2 2" xfId="23474" xr:uid="{823F39C0-E257-4292-9386-77065B529B98}"/>
    <cellStyle name="20% - Accent2 3 7 2 3" xfId="15033" xr:uid="{3338A3EF-F1F2-4591-AE48-630EE75D6926}"/>
    <cellStyle name="20% - Accent2 3 7 3" xfId="19256" xr:uid="{B3F64AE7-73FB-482B-B4D8-573B6F674C0C}"/>
    <cellStyle name="20% - Accent2 3 7 4" xfId="10815" xr:uid="{6B2F9AEC-8878-41C2-834C-E5AD5141A9AC}"/>
    <cellStyle name="20% - Accent2 3 8" xfId="4517" xr:uid="{00000000-0005-0000-0000-000019010000}"/>
    <cellStyle name="20% - Accent2 3 8 2" xfId="21408" xr:uid="{642D169E-E7C3-4312-A87A-7780F023392E}"/>
    <cellStyle name="20% - Accent2 3 8 3" xfId="12967" xr:uid="{1771CE86-100B-46A0-9F45-CBE204ED072C}"/>
    <cellStyle name="20% - Accent2 3 9" xfId="17190" xr:uid="{4587377B-7753-44BC-A42E-8E27AF47780B}"/>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2 2 2" xfId="23969" xr:uid="{5C2B31A1-8A02-46E1-8934-A010196BFC78}"/>
    <cellStyle name="20% - Accent2 4 2 2 2 3" xfId="15528" xr:uid="{93A46A70-3655-4253-A270-F7F61EBCD5D3}"/>
    <cellStyle name="20% - Accent2 4 2 2 3" xfId="19751" xr:uid="{20BE1B7D-49BA-457A-9559-E33999AB74F6}"/>
    <cellStyle name="20% - Accent2 4 2 2 4" xfId="11310" xr:uid="{ECB24ED3-273A-469F-AF81-50A080A80D59}"/>
    <cellStyle name="20% - Accent2 4 2 3" xfId="4933" xr:uid="{00000000-0005-0000-0000-00001E010000}"/>
    <cellStyle name="20% - Accent2 4 2 3 2" xfId="21824" xr:uid="{5816857D-F20E-43BA-9DDC-770501C1ACCE}"/>
    <cellStyle name="20% - Accent2 4 2 3 3" xfId="13383" xr:uid="{813A63E5-E449-4202-9555-AB4B4093751B}"/>
    <cellStyle name="20% - Accent2 4 2 4" xfId="17606" xr:uid="{E2949B04-B2FA-4602-8665-8FBA49E6C62C}"/>
    <cellStyle name="20% - Accent2 4 2 5" xfId="9165" xr:uid="{12B9FA22-5BF2-4170-9FDE-331023B43EEA}"/>
    <cellStyle name="20% - Accent2 4 3" xfId="1038" xr:uid="{00000000-0005-0000-0000-00001F010000}"/>
    <cellStyle name="20% - Accent2 4 3 2" xfId="3269" xr:uid="{00000000-0005-0000-0000-000020010000}"/>
    <cellStyle name="20% - Accent2 4 3 2 2" xfId="7491" xr:uid="{00000000-0005-0000-0000-000021010000}"/>
    <cellStyle name="20% - Accent2 4 3 2 2 2" xfId="24382" xr:uid="{4B39A90E-5CF2-4228-9943-DE2850A791F8}"/>
    <cellStyle name="20% - Accent2 4 3 2 2 3" xfId="15941" xr:uid="{8A294F4D-2CD6-4F4D-8079-14D5A2062728}"/>
    <cellStyle name="20% - Accent2 4 3 2 3" xfId="20164" xr:uid="{D571ED04-5AA7-413E-B987-EE48B0C2A9F8}"/>
    <cellStyle name="20% - Accent2 4 3 2 4" xfId="11723" xr:uid="{CACBFB68-AC70-42F8-B17F-357265206E6B}"/>
    <cellStyle name="20% - Accent2 4 3 3" xfId="5346" xr:uid="{00000000-0005-0000-0000-000022010000}"/>
    <cellStyle name="20% - Accent2 4 3 3 2" xfId="22237" xr:uid="{01BD397B-D3E0-4201-8CA0-70B7A8ED10FD}"/>
    <cellStyle name="20% - Accent2 4 3 3 3" xfId="13796" xr:uid="{39728EC9-EFFB-4674-9EFD-9F3E6B99FA32}"/>
    <cellStyle name="20% - Accent2 4 3 4" xfId="18019" xr:uid="{1452088B-46F3-424D-9787-E5779FCDEDAA}"/>
    <cellStyle name="20% - Accent2 4 3 5" xfId="9578" xr:uid="{80637378-15D1-4304-A64B-5ACC74890508}"/>
    <cellStyle name="20% - Accent2 4 4" xfId="1452" xr:uid="{00000000-0005-0000-0000-000023010000}"/>
    <cellStyle name="20% - Accent2 4 4 2" xfId="3682" xr:uid="{00000000-0005-0000-0000-000024010000}"/>
    <cellStyle name="20% - Accent2 4 4 2 2" xfId="7904" xr:uid="{00000000-0005-0000-0000-000025010000}"/>
    <cellStyle name="20% - Accent2 4 4 2 2 2" xfId="24795" xr:uid="{86DF5798-571A-496C-997D-1EC1FD26CB74}"/>
    <cellStyle name="20% - Accent2 4 4 2 2 3" xfId="16354" xr:uid="{C011F9AF-A4AF-4E13-8219-D712A696EEDD}"/>
    <cellStyle name="20% - Accent2 4 4 2 3" xfId="20577" xr:uid="{F883FDC8-2F1E-44C6-B9C1-45D0D3E7BA71}"/>
    <cellStyle name="20% - Accent2 4 4 2 4" xfId="12136" xr:uid="{9DA39980-9CC0-4193-B5D6-0CDCF693F456}"/>
    <cellStyle name="20% - Accent2 4 4 3" xfId="5759" xr:uid="{00000000-0005-0000-0000-000026010000}"/>
    <cellStyle name="20% - Accent2 4 4 3 2" xfId="22650" xr:uid="{EED85ABA-293E-4191-8BAF-B7A5167B8171}"/>
    <cellStyle name="20% - Accent2 4 4 3 3" xfId="14209" xr:uid="{9B2DD67F-DABC-4910-8B69-5E3D3DDFEE3F}"/>
    <cellStyle name="20% - Accent2 4 4 4" xfId="18432" xr:uid="{449F50C2-993B-43B3-9C5A-2694ED6F97CF}"/>
    <cellStyle name="20% - Accent2 4 4 5" xfId="9991" xr:uid="{61D151F1-B708-41B4-9F48-C03A7E1C1841}"/>
    <cellStyle name="20% - Accent2 4 5" xfId="1866" xr:uid="{00000000-0005-0000-0000-000027010000}"/>
    <cellStyle name="20% - Accent2 4 5 2" xfId="4095" xr:uid="{00000000-0005-0000-0000-000028010000}"/>
    <cellStyle name="20% - Accent2 4 5 2 2" xfId="8317" xr:uid="{00000000-0005-0000-0000-000029010000}"/>
    <cellStyle name="20% - Accent2 4 5 2 2 2" xfId="25208" xr:uid="{544864C5-554F-41E5-9103-2060CE2DBD67}"/>
    <cellStyle name="20% - Accent2 4 5 2 2 3" xfId="16767" xr:uid="{721C76C0-63AB-476C-AC80-AFBC8902B3E9}"/>
    <cellStyle name="20% - Accent2 4 5 2 3" xfId="20990" xr:uid="{4DAFF82E-F283-4C59-B73B-856E8300B1BA}"/>
    <cellStyle name="20% - Accent2 4 5 2 4" xfId="12549" xr:uid="{DACA0576-7073-4AF2-BEEF-A998C8D3D277}"/>
    <cellStyle name="20% - Accent2 4 5 3" xfId="6172" xr:uid="{00000000-0005-0000-0000-00002A010000}"/>
    <cellStyle name="20% - Accent2 4 5 3 2" xfId="23063" xr:uid="{4E29CC8C-7B13-4D9F-A7C0-E233B101082E}"/>
    <cellStyle name="20% - Accent2 4 5 3 3" xfId="14622" xr:uid="{B781989D-1AAC-4EC3-A956-96B113A0D175}"/>
    <cellStyle name="20% - Accent2 4 5 4" xfId="18845" xr:uid="{C10CEADA-99E6-4EE8-BB55-7463AF0D0F4C}"/>
    <cellStyle name="20% - Accent2 4 5 5" xfId="10404" xr:uid="{7EC126FF-5B65-4CD8-B037-C6DBBD04EC4E}"/>
    <cellStyle name="20% - Accent2 4 6" xfId="2279" xr:uid="{00000000-0005-0000-0000-00002B010000}"/>
    <cellStyle name="20% - Accent2 4 6 2" xfId="6585" xr:uid="{00000000-0005-0000-0000-00002C010000}"/>
    <cellStyle name="20% - Accent2 4 6 2 2" xfId="23476" xr:uid="{7BB574FE-34CC-4C13-9A9E-5C6893C89F01}"/>
    <cellStyle name="20% - Accent2 4 6 2 3" xfId="15035" xr:uid="{A7E9DCE8-8B51-4887-BDFD-8C10DBF79AED}"/>
    <cellStyle name="20% - Accent2 4 6 3" xfId="19258" xr:uid="{E4DBF872-59CF-4B0A-8739-79DA8CA48D7E}"/>
    <cellStyle name="20% - Accent2 4 6 4" xfId="10817" xr:uid="{4365F684-DF0D-4CD4-B6D6-3BC05D76A2A1}"/>
    <cellStyle name="20% - Accent2 4 7" xfId="4519" xr:uid="{00000000-0005-0000-0000-00002D010000}"/>
    <cellStyle name="20% - Accent2 4 7 2" xfId="21410" xr:uid="{8B995F9E-D187-4726-8A7A-79C1FA3BD909}"/>
    <cellStyle name="20% - Accent2 4 7 3" xfId="12969" xr:uid="{BCF7DD40-E907-4200-80B6-7E00BC2AF36B}"/>
    <cellStyle name="20% - Accent2 4 8" xfId="17192" xr:uid="{0F5CB278-7A77-4F7A-AB91-D154350322A2}"/>
    <cellStyle name="20% - Accent2 4 9" xfId="8751" xr:uid="{267C9761-414B-4A1A-815A-57BCE6B219DD}"/>
    <cellStyle name="20% - Accent2 5" xfId="578" xr:uid="{00000000-0005-0000-0000-00002E010000}"/>
    <cellStyle name="20% - Accent2 5 2" xfId="2849" xr:uid="{00000000-0005-0000-0000-00002F010000}"/>
    <cellStyle name="20% - Accent2 5 2 2" xfId="7071" xr:uid="{00000000-0005-0000-0000-000030010000}"/>
    <cellStyle name="20% - Accent2 5 2 2 2" xfId="23962" xr:uid="{CFE978C4-6579-40B5-9FFD-EEC126EA1CFE}"/>
    <cellStyle name="20% - Accent2 5 2 2 3" xfId="15521" xr:uid="{EEDC6291-93F2-456E-8AAF-E975EF76C57D}"/>
    <cellStyle name="20% - Accent2 5 2 3" xfId="19744" xr:uid="{B1C6E511-A5CC-46B7-BA11-8CCBC10158C6}"/>
    <cellStyle name="20% - Accent2 5 2 4" xfId="11303" xr:uid="{81451C14-9179-4372-B9F6-365747629AD6}"/>
    <cellStyle name="20% - Accent2 5 3" xfId="4926" xr:uid="{00000000-0005-0000-0000-000031010000}"/>
    <cellStyle name="20% - Accent2 5 3 2" xfId="21817" xr:uid="{4E3AEEA0-276D-4D10-B6C2-33501507D91D}"/>
    <cellStyle name="20% - Accent2 5 3 3" xfId="13376" xr:uid="{99BF8E8D-CE98-44DB-8233-68C84FF8E627}"/>
    <cellStyle name="20% - Accent2 5 4" xfId="17599" xr:uid="{53D61507-1F19-419C-B1BF-0CCC95F3C583}"/>
    <cellStyle name="20% - Accent2 5 5" xfId="9158" xr:uid="{0F54F756-6D3A-46B5-B829-299D6357EE3D}"/>
    <cellStyle name="20% - Accent2 6" xfId="1031" xr:uid="{00000000-0005-0000-0000-000032010000}"/>
    <cellStyle name="20% - Accent2 6 2" xfId="3262" xr:uid="{00000000-0005-0000-0000-000033010000}"/>
    <cellStyle name="20% - Accent2 6 2 2" xfId="7484" xr:uid="{00000000-0005-0000-0000-000034010000}"/>
    <cellStyle name="20% - Accent2 6 2 2 2" xfId="24375" xr:uid="{D159E69D-0F27-4E90-9FEC-31D85C62FE55}"/>
    <cellStyle name="20% - Accent2 6 2 2 3" xfId="15934" xr:uid="{DDD7A822-98B2-417B-8DEE-6EF579A4BD11}"/>
    <cellStyle name="20% - Accent2 6 2 3" xfId="20157" xr:uid="{EDB5ACB0-E04E-450E-8CC9-CDFF209C44C9}"/>
    <cellStyle name="20% - Accent2 6 2 4" xfId="11716" xr:uid="{93387790-F68B-49C8-9579-0087D88F771A}"/>
    <cellStyle name="20% - Accent2 6 3" xfId="5339" xr:uid="{00000000-0005-0000-0000-000035010000}"/>
    <cellStyle name="20% - Accent2 6 3 2" xfId="22230" xr:uid="{004D6B8A-0D1F-4A05-AC77-1053B3A9D20A}"/>
    <cellStyle name="20% - Accent2 6 3 3" xfId="13789" xr:uid="{848C7A07-B9ED-4EF1-BCF1-30F76BC9690D}"/>
    <cellStyle name="20% - Accent2 6 4" xfId="18012" xr:uid="{7D12BDDD-7531-49D2-B5F6-EF029565385C}"/>
    <cellStyle name="20% - Accent2 6 5" xfId="9571" xr:uid="{81EC7809-ACFC-497A-ADAC-695A82865D8C}"/>
    <cellStyle name="20% - Accent2 7" xfId="1445" xr:uid="{00000000-0005-0000-0000-000036010000}"/>
    <cellStyle name="20% - Accent2 7 2" xfId="3675" xr:uid="{00000000-0005-0000-0000-000037010000}"/>
    <cellStyle name="20% - Accent2 7 2 2" xfId="7897" xr:uid="{00000000-0005-0000-0000-000038010000}"/>
    <cellStyle name="20% - Accent2 7 2 2 2" xfId="24788" xr:uid="{3B1E4A33-F7D2-4650-BF99-FEBC3B28D9E3}"/>
    <cellStyle name="20% - Accent2 7 2 2 3" xfId="16347" xr:uid="{8495B5F2-F5F8-44A0-A8C4-3826A8229CC2}"/>
    <cellStyle name="20% - Accent2 7 2 3" xfId="20570" xr:uid="{3F533B56-AAFD-42F4-8E8A-4092BF548EA5}"/>
    <cellStyle name="20% - Accent2 7 2 4" xfId="12129" xr:uid="{25E0BC93-A25D-461A-9BC5-850176098A2C}"/>
    <cellStyle name="20% - Accent2 7 3" xfId="5752" xr:uid="{00000000-0005-0000-0000-000039010000}"/>
    <cellStyle name="20% - Accent2 7 3 2" xfId="22643" xr:uid="{29B25980-8125-42F1-8D66-0E28D81118BA}"/>
    <cellStyle name="20% - Accent2 7 3 3" xfId="14202" xr:uid="{B4AED645-8B9A-4D95-8E01-2F20CADD29B8}"/>
    <cellStyle name="20% - Accent2 7 4" xfId="18425" xr:uid="{BF8B41A3-D1EB-40C7-98F8-3A73D8A7FC1F}"/>
    <cellStyle name="20% - Accent2 7 5" xfId="9984" xr:uid="{72EA6BA9-1511-4C1F-875C-3B7902DFDCC0}"/>
    <cellStyle name="20% - Accent2 8" xfId="1859" xr:uid="{00000000-0005-0000-0000-00003A010000}"/>
    <cellStyle name="20% - Accent2 8 2" xfId="4088" xr:uid="{00000000-0005-0000-0000-00003B010000}"/>
    <cellStyle name="20% - Accent2 8 2 2" xfId="8310" xr:uid="{00000000-0005-0000-0000-00003C010000}"/>
    <cellStyle name="20% - Accent2 8 2 2 2" xfId="25201" xr:uid="{ADD3D7D2-9F30-45DF-8E4B-98E32D12C6C8}"/>
    <cellStyle name="20% - Accent2 8 2 2 3" xfId="16760" xr:uid="{F881DFFB-AE11-4A29-B05A-F7C7E7F483A2}"/>
    <cellStyle name="20% - Accent2 8 2 3" xfId="20983" xr:uid="{33D3EE8E-259D-4CEE-90D3-4C8F79C31451}"/>
    <cellStyle name="20% - Accent2 8 2 4" xfId="12542" xr:uid="{0F78ECF4-2565-4287-A8CC-914A9A4F528C}"/>
    <cellStyle name="20% - Accent2 8 3" xfId="6165" xr:uid="{00000000-0005-0000-0000-00003D010000}"/>
    <cellStyle name="20% - Accent2 8 3 2" xfId="23056" xr:uid="{ABD6E72A-ED4E-4B07-879C-24598CC0BB87}"/>
    <cellStyle name="20% - Accent2 8 3 3" xfId="14615" xr:uid="{20A6C9E3-C04B-45BF-92C1-90E4B94A2A7B}"/>
    <cellStyle name="20% - Accent2 8 4" xfId="18838" xr:uid="{E0705BC8-0CD6-4E83-9C28-C6FCF4E2112C}"/>
    <cellStyle name="20% - Accent2 8 5" xfId="10397" xr:uid="{C9BE5C19-FF48-45FF-A6BD-67DDCDBFE4B1}"/>
    <cellStyle name="20% - Accent2 9" xfId="2272" xr:uid="{00000000-0005-0000-0000-00003E010000}"/>
    <cellStyle name="20% - Accent2 9 2" xfId="6578" xr:uid="{00000000-0005-0000-0000-00003F010000}"/>
    <cellStyle name="20% - Accent2 9 2 2" xfId="23469" xr:uid="{C85E32D8-DD9B-4481-B6FC-AD204BE8EC8A}"/>
    <cellStyle name="20% - Accent2 9 2 3" xfId="15028" xr:uid="{2C56EFB9-BF1E-470E-A36D-28392307FC0D}"/>
    <cellStyle name="20% - Accent2 9 3" xfId="19251" xr:uid="{8B394F45-3D79-483C-9E54-7CF61F1022EF}"/>
    <cellStyle name="20% - Accent2 9 4" xfId="10810" xr:uid="{36345644-25E9-4DF3-86B9-A5686726BC8B}"/>
    <cellStyle name="20% - Accent3" xfId="17" builtinId="38" customBuiltin="1"/>
    <cellStyle name="20% - Accent3 10" xfId="4520" xr:uid="{00000000-0005-0000-0000-000041010000}"/>
    <cellStyle name="20% - Accent3 10 2" xfId="21411" xr:uid="{5D559F3C-9753-4836-95DE-5A1F479F6459}"/>
    <cellStyle name="20% - Accent3 10 3" xfId="12970" xr:uid="{132E54EF-3CF8-4411-9345-02C313CAE683}"/>
    <cellStyle name="20% - Accent3 11" xfId="17193" xr:uid="{0664890E-62C7-47CB-B716-4F067F6562A3}"/>
    <cellStyle name="20% - Accent3 12" xfId="8752" xr:uid="{F155D8C2-E6F7-40A6-AFDE-C0D70F846CBE}"/>
    <cellStyle name="20% - Accent3 2" xfId="18" xr:uid="{00000000-0005-0000-0000-000042010000}"/>
    <cellStyle name="20% - Accent3 2 10" xfId="17194" xr:uid="{E069511C-8890-4BCA-A1D7-20398790CAD4}"/>
    <cellStyle name="20% - Accent3 2 11" xfId="8753" xr:uid="{96BC1A5A-CD14-4037-B0CD-AD4BA685E163}"/>
    <cellStyle name="20% - Accent3 2 2" xfId="19" xr:uid="{00000000-0005-0000-0000-000043010000}"/>
    <cellStyle name="20% - Accent3 2 2 10" xfId="8754" xr:uid="{16A22E4E-90DF-4BB1-98C2-22EDEAAA8D9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2 2 2" xfId="23973" xr:uid="{DA02B3A9-05CF-45AC-B73E-733175001C4E}"/>
    <cellStyle name="20% - Accent3 2 2 2 2 2 2 3" xfId="15532" xr:uid="{FE38F713-EB0C-410F-BEF0-9C8C20D77856}"/>
    <cellStyle name="20% - Accent3 2 2 2 2 2 3" xfId="19755" xr:uid="{6DA421A5-6339-464B-B79E-D8EF774948E1}"/>
    <cellStyle name="20% - Accent3 2 2 2 2 2 4" xfId="11314" xr:uid="{0BC61E6D-02BD-409F-A108-E450F060C053}"/>
    <cellStyle name="20% - Accent3 2 2 2 2 3" xfId="4937" xr:uid="{00000000-0005-0000-0000-000048010000}"/>
    <cellStyle name="20% - Accent3 2 2 2 2 3 2" xfId="21828" xr:uid="{A8D6F4B2-EECE-40E4-AEFA-EBCFA32C3E71}"/>
    <cellStyle name="20% - Accent3 2 2 2 2 3 3" xfId="13387" xr:uid="{0AC60960-A54D-494F-B4AA-EAF90661510E}"/>
    <cellStyle name="20% - Accent3 2 2 2 2 4" xfId="17610" xr:uid="{83039DE3-8936-4137-B253-B339D20C1A1F}"/>
    <cellStyle name="20% - Accent3 2 2 2 2 5" xfId="9169" xr:uid="{1DC3212E-61E0-45FB-9BF2-66AD6D6BE336}"/>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2 2 2" xfId="24386" xr:uid="{77961AC8-4B83-4BCF-9F88-F43998799D0B}"/>
    <cellStyle name="20% - Accent3 2 2 2 3 2 2 3" xfId="15945" xr:uid="{122A625C-4139-4602-8929-120B6E5E2D60}"/>
    <cellStyle name="20% - Accent3 2 2 2 3 2 3" xfId="20168" xr:uid="{B39ED6FE-9112-4A03-BE97-BB8F3F7F7E0A}"/>
    <cellStyle name="20% - Accent3 2 2 2 3 2 4" xfId="11727" xr:uid="{79599B55-190E-4D85-9D87-0C19BCB5F6AB}"/>
    <cellStyle name="20% - Accent3 2 2 2 3 3" xfId="5350" xr:uid="{00000000-0005-0000-0000-00004C010000}"/>
    <cellStyle name="20% - Accent3 2 2 2 3 3 2" xfId="22241" xr:uid="{DC4B829A-ECB3-41A8-9F2B-5FF6929186A5}"/>
    <cellStyle name="20% - Accent3 2 2 2 3 3 3" xfId="13800" xr:uid="{A8405A63-0DA3-491E-A8C6-428F7A805D5E}"/>
    <cellStyle name="20% - Accent3 2 2 2 3 4" xfId="18023" xr:uid="{9A55D80D-56EE-4FEA-AD76-24923835CB1D}"/>
    <cellStyle name="20% - Accent3 2 2 2 3 5" xfId="9582" xr:uid="{EDF25EE2-5328-425F-A723-5E4E831EDF78}"/>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2 2 2" xfId="24799" xr:uid="{03546D61-72AC-49F3-9E44-2BDBCBFC56E7}"/>
    <cellStyle name="20% - Accent3 2 2 2 4 2 2 3" xfId="16358" xr:uid="{F55D7ABA-05D8-4351-9E88-03DC5761B0E4}"/>
    <cellStyle name="20% - Accent3 2 2 2 4 2 3" xfId="20581" xr:uid="{0DEE1AD6-EE8B-4B90-8CC8-42452F426784}"/>
    <cellStyle name="20% - Accent3 2 2 2 4 2 4" xfId="12140" xr:uid="{F2334C6D-EBD0-4E1B-8064-EE077CEE54DB}"/>
    <cellStyle name="20% - Accent3 2 2 2 4 3" xfId="5763" xr:uid="{00000000-0005-0000-0000-000050010000}"/>
    <cellStyle name="20% - Accent3 2 2 2 4 3 2" xfId="22654" xr:uid="{AC601D36-5AEC-414A-9302-3D12776E1CEA}"/>
    <cellStyle name="20% - Accent3 2 2 2 4 3 3" xfId="14213" xr:uid="{E7180460-C1AD-40DB-8A2B-C629B9F042BB}"/>
    <cellStyle name="20% - Accent3 2 2 2 4 4" xfId="18436" xr:uid="{DFBFAA56-5DC4-4EB6-9119-1FDE5F2A93B8}"/>
    <cellStyle name="20% - Accent3 2 2 2 4 5" xfId="9995" xr:uid="{6E7C7A18-ECE6-4ED8-8019-58C234EE4DA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2 2 2" xfId="25212" xr:uid="{97F1B06E-99D2-4C5A-BB84-8F967394BAAB}"/>
    <cellStyle name="20% - Accent3 2 2 2 5 2 2 3" xfId="16771" xr:uid="{6DB38BC7-17B5-4C35-83C6-E2E009554120}"/>
    <cellStyle name="20% - Accent3 2 2 2 5 2 3" xfId="20994" xr:uid="{01E5C612-7BBA-455F-B3F7-71B15DFC0731}"/>
    <cellStyle name="20% - Accent3 2 2 2 5 2 4" xfId="12553" xr:uid="{7E9F15FB-DB19-4A5F-98AF-3DEA4634C91D}"/>
    <cellStyle name="20% - Accent3 2 2 2 5 3" xfId="6176" xr:uid="{00000000-0005-0000-0000-000054010000}"/>
    <cellStyle name="20% - Accent3 2 2 2 5 3 2" xfId="23067" xr:uid="{A68CF090-CC32-4180-89DE-A142E6B3C6F1}"/>
    <cellStyle name="20% - Accent3 2 2 2 5 3 3" xfId="14626" xr:uid="{B25BD176-FC35-49B9-9C52-C340A7B2426E}"/>
    <cellStyle name="20% - Accent3 2 2 2 5 4" xfId="18849" xr:uid="{668F752E-A31B-49D0-A43E-9C6A96A3F098}"/>
    <cellStyle name="20% - Accent3 2 2 2 5 5" xfId="10408" xr:uid="{92700062-A48D-4271-9BE1-99A455C3EA77}"/>
    <cellStyle name="20% - Accent3 2 2 2 6" xfId="2283" xr:uid="{00000000-0005-0000-0000-000055010000}"/>
    <cellStyle name="20% - Accent3 2 2 2 6 2" xfId="6589" xr:uid="{00000000-0005-0000-0000-000056010000}"/>
    <cellStyle name="20% - Accent3 2 2 2 6 2 2" xfId="23480" xr:uid="{15A86641-DBF8-4D4B-BBDD-845407AF62EA}"/>
    <cellStyle name="20% - Accent3 2 2 2 6 2 3" xfId="15039" xr:uid="{485BC7ED-72AE-4D54-9820-D0697577A376}"/>
    <cellStyle name="20% - Accent3 2 2 2 6 3" xfId="19262" xr:uid="{1B694447-F99D-4269-A967-E8AEDB7D75E0}"/>
    <cellStyle name="20% - Accent3 2 2 2 6 4" xfId="10821" xr:uid="{12E1E7FA-5F1C-4C59-8675-0214FDEF002F}"/>
    <cellStyle name="20% - Accent3 2 2 2 7" xfId="4523" xr:uid="{00000000-0005-0000-0000-000057010000}"/>
    <cellStyle name="20% - Accent3 2 2 2 7 2" xfId="21414" xr:uid="{4487243B-7112-4C04-BD27-A8BA5F0A0D73}"/>
    <cellStyle name="20% - Accent3 2 2 2 7 3" xfId="12973" xr:uid="{9E5521B2-C6FB-4405-A181-4759312093F9}"/>
    <cellStyle name="20% - Accent3 2 2 2 8" xfId="17196" xr:uid="{DA2A8BAD-EE1A-4754-AD0F-385D4F426CA6}"/>
    <cellStyle name="20% - Accent3 2 2 2 9" xfId="8755" xr:uid="{2C7D8111-D63E-4A6D-86D9-A94FD594495F}"/>
    <cellStyle name="20% - Accent3 2 2 3" xfId="588" xr:uid="{00000000-0005-0000-0000-000058010000}"/>
    <cellStyle name="20% - Accent3 2 2 3 2" xfId="2859" xr:uid="{00000000-0005-0000-0000-000059010000}"/>
    <cellStyle name="20% - Accent3 2 2 3 2 2" xfId="7081" xr:uid="{00000000-0005-0000-0000-00005A010000}"/>
    <cellStyle name="20% - Accent3 2 2 3 2 2 2" xfId="23972" xr:uid="{15AD735C-5D1C-41FF-925C-46211E223F86}"/>
    <cellStyle name="20% - Accent3 2 2 3 2 2 3" xfId="15531" xr:uid="{03FAA426-9D0D-44B9-985D-7FAD72B10770}"/>
    <cellStyle name="20% - Accent3 2 2 3 2 3" xfId="19754" xr:uid="{ACFAC0AF-7717-4D85-A8AB-0CE7A045FC7E}"/>
    <cellStyle name="20% - Accent3 2 2 3 2 4" xfId="11313" xr:uid="{205C0D58-01A8-4AE2-A124-49FF3A835107}"/>
    <cellStyle name="20% - Accent3 2 2 3 3" xfId="4936" xr:uid="{00000000-0005-0000-0000-00005B010000}"/>
    <cellStyle name="20% - Accent3 2 2 3 3 2" xfId="21827" xr:uid="{05BC79D4-133B-4B68-B05A-A2795E9DA384}"/>
    <cellStyle name="20% - Accent3 2 2 3 3 3" xfId="13386" xr:uid="{E4D0CD4E-4E38-40A4-9713-3E3960DDF059}"/>
    <cellStyle name="20% - Accent3 2 2 3 4" xfId="17609" xr:uid="{56D92604-2E8F-4AC8-9B88-D5F6DD17E5BC}"/>
    <cellStyle name="20% - Accent3 2 2 3 5" xfId="9168" xr:uid="{C8F9324A-FE40-4160-BF1A-DEFCA0E0614C}"/>
    <cellStyle name="20% - Accent3 2 2 4" xfId="1041" xr:uid="{00000000-0005-0000-0000-00005C010000}"/>
    <cellStyle name="20% - Accent3 2 2 4 2" xfId="3272" xr:uid="{00000000-0005-0000-0000-00005D010000}"/>
    <cellStyle name="20% - Accent3 2 2 4 2 2" xfId="7494" xr:uid="{00000000-0005-0000-0000-00005E010000}"/>
    <cellStyle name="20% - Accent3 2 2 4 2 2 2" xfId="24385" xr:uid="{ED494B7D-F5A0-40A9-9CFE-9B46AE85E1C2}"/>
    <cellStyle name="20% - Accent3 2 2 4 2 2 3" xfId="15944" xr:uid="{21626A1B-0112-4F7D-9E36-CFC330CFA481}"/>
    <cellStyle name="20% - Accent3 2 2 4 2 3" xfId="20167" xr:uid="{03D23F61-0890-4D4D-8A74-DB832695CFD3}"/>
    <cellStyle name="20% - Accent3 2 2 4 2 4" xfId="11726" xr:uid="{F076A0D8-0AC7-41B8-862A-66AEF33BB1AE}"/>
    <cellStyle name="20% - Accent3 2 2 4 3" xfId="5349" xr:uid="{00000000-0005-0000-0000-00005F010000}"/>
    <cellStyle name="20% - Accent3 2 2 4 3 2" xfId="22240" xr:uid="{E9ABEE19-D1A9-47FF-93F6-27217A156491}"/>
    <cellStyle name="20% - Accent3 2 2 4 3 3" xfId="13799" xr:uid="{EB670B8E-4DF6-4533-B45A-DDF0D8E99D8A}"/>
    <cellStyle name="20% - Accent3 2 2 4 4" xfId="18022" xr:uid="{2501FC79-32BD-4A30-A273-27EA2A8CF20F}"/>
    <cellStyle name="20% - Accent3 2 2 4 5" xfId="9581" xr:uid="{09A016C0-D553-477B-843A-583772CCA9DD}"/>
    <cellStyle name="20% - Accent3 2 2 5" xfId="1455" xr:uid="{00000000-0005-0000-0000-000060010000}"/>
    <cellStyle name="20% - Accent3 2 2 5 2" xfId="3685" xr:uid="{00000000-0005-0000-0000-000061010000}"/>
    <cellStyle name="20% - Accent3 2 2 5 2 2" xfId="7907" xr:uid="{00000000-0005-0000-0000-000062010000}"/>
    <cellStyle name="20% - Accent3 2 2 5 2 2 2" xfId="24798" xr:uid="{2186E8D4-5413-484B-A9E8-CD30F90F19CE}"/>
    <cellStyle name="20% - Accent3 2 2 5 2 2 3" xfId="16357" xr:uid="{328E9750-D80D-4F30-9FB1-EE7D00280973}"/>
    <cellStyle name="20% - Accent3 2 2 5 2 3" xfId="20580" xr:uid="{FBC978EF-C2F3-4D59-B582-86E50379C333}"/>
    <cellStyle name="20% - Accent3 2 2 5 2 4" xfId="12139" xr:uid="{98E434DB-1047-413D-ABFC-EE198D4BD27A}"/>
    <cellStyle name="20% - Accent3 2 2 5 3" xfId="5762" xr:uid="{00000000-0005-0000-0000-000063010000}"/>
    <cellStyle name="20% - Accent3 2 2 5 3 2" xfId="22653" xr:uid="{8F7A6EAE-8417-45BE-9692-1B50A81F1B28}"/>
    <cellStyle name="20% - Accent3 2 2 5 3 3" xfId="14212" xr:uid="{D8A2DE78-6643-4B9D-AF05-5752D099149C}"/>
    <cellStyle name="20% - Accent3 2 2 5 4" xfId="18435" xr:uid="{3489BC6A-7953-4105-8E91-757174442213}"/>
    <cellStyle name="20% - Accent3 2 2 5 5" xfId="9994" xr:uid="{55FC49A9-1F8D-4D64-B8FB-1C867ADD92A1}"/>
    <cellStyle name="20% - Accent3 2 2 6" xfId="1869" xr:uid="{00000000-0005-0000-0000-000064010000}"/>
    <cellStyle name="20% - Accent3 2 2 6 2" xfId="4098" xr:uid="{00000000-0005-0000-0000-000065010000}"/>
    <cellStyle name="20% - Accent3 2 2 6 2 2" xfId="8320" xr:uid="{00000000-0005-0000-0000-000066010000}"/>
    <cellStyle name="20% - Accent3 2 2 6 2 2 2" xfId="25211" xr:uid="{9A52107E-0FE5-421C-802D-4CD988007E5C}"/>
    <cellStyle name="20% - Accent3 2 2 6 2 2 3" xfId="16770" xr:uid="{53239A8A-D4DF-4616-9C0B-87C4AC0CC5E0}"/>
    <cellStyle name="20% - Accent3 2 2 6 2 3" xfId="20993" xr:uid="{117360B3-0913-4D98-BA97-788DEAB25B6D}"/>
    <cellStyle name="20% - Accent3 2 2 6 2 4" xfId="12552" xr:uid="{2FB0A1DB-66B7-44C1-A79E-BD9F1F2B4BF5}"/>
    <cellStyle name="20% - Accent3 2 2 6 3" xfId="6175" xr:uid="{00000000-0005-0000-0000-000067010000}"/>
    <cellStyle name="20% - Accent3 2 2 6 3 2" xfId="23066" xr:uid="{56E22C13-9399-47BB-B756-172BDA642C8F}"/>
    <cellStyle name="20% - Accent3 2 2 6 3 3" xfId="14625" xr:uid="{D051D1E7-99A8-4416-9429-44B32ECAA696}"/>
    <cellStyle name="20% - Accent3 2 2 6 4" xfId="18848" xr:uid="{C43DF425-57D8-49C2-82F9-4593D6F7F5DB}"/>
    <cellStyle name="20% - Accent3 2 2 6 5" xfId="10407" xr:uid="{78D60BA6-7663-4AED-807B-78C4DC6D2705}"/>
    <cellStyle name="20% - Accent3 2 2 7" xfId="2282" xr:uid="{00000000-0005-0000-0000-000068010000}"/>
    <cellStyle name="20% - Accent3 2 2 7 2" xfId="6588" xr:uid="{00000000-0005-0000-0000-000069010000}"/>
    <cellStyle name="20% - Accent3 2 2 7 2 2" xfId="23479" xr:uid="{06433F49-6FA4-4BB2-9E61-CF231655C7A5}"/>
    <cellStyle name="20% - Accent3 2 2 7 2 3" xfId="15038" xr:uid="{EB15C6DB-5EB8-4389-9DA3-D836FCCD013D}"/>
    <cellStyle name="20% - Accent3 2 2 7 3" xfId="19261" xr:uid="{85ECB4D4-5313-4E43-821D-AB63229F1662}"/>
    <cellStyle name="20% - Accent3 2 2 7 4" xfId="10820" xr:uid="{AD07EFF8-B00A-4C4A-91CD-FE30247EADBA}"/>
    <cellStyle name="20% - Accent3 2 2 8" xfId="4522" xr:uid="{00000000-0005-0000-0000-00006A010000}"/>
    <cellStyle name="20% - Accent3 2 2 8 2" xfId="21413" xr:uid="{33290A4F-86B8-47CE-B6C6-659996498C07}"/>
    <cellStyle name="20% - Accent3 2 2 8 3" xfId="12972" xr:uid="{549F0D46-A469-43B0-A443-4161E48E3689}"/>
    <cellStyle name="20% - Accent3 2 2 9" xfId="17195" xr:uid="{4C57C98C-F80D-4CFD-854B-80546C4C76A9}"/>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2 2 2" xfId="23974" xr:uid="{DD90E3CB-E3FB-4733-9683-28E67E5BE007}"/>
    <cellStyle name="20% - Accent3 2 3 2 2 2 3" xfId="15533" xr:uid="{50DCEDDA-D11A-4ED1-AB6F-D77D3410A40E}"/>
    <cellStyle name="20% - Accent3 2 3 2 2 3" xfId="19756" xr:uid="{549A5B26-0F94-4D27-A831-74873C4192B9}"/>
    <cellStyle name="20% - Accent3 2 3 2 2 4" xfId="11315" xr:uid="{910B9C8B-D85C-4A27-A8EE-61557E3CCAA9}"/>
    <cellStyle name="20% - Accent3 2 3 2 3" xfId="4938" xr:uid="{00000000-0005-0000-0000-00006F010000}"/>
    <cellStyle name="20% - Accent3 2 3 2 3 2" xfId="21829" xr:uid="{F3DC78B2-111E-474F-95E0-648C366F14A2}"/>
    <cellStyle name="20% - Accent3 2 3 2 3 3" xfId="13388" xr:uid="{F1695FC9-B179-4960-8493-4F6E78CE6000}"/>
    <cellStyle name="20% - Accent3 2 3 2 4" xfId="17611" xr:uid="{4FC312F8-42F7-4935-AABB-3211356CB963}"/>
    <cellStyle name="20% - Accent3 2 3 2 5" xfId="9170" xr:uid="{F33C7466-14C5-4FC3-A60E-850552C3CF91}"/>
    <cellStyle name="20% - Accent3 2 3 3" xfId="1043" xr:uid="{00000000-0005-0000-0000-000070010000}"/>
    <cellStyle name="20% - Accent3 2 3 3 2" xfId="3274" xr:uid="{00000000-0005-0000-0000-000071010000}"/>
    <cellStyle name="20% - Accent3 2 3 3 2 2" xfId="7496" xr:uid="{00000000-0005-0000-0000-000072010000}"/>
    <cellStyle name="20% - Accent3 2 3 3 2 2 2" xfId="24387" xr:uid="{A13ED66E-8F8E-4923-9E61-95E8AC5FD768}"/>
    <cellStyle name="20% - Accent3 2 3 3 2 2 3" xfId="15946" xr:uid="{275C20CE-0A9F-4FDD-BF4B-24BFCA9A5179}"/>
    <cellStyle name="20% - Accent3 2 3 3 2 3" xfId="20169" xr:uid="{B7B12C50-95D6-4839-AEC3-ECA11E254307}"/>
    <cellStyle name="20% - Accent3 2 3 3 2 4" xfId="11728" xr:uid="{37F4686E-A521-4569-BF9B-8D819084460A}"/>
    <cellStyle name="20% - Accent3 2 3 3 3" xfId="5351" xr:uid="{00000000-0005-0000-0000-000073010000}"/>
    <cellStyle name="20% - Accent3 2 3 3 3 2" xfId="22242" xr:uid="{1E14B699-ED72-47FE-AFD7-A92647389720}"/>
    <cellStyle name="20% - Accent3 2 3 3 3 3" xfId="13801" xr:uid="{284791E8-A4DF-4BF4-9FED-1B8BF1003DD7}"/>
    <cellStyle name="20% - Accent3 2 3 3 4" xfId="18024" xr:uid="{A8B1F389-ABA8-4F61-AC0A-92752558F218}"/>
    <cellStyle name="20% - Accent3 2 3 3 5" xfId="9583" xr:uid="{3C3249F0-C076-4E64-89A5-964072F75945}"/>
    <cellStyle name="20% - Accent3 2 3 4" xfId="1457" xr:uid="{00000000-0005-0000-0000-000074010000}"/>
    <cellStyle name="20% - Accent3 2 3 4 2" xfId="3687" xr:uid="{00000000-0005-0000-0000-000075010000}"/>
    <cellStyle name="20% - Accent3 2 3 4 2 2" xfId="7909" xr:uid="{00000000-0005-0000-0000-000076010000}"/>
    <cellStyle name="20% - Accent3 2 3 4 2 2 2" xfId="24800" xr:uid="{08015810-0B0A-41CC-91A1-96292CF5B094}"/>
    <cellStyle name="20% - Accent3 2 3 4 2 2 3" xfId="16359" xr:uid="{B3B99A1C-73ED-4B50-AC4D-FD53020E33D5}"/>
    <cellStyle name="20% - Accent3 2 3 4 2 3" xfId="20582" xr:uid="{F2A3EBB9-65EC-44E5-970B-032C72DC6950}"/>
    <cellStyle name="20% - Accent3 2 3 4 2 4" xfId="12141" xr:uid="{FD6B6C4D-A883-40BB-84DB-2DB9ED5499D1}"/>
    <cellStyle name="20% - Accent3 2 3 4 3" xfId="5764" xr:uid="{00000000-0005-0000-0000-000077010000}"/>
    <cellStyle name="20% - Accent3 2 3 4 3 2" xfId="22655" xr:uid="{6A777CDB-E150-4631-8DEC-B08DACEE0116}"/>
    <cellStyle name="20% - Accent3 2 3 4 3 3" xfId="14214" xr:uid="{1BD29224-8FF5-4518-9937-E543D9B30617}"/>
    <cellStyle name="20% - Accent3 2 3 4 4" xfId="18437" xr:uid="{9F6FBA17-3A54-4539-9AB0-CA0D5FD3218B}"/>
    <cellStyle name="20% - Accent3 2 3 4 5" xfId="9996" xr:uid="{E605F161-1FF4-4F24-A779-D84B3EC14470}"/>
    <cellStyle name="20% - Accent3 2 3 5" xfId="1871" xr:uid="{00000000-0005-0000-0000-000078010000}"/>
    <cellStyle name="20% - Accent3 2 3 5 2" xfId="4100" xr:uid="{00000000-0005-0000-0000-000079010000}"/>
    <cellStyle name="20% - Accent3 2 3 5 2 2" xfId="8322" xr:uid="{00000000-0005-0000-0000-00007A010000}"/>
    <cellStyle name="20% - Accent3 2 3 5 2 2 2" xfId="25213" xr:uid="{6E92367C-5499-4589-AA04-6A5B3FBEBEB3}"/>
    <cellStyle name="20% - Accent3 2 3 5 2 2 3" xfId="16772" xr:uid="{AF1893A9-C602-4572-ACCC-448E2E15FCF2}"/>
    <cellStyle name="20% - Accent3 2 3 5 2 3" xfId="20995" xr:uid="{6206164B-5451-4E7D-B7D0-C617F72CB1B9}"/>
    <cellStyle name="20% - Accent3 2 3 5 2 4" xfId="12554" xr:uid="{06BF536A-30DC-4F1D-BBAA-031A67C9664C}"/>
    <cellStyle name="20% - Accent3 2 3 5 3" xfId="6177" xr:uid="{00000000-0005-0000-0000-00007B010000}"/>
    <cellStyle name="20% - Accent3 2 3 5 3 2" xfId="23068" xr:uid="{3B0557FE-9B0F-44E1-896B-380EB9D9A959}"/>
    <cellStyle name="20% - Accent3 2 3 5 3 3" xfId="14627" xr:uid="{A4336130-2C65-40F4-9CA2-FFEF591132E9}"/>
    <cellStyle name="20% - Accent3 2 3 5 4" xfId="18850" xr:uid="{5E6E8870-91F5-49F9-8C88-76DD86C5F201}"/>
    <cellStyle name="20% - Accent3 2 3 5 5" xfId="10409" xr:uid="{C398AE9E-4A71-4650-AF1C-007FD56E0149}"/>
    <cellStyle name="20% - Accent3 2 3 6" xfId="2284" xr:uid="{00000000-0005-0000-0000-00007C010000}"/>
    <cellStyle name="20% - Accent3 2 3 6 2" xfId="6590" xr:uid="{00000000-0005-0000-0000-00007D010000}"/>
    <cellStyle name="20% - Accent3 2 3 6 2 2" xfId="23481" xr:uid="{4486527D-CA83-46E6-BE48-B4E377CA5873}"/>
    <cellStyle name="20% - Accent3 2 3 6 2 3" xfId="15040" xr:uid="{5BD2B90D-2792-4BF5-A0FA-942A8377FBC4}"/>
    <cellStyle name="20% - Accent3 2 3 6 3" xfId="19263" xr:uid="{D77E698F-1BD5-4649-A0F5-A09F7996FD0F}"/>
    <cellStyle name="20% - Accent3 2 3 6 4" xfId="10822" xr:uid="{7A3BB912-54BA-46E7-B10E-89856894CFB4}"/>
    <cellStyle name="20% - Accent3 2 3 7" xfId="4524" xr:uid="{00000000-0005-0000-0000-00007E010000}"/>
    <cellStyle name="20% - Accent3 2 3 7 2" xfId="21415" xr:uid="{3E218E70-3731-4F32-B997-75A0DB9707CA}"/>
    <cellStyle name="20% - Accent3 2 3 7 3" xfId="12974" xr:uid="{9D85ED01-79B3-40F4-81FC-83B14CF135DD}"/>
    <cellStyle name="20% - Accent3 2 3 8" xfId="17197" xr:uid="{357EB431-7891-4A0C-9203-493FBDA15B12}"/>
    <cellStyle name="20% - Accent3 2 3 9" xfId="8756" xr:uid="{299ECE70-C3E2-47F8-9D3B-5288380A314E}"/>
    <cellStyle name="20% - Accent3 2 4" xfId="587" xr:uid="{00000000-0005-0000-0000-00007F010000}"/>
    <cellStyle name="20% - Accent3 2 4 2" xfId="2858" xr:uid="{00000000-0005-0000-0000-000080010000}"/>
    <cellStyle name="20% - Accent3 2 4 2 2" xfId="7080" xr:uid="{00000000-0005-0000-0000-000081010000}"/>
    <cellStyle name="20% - Accent3 2 4 2 2 2" xfId="23971" xr:uid="{5BBBA35B-C02F-41AE-A094-A4011FFA3F61}"/>
    <cellStyle name="20% - Accent3 2 4 2 2 3" xfId="15530" xr:uid="{E04D484C-85F5-4984-B4DA-7DE0261A22E8}"/>
    <cellStyle name="20% - Accent3 2 4 2 3" xfId="19753" xr:uid="{FA31CF01-4C5D-4F81-BCDB-7E108F23AD88}"/>
    <cellStyle name="20% - Accent3 2 4 2 4" xfId="11312" xr:uid="{A39BA654-CF34-4E42-8505-9F10633A8FD3}"/>
    <cellStyle name="20% - Accent3 2 4 3" xfId="4935" xr:uid="{00000000-0005-0000-0000-000082010000}"/>
    <cellStyle name="20% - Accent3 2 4 3 2" xfId="21826" xr:uid="{66F8C86F-196D-485C-9513-3A1C043D92F7}"/>
    <cellStyle name="20% - Accent3 2 4 3 3" xfId="13385" xr:uid="{3D4DDEF8-6158-4231-8BC3-EBD2F93FE10A}"/>
    <cellStyle name="20% - Accent3 2 4 4" xfId="17608" xr:uid="{7678F237-18FB-4A37-B86C-4820126F1462}"/>
    <cellStyle name="20% - Accent3 2 4 5" xfId="9167" xr:uid="{1B83A956-0057-491A-A632-170EA28585C2}"/>
    <cellStyle name="20% - Accent3 2 5" xfId="1040" xr:uid="{00000000-0005-0000-0000-000083010000}"/>
    <cellStyle name="20% - Accent3 2 5 2" xfId="3271" xr:uid="{00000000-0005-0000-0000-000084010000}"/>
    <cellStyle name="20% - Accent3 2 5 2 2" xfId="7493" xr:uid="{00000000-0005-0000-0000-000085010000}"/>
    <cellStyle name="20% - Accent3 2 5 2 2 2" xfId="24384" xr:uid="{E7140C15-A469-49B8-B024-79B4DE0398D9}"/>
    <cellStyle name="20% - Accent3 2 5 2 2 3" xfId="15943" xr:uid="{739F98EB-422D-4A88-9C28-6AC0F69894C7}"/>
    <cellStyle name="20% - Accent3 2 5 2 3" xfId="20166" xr:uid="{927DD551-0338-4347-8DCC-1EA9A01D2EB6}"/>
    <cellStyle name="20% - Accent3 2 5 2 4" xfId="11725" xr:uid="{C9CB680B-5DF3-4C8D-B2E8-A16E99655E4A}"/>
    <cellStyle name="20% - Accent3 2 5 3" xfId="5348" xr:uid="{00000000-0005-0000-0000-000086010000}"/>
    <cellStyle name="20% - Accent3 2 5 3 2" xfId="22239" xr:uid="{2AF1926A-8EDD-4E7E-879E-ABC1A1A3A94E}"/>
    <cellStyle name="20% - Accent3 2 5 3 3" xfId="13798" xr:uid="{36223417-E203-4CC2-8F95-8F5AF9C74107}"/>
    <cellStyle name="20% - Accent3 2 5 4" xfId="18021" xr:uid="{A461EB8F-4BC1-4666-AD07-52A75CCB9BFC}"/>
    <cellStyle name="20% - Accent3 2 5 5" xfId="9580" xr:uid="{68E52EEA-DB3F-4384-9FC3-BC450AE6AB12}"/>
    <cellStyle name="20% - Accent3 2 6" xfId="1454" xr:uid="{00000000-0005-0000-0000-000087010000}"/>
    <cellStyle name="20% - Accent3 2 6 2" xfId="3684" xr:uid="{00000000-0005-0000-0000-000088010000}"/>
    <cellStyle name="20% - Accent3 2 6 2 2" xfId="7906" xr:uid="{00000000-0005-0000-0000-000089010000}"/>
    <cellStyle name="20% - Accent3 2 6 2 2 2" xfId="24797" xr:uid="{CCB96E7B-33C6-430B-9520-8266CC01ED99}"/>
    <cellStyle name="20% - Accent3 2 6 2 2 3" xfId="16356" xr:uid="{04068BCE-C660-47EC-99D2-4252B20315BC}"/>
    <cellStyle name="20% - Accent3 2 6 2 3" xfId="20579" xr:uid="{5F7F692B-62D4-44AB-B749-B32F2612895D}"/>
    <cellStyle name="20% - Accent3 2 6 2 4" xfId="12138" xr:uid="{06DC97BC-A2B1-46B4-9CAF-727EB50F8289}"/>
    <cellStyle name="20% - Accent3 2 6 3" xfId="5761" xr:uid="{00000000-0005-0000-0000-00008A010000}"/>
    <cellStyle name="20% - Accent3 2 6 3 2" xfId="22652" xr:uid="{089C22D4-544D-41BA-A0A7-3BEFB1EB3453}"/>
    <cellStyle name="20% - Accent3 2 6 3 3" xfId="14211" xr:uid="{5918B141-A626-4CF9-8A31-02F50FE19FD6}"/>
    <cellStyle name="20% - Accent3 2 6 4" xfId="18434" xr:uid="{4AF8CF11-1F2F-474C-80A5-54A737CCCBB8}"/>
    <cellStyle name="20% - Accent3 2 6 5" xfId="9993" xr:uid="{C1F43A40-CF65-4B0D-97D1-842E956250B0}"/>
    <cellStyle name="20% - Accent3 2 7" xfId="1868" xr:uid="{00000000-0005-0000-0000-00008B010000}"/>
    <cellStyle name="20% - Accent3 2 7 2" xfId="4097" xr:uid="{00000000-0005-0000-0000-00008C010000}"/>
    <cellStyle name="20% - Accent3 2 7 2 2" xfId="8319" xr:uid="{00000000-0005-0000-0000-00008D010000}"/>
    <cellStyle name="20% - Accent3 2 7 2 2 2" xfId="25210" xr:uid="{9AB81CC6-9F30-43D9-922F-2AE25B0C4F5A}"/>
    <cellStyle name="20% - Accent3 2 7 2 2 3" xfId="16769" xr:uid="{2B360B53-C377-4CEA-A674-D1194176B3BB}"/>
    <cellStyle name="20% - Accent3 2 7 2 3" xfId="20992" xr:uid="{CA5365B2-3253-4ED0-9542-D83B5B187039}"/>
    <cellStyle name="20% - Accent3 2 7 2 4" xfId="12551" xr:uid="{AF833922-BE86-429F-BC93-16CEAC66EAE8}"/>
    <cellStyle name="20% - Accent3 2 7 3" xfId="6174" xr:uid="{00000000-0005-0000-0000-00008E010000}"/>
    <cellStyle name="20% - Accent3 2 7 3 2" xfId="23065" xr:uid="{CF573CA9-494D-4593-A4A0-38E75A2E7CE5}"/>
    <cellStyle name="20% - Accent3 2 7 3 3" xfId="14624" xr:uid="{C58C8246-BD8C-4608-977F-E5E7854F9BFE}"/>
    <cellStyle name="20% - Accent3 2 7 4" xfId="18847" xr:uid="{01D0220E-2944-4971-9C39-A978A5428894}"/>
    <cellStyle name="20% - Accent3 2 7 5" xfId="10406" xr:uid="{FE9FFD43-E52E-47CD-80DD-C6ACF12D48C9}"/>
    <cellStyle name="20% - Accent3 2 8" xfId="2281" xr:uid="{00000000-0005-0000-0000-00008F010000}"/>
    <cellStyle name="20% - Accent3 2 8 2" xfId="6587" xr:uid="{00000000-0005-0000-0000-000090010000}"/>
    <cellStyle name="20% - Accent3 2 8 2 2" xfId="23478" xr:uid="{37014909-6029-4E92-8C62-4149E6C72B7C}"/>
    <cellStyle name="20% - Accent3 2 8 2 3" xfId="15037" xr:uid="{EF3858DD-BB02-4320-BC3D-C13C85F7F733}"/>
    <cellStyle name="20% - Accent3 2 8 3" xfId="19260" xr:uid="{D7B9D6B1-FA22-42BB-A9D5-009EA5DCE907}"/>
    <cellStyle name="20% - Accent3 2 8 4" xfId="10819" xr:uid="{AF0DD6AD-CE96-431A-AA6E-42A34863D0E2}"/>
    <cellStyle name="20% - Accent3 2 9" xfId="4521" xr:uid="{00000000-0005-0000-0000-000091010000}"/>
    <cellStyle name="20% - Accent3 2 9 2" xfId="21412" xr:uid="{94FA0F3C-FB0F-4E70-93FE-5CF689F6255E}"/>
    <cellStyle name="20% - Accent3 2 9 3" xfId="12971" xr:uid="{48500673-BAC9-4C08-9D6E-69F170FAEBB0}"/>
    <cellStyle name="20% - Accent3 3" xfId="22" xr:uid="{00000000-0005-0000-0000-000092010000}"/>
    <cellStyle name="20% - Accent3 3 10" xfId="8757" xr:uid="{1C5F6B7E-A48F-48C1-AF8E-2C8528980A43}"/>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2 2 2" xfId="23976" xr:uid="{24C33F2C-DCA7-41E8-9937-4652A0D7F8EB}"/>
    <cellStyle name="20% - Accent3 3 2 2 2 2 3" xfId="15535" xr:uid="{198826ED-026C-4B50-8FE6-FB11C9199C82}"/>
    <cellStyle name="20% - Accent3 3 2 2 2 3" xfId="19758" xr:uid="{173C2F2E-BD0A-4477-933A-6AA25CB86316}"/>
    <cellStyle name="20% - Accent3 3 2 2 2 4" xfId="11317" xr:uid="{804CEC73-4946-4955-BCFD-419C80485658}"/>
    <cellStyle name="20% - Accent3 3 2 2 3" xfId="4940" xr:uid="{00000000-0005-0000-0000-000097010000}"/>
    <cellStyle name="20% - Accent3 3 2 2 3 2" xfId="21831" xr:uid="{B8B6F996-BDC1-43E7-9B5C-4BB4929E8635}"/>
    <cellStyle name="20% - Accent3 3 2 2 3 3" xfId="13390" xr:uid="{E6D1A9FD-BE42-414E-A930-01E38FEFEAC2}"/>
    <cellStyle name="20% - Accent3 3 2 2 4" xfId="17613" xr:uid="{04792F2F-F11B-4458-BB7B-1BD40BD0C74E}"/>
    <cellStyle name="20% - Accent3 3 2 2 5" xfId="9172" xr:uid="{5E67DCCA-267C-4206-AE38-528F8B5D35F2}"/>
    <cellStyle name="20% - Accent3 3 2 3" xfId="1045" xr:uid="{00000000-0005-0000-0000-000098010000}"/>
    <cellStyle name="20% - Accent3 3 2 3 2" xfId="3276" xr:uid="{00000000-0005-0000-0000-000099010000}"/>
    <cellStyle name="20% - Accent3 3 2 3 2 2" xfId="7498" xr:uid="{00000000-0005-0000-0000-00009A010000}"/>
    <cellStyle name="20% - Accent3 3 2 3 2 2 2" xfId="24389" xr:uid="{2FC37C73-5FF2-4644-B7FE-103700501038}"/>
    <cellStyle name="20% - Accent3 3 2 3 2 2 3" xfId="15948" xr:uid="{9D7E41D5-2461-436E-AB14-455EDC77C6D3}"/>
    <cellStyle name="20% - Accent3 3 2 3 2 3" xfId="20171" xr:uid="{DEC2C3D3-F4DE-444B-A662-A680BD237F73}"/>
    <cellStyle name="20% - Accent3 3 2 3 2 4" xfId="11730" xr:uid="{0029BABD-9B05-4973-965B-270BFD2A70B3}"/>
    <cellStyle name="20% - Accent3 3 2 3 3" xfId="5353" xr:uid="{00000000-0005-0000-0000-00009B010000}"/>
    <cellStyle name="20% - Accent3 3 2 3 3 2" xfId="22244" xr:uid="{FF805A9D-E4A6-409E-B584-A13324DC8100}"/>
    <cellStyle name="20% - Accent3 3 2 3 3 3" xfId="13803" xr:uid="{D0C512F0-F39B-486D-A830-DDA00FE6BEE7}"/>
    <cellStyle name="20% - Accent3 3 2 3 4" xfId="18026" xr:uid="{CBE933DD-AFF7-4469-89CA-347D6584619A}"/>
    <cellStyle name="20% - Accent3 3 2 3 5" xfId="9585" xr:uid="{4D8131CB-7565-4DF1-A97B-C5741995F480}"/>
    <cellStyle name="20% - Accent3 3 2 4" xfId="1459" xr:uid="{00000000-0005-0000-0000-00009C010000}"/>
    <cellStyle name="20% - Accent3 3 2 4 2" xfId="3689" xr:uid="{00000000-0005-0000-0000-00009D010000}"/>
    <cellStyle name="20% - Accent3 3 2 4 2 2" xfId="7911" xr:uid="{00000000-0005-0000-0000-00009E010000}"/>
    <cellStyle name="20% - Accent3 3 2 4 2 2 2" xfId="24802" xr:uid="{C67F6A5A-9017-438C-BD48-ABD2C34901EA}"/>
    <cellStyle name="20% - Accent3 3 2 4 2 2 3" xfId="16361" xr:uid="{D88FE6EE-2BA8-4D61-A9BA-BA04379EE626}"/>
    <cellStyle name="20% - Accent3 3 2 4 2 3" xfId="20584" xr:uid="{E757539F-B8FF-425E-80DF-AB1F62BEA6A2}"/>
    <cellStyle name="20% - Accent3 3 2 4 2 4" xfId="12143" xr:uid="{CC9D98A3-4020-4638-86DB-E3651AE20CD5}"/>
    <cellStyle name="20% - Accent3 3 2 4 3" xfId="5766" xr:uid="{00000000-0005-0000-0000-00009F010000}"/>
    <cellStyle name="20% - Accent3 3 2 4 3 2" xfId="22657" xr:uid="{3804D5F0-C9B6-4A33-85B9-36B14848C814}"/>
    <cellStyle name="20% - Accent3 3 2 4 3 3" xfId="14216" xr:uid="{40376088-DD57-49F3-84BD-FD109572FBB3}"/>
    <cellStyle name="20% - Accent3 3 2 4 4" xfId="18439" xr:uid="{1638F9C9-98B3-4AA6-BDD5-794CD36CFC1C}"/>
    <cellStyle name="20% - Accent3 3 2 4 5" xfId="9998" xr:uid="{07529006-5692-406A-B29C-9A3F7EF090B6}"/>
    <cellStyle name="20% - Accent3 3 2 5" xfId="1873" xr:uid="{00000000-0005-0000-0000-0000A0010000}"/>
    <cellStyle name="20% - Accent3 3 2 5 2" xfId="4102" xr:uid="{00000000-0005-0000-0000-0000A1010000}"/>
    <cellStyle name="20% - Accent3 3 2 5 2 2" xfId="8324" xr:uid="{00000000-0005-0000-0000-0000A2010000}"/>
    <cellStyle name="20% - Accent3 3 2 5 2 2 2" xfId="25215" xr:uid="{1A793CF5-FDE5-48E8-8503-AFAA05C0FC80}"/>
    <cellStyle name="20% - Accent3 3 2 5 2 2 3" xfId="16774" xr:uid="{16434CD1-8F9A-4050-B459-7BFA2FE91A13}"/>
    <cellStyle name="20% - Accent3 3 2 5 2 3" xfId="20997" xr:uid="{8CBC7AA5-86E3-474E-A112-E058F47FB969}"/>
    <cellStyle name="20% - Accent3 3 2 5 2 4" xfId="12556" xr:uid="{8E852940-3D48-46CB-A4E8-0E36159C5204}"/>
    <cellStyle name="20% - Accent3 3 2 5 3" xfId="6179" xr:uid="{00000000-0005-0000-0000-0000A3010000}"/>
    <cellStyle name="20% - Accent3 3 2 5 3 2" xfId="23070" xr:uid="{B53790CD-E64A-4396-BB1E-3D6DB8570C39}"/>
    <cellStyle name="20% - Accent3 3 2 5 3 3" xfId="14629" xr:uid="{D829AE46-F22A-4073-B575-757844C6B6A9}"/>
    <cellStyle name="20% - Accent3 3 2 5 4" xfId="18852" xr:uid="{8A52C103-757C-4C13-ADB0-83ED44A7B544}"/>
    <cellStyle name="20% - Accent3 3 2 5 5" xfId="10411" xr:uid="{35FD8FDA-F200-44EA-8665-D345FE81C789}"/>
    <cellStyle name="20% - Accent3 3 2 6" xfId="2286" xr:uid="{00000000-0005-0000-0000-0000A4010000}"/>
    <cellStyle name="20% - Accent3 3 2 6 2" xfId="6592" xr:uid="{00000000-0005-0000-0000-0000A5010000}"/>
    <cellStyle name="20% - Accent3 3 2 6 2 2" xfId="23483" xr:uid="{F617154C-6442-4548-AFA3-B8CBA2B6B9F7}"/>
    <cellStyle name="20% - Accent3 3 2 6 2 3" xfId="15042" xr:uid="{D629C4F4-F30D-43C1-BA13-05019F93269B}"/>
    <cellStyle name="20% - Accent3 3 2 6 3" xfId="19265" xr:uid="{76D77808-7438-4FCB-8330-141FD01AF141}"/>
    <cellStyle name="20% - Accent3 3 2 6 4" xfId="10824" xr:uid="{78A7DBC6-0921-49B4-9D62-B453E13D6D68}"/>
    <cellStyle name="20% - Accent3 3 2 7" xfId="4526" xr:uid="{00000000-0005-0000-0000-0000A6010000}"/>
    <cellStyle name="20% - Accent3 3 2 7 2" xfId="21417" xr:uid="{70FF51B9-1D3E-4F85-A611-248776E79026}"/>
    <cellStyle name="20% - Accent3 3 2 7 3" xfId="12976" xr:uid="{C2AE96F0-B494-4922-A419-9DE231D4842A}"/>
    <cellStyle name="20% - Accent3 3 2 8" xfId="17199" xr:uid="{A8674012-C33D-4720-B3AA-28E7E5E8B754}"/>
    <cellStyle name="20% - Accent3 3 2 9" xfId="8758" xr:uid="{83D93D43-34B2-4F6D-8E10-B800737C9874}"/>
    <cellStyle name="20% - Accent3 3 3" xfId="591" xr:uid="{00000000-0005-0000-0000-0000A7010000}"/>
    <cellStyle name="20% - Accent3 3 3 2" xfId="2862" xr:uid="{00000000-0005-0000-0000-0000A8010000}"/>
    <cellStyle name="20% - Accent3 3 3 2 2" xfId="7084" xr:uid="{00000000-0005-0000-0000-0000A9010000}"/>
    <cellStyle name="20% - Accent3 3 3 2 2 2" xfId="23975" xr:uid="{C2365DBC-AF9D-47E1-A82E-CC1872397460}"/>
    <cellStyle name="20% - Accent3 3 3 2 2 3" xfId="15534" xr:uid="{48CA73E1-DDE5-486E-8AAA-6B87DA7952C5}"/>
    <cellStyle name="20% - Accent3 3 3 2 3" xfId="19757" xr:uid="{4359D9F2-FEC1-4CFA-93DB-F3EF9766DA5A}"/>
    <cellStyle name="20% - Accent3 3 3 2 4" xfId="11316" xr:uid="{6E30893D-BFD4-4481-804E-8611B136D01B}"/>
    <cellStyle name="20% - Accent3 3 3 3" xfId="4939" xr:uid="{00000000-0005-0000-0000-0000AA010000}"/>
    <cellStyle name="20% - Accent3 3 3 3 2" xfId="21830" xr:uid="{C45FE72D-D540-4955-A86E-057FE82466A6}"/>
    <cellStyle name="20% - Accent3 3 3 3 3" xfId="13389" xr:uid="{F908ABFF-7EF4-4267-8791-4436BF84F290}"/>
    <cellStyle name="20% - Accent3 3 3 4" xfId="17612" xr:uid="{394329D3-520D-4876-95ED-59B58B19390A}"/>
    <cellStyle name="20% - Accent3 3 3 5" xfId="9171" xr:uid="{4771B1EB-91EA-4DB3-B040-A59568A5EC5C}"/>
    <cellStyle name="20% - Accent3 3 4" xfId="1044" xr:uid="{00000000-0005-0000-0000-0000AB010000}"/>
    <cellStyle name="20% - Accent3 3 4 2" xfId="3275" xr:uid="{00000000-0005-0000-0000-0000AC010000}"/>
    <cellStyle name="20% - Accent3 3 4 2 2" xfId="7497" xr:uid="{00000000-0005-0000-0000-0000AD010000}"/>
    <cellStyle name="20% - Accent3 3 4 2 2 2" xfId="24388" xr:uid="{AC4E545E-0D75-44F9-9832-68ED3C1FC2BC}"/>
    <cellStyle name="20% - Accent3 3 4 2 2 3" xfId="15947" xr:uid="{A836EBA8-CBBC-4C2B-8A42-B335EF45F1CB}"/>
    <cellStyle name="20% - Accent3 3 4 2 3" xfId="20170" xr:uid="{385438D2-4F71-4C55-BEAA-6E11D8091E15}"/>
    <cellStyle name="20% - Accent3 3 4 2 4" xfId="11729" xr:uid="{872FF04F-7600-4435-A1DF-355C600D30F6}"/>
    <cellStyle name="20% - Accent3 3 4 3" xfId="5352" xr:uid="{00000000-0005-0000-0000-0000AE010000}"/>
    <cellStyle name="20% - Accent3 3 4 3 2" xfId="22243" xr:uid="{D853E475-DBF6-4DCA-AD78-F7344BFE9413}"/>
    <cellStyle name="20% - Accent3 3 4 3 3" xfId="13802" xr:uid="{D6140466-5021-49DD-BFF4-7C74A93525FE}"/>
    <cellStyle name="20% - Accent3 3 4 4" xfId="18025" xr:uid="{65FFAC6C-143C-448B-9C1D-B24805FEFDE4}"/>
    <cellStyle name="20% - Accent3 3 4 5" xfId="9584" xr:uid="{3A46A766-184A-49A3-9612-CCD04C3904BA}"/>
    <cellStyle name="20% - Accent3 3 5" xfId="1458" xr:uid="{00000000-0005-0000-0000-0000AF010000}"/>
    <cellStyle name="20% - Accent3 3 5 2" xfId="3688" xr:uid="{00000000-0005-0000-0000-0000B0010000}"/>
    <cellStyle name="20% - Accent3 3 5 2 2" xfId="7910" xr:uid="{00000000-0005-0000-0000-0000B1010000}"/>
    <cellStyle name="20% - Accent3 3 5 2 2 2" xfId="24801" xr:uid="{28F54084-CD6B-41E7-888C-404E16B67DE1}"/>
    <cellStyle name="20% - Accent3 3 5 2 2 3" xfId="16360" xr:uid="{646F297F-16C9-4F54-AD19-F2271530AC4D}"/>
    <cellStyle name="20% - Accent3 3 5 2 3" xfId="20583" xr:uid="{BCDCB0A6-9007-41C5-9774-EA28F3B144F1}"/>
    <cellStyle name="20% - Accent3 3 5 2 4" xfId="12142" xr:uid="{2CA10650-50F1-4EEB-B6D6-8F689A8907C7}"/>
    <cellStyle name="20% - Accent3 3 5 3" xfId="5765" xr:uid="{00000000-0005-0000-0000-0000B2010000}"/>
    <cellStyle name="20% - Accent3 3 5 3 2" xfId="22656" xr:uid="{19B26BB1-668D-4317-A7C8-271FD0D5B7E3}"/>
    <cellStyle name="20% - Accent3 3 5 3 3" xfId="14215" xr:uid="{A5322374-18F5-476F-AF83-976386235626}"/>
    <cellStyle name="20% - Accent3 3 5 4" xfId="18438" xr:uid="{986CA319-81ED-4AF4-84EE-4A5D1E8799E2}"/>
    <cellStyle name="20% - Accent3 3 5 5" xfId="9997" xr:uid="{2DC3A2B2-D45D-403A-9F9D-497396290405}"/>
    <cellStyle name="20% - Accent3 3 6" xfId="1872" xr:uid="{00000000-0005-0000-0000-0000B3010000}"/>
    <cellStyle name="20% - Accent3 3 6 2" xfId="4101" xr:uid="{00000000-0005-0000-0000-0000B4010000}"/>
    <cellStyle name="20% - Accent3 3 6 2 2" xfId="8323" xr:uid="{00000000-0005-0000-0000-0000B5010000}"/>
    <cellStyle name="20% - Accent3 3 6 2 2 2" xfId="25214" xr:uid="{F74EF8D4-FF6D-4855-9F9E-B17586A79528}"/>
    <cellStyle name="20% - Accent3 3 6 2 2 3" xfId="16773" xr:uid="{BAD62C3A-8CA6-4588-9B2F-496B5220037E}"/>
    <cellStyle name="20% - Accent3 3 6 2 3" xfId="20996" xr:uid="{98BE6A5C-FF1E-42CC-A26C-1E018DB2BBF8}"/>
    <cellStyle name="20% - Accent3 3 6 2 4" xfId="12555" xr:uid="{910D263E-EA46-449F-A0A2-E14EEE34FD1F}"/>
    <cellStyle name="20% - Accent3 3 6 3" xfId="6178" xr:uid="{00000000-0005-0000-0000-0000B6010000}"/>
    <cellStyle name="20% - Accent3 3 6 3 2" xfId="23069" xr:uid="{8427BD68-2424-46E2-9902-681345063489}"/>
    <cellStyle name="20% - Accent3 3 6 3 3" xfId="14628" xr:uid="{ECD9F98E-0583-46AD-8D8A-4D6A05FE2693}"/>
    <cellStyle name="20% - Accent3 3 6 4" xfId="18851" xr:uid="{39BDBD56-9301-4CC2-846A-86DCE1C1F09B}"/>
    <cellStyle name="20% - Accent3 3 6 5" xfId="10410" xr:uid="{C601B0B1-F2F7-457B-9279-94FBA824A4A1}"/>
    <cellStyle name="20% - Accent3 3 7" xfId="2285" xr:uid="{00000000-0005-0000-0000-0000B7010000}"/>
    <cellStyle name="20% - Accent3 3 7 2" xfId="6591" xr:uid="{00000000-0005-0000-0000-0000B8010000}"/>
    <cellStyle name="20% - Accent3 3 7 2 2" xfId="23482" xr:uid="{381C2084-8E1F-4D75-B5AD-7EA29A7A57CD}"/>
    <cellStyle name="20% - Accent3 3 7 2 3" xfId="15041" xr:uid="{F30E9D43-BCB5-40CC-9AD7-CA5B147ACC08}"/>
    <cellStyle name="20% - Accent3 3 7 3" xfId="19264" xr:uid="{BA5F2E39-41D3-4A95-88BA-892DCFFAC3CB}"/>
    <cellStyle name="20% - Accent3 3 7 4" xfId="10823" xr:uid="{29230EF1-F33B-43BF-AFC5-9DD99D2C7347}"/>
    <cellStyle name="20% - Accent3 3 8" xfId="4525" xr:uid="{00000000-0005-0000-0000-0000B9010000}"/>
    <cellStyle name="20% - Accent3 3 8 2" xfId="21416" xr:uid="{9109BF04-1FC9-45C3-A4CD-43817F968BC6}"/>
    <cellStyle name="20% - Accent3 3 8 3" xfId="12975" xr:uid="{FCB9A2C3-1B86-4A40-B975-05AF8CEB6546}"/>
    <cellStyle name="20% - Accent3 3 9" xfId="17198" xr:uid="{63B5C7DB-AE9E-483F-9142-DBDE386E793E}"/>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2 2 2" xfId="23977" xr:uid="{29D08850-C7AF-4C12-9030-84298E936D45}"/>
    <cellStyle name="20% - Accent3 4 2 2 2 3" xfId="15536" xr:uid="{F01B97CF-06A2-4A89-B869-D58CD5F32C61}"/>
    <cellStyle name="20% - Accent3 4 2 2 3" xfId="19759" xr:uid="{B8873248-6E23-4BCA-9A6F-17C65F36042B}"/>
    <cellStyle name="20% - Accent3 4 2 2 4" xfId="11318" xr:uid="{2671C7D9-9C21-4E89-ABCE-26E1E50D9932}"/>
    <cellStyle name="20% - Accent3 4 2 3" xfId="4941" xr:uid="{00000000-0005-0000-0000-0000BE010000}"/>
    <cellStyle name="20% - Accent3 4 2 3 2" xfId="21832" xr:uid="{5F4A9BD7-9790-4B6D-9F4C-BCCDB3011563}"/>
    <cellStyle name="20% - Accent3 4 2 3 3" xfId="13391" xr:uid="{31435FC0-0773-4BF1-92B4-9E2D500F3703}"/>
    <cellStyle name="20% - Accent3 4 2 4" xfId="17614" xr:uid="{98E20FB4-ADBD-4F29-B985-86FA6AD6AA4C}"/>
    <cellStyle name="20% - Accent3 4 2 5" xfId="9173" xr:uid="{41EE9A59-590D-47AA-9698-ECDD51DE7687}"/>
    <cellStyle name="20% - Accent3 4 3" xfId="1046" xr:uid="{00000000-0005-0000-0000-0000BF010000}"/>
    <cellStyle name="20% - Accent3 4 3 2" xfId="3277" xr:uid="{00000000-0005-0000-0000-0000C0010000}"/>
    <cellStyle name="20% - Accent3 4 3 2 2" xfId="7499" xr:uid="{00000000-0005-0000-0000-0000C1010000}"/>
    <cellStyle name="20% - Accent3 4 3 2 2 2" xfId="24390" xr:uid="{F45F59E7-BFBB-4EB5-A7A7-3B39BC2D8514}"/>
    <cellStyle name="20% - Accent3 4 3 2 2 3" xfId="15949" xr:uid="{C5C0CBDA-930E-405D-B0DF-B0D93538DC3C}"/>
    <cellStyle name="20% - Accent3 4 3 2 3" xfId="20172" xr:uid="{5E1CE8B2-0CA9-45B6-B4E6-44DD22242E13}"/>
    <cellStyle name="20% - Accent3 4 3 2 4" xfId="11731" xr:uid="{6CF780DB-EB5D-4C2F-8B8F-66E373E8ADD4}"/>
    <cellStyle name="20% - Accent3 4 3 3" xfId="5354" xr:uid="{00000000-0005-0000-0000-0000C2010000}"/>
    <cellStyle name="20% - Accent3 4 3 3 2" xfId="22245" xr:uid="{F8FB5F20-9489-4C18-BA08-DF6D628C7DE1}"/>
    <cellStyle name="20% - Accent3 4 3 3 3" xfId="13804" xr:uid="{450CAFE9-8187-4846-A356-7075024466AF}"/>
    <cellStyle name="20% - Accent3 4 3 4" xfId="18027" xr:uid="{6801AE31-29DB-4569-8912-62ED2E850DB9}"/>
    <cellStyle name="20% - Accent3 4 3 5" xfId="9586" xr:uid="{4DBAC9FD-30C7-4368-BD1F-58A782966DFE}"/>
    <cellStyle name="20% - Accent3 4 4" xfId="1460" xr:uid="{00000000-0005-0000-0000-0000C3010000}"/>
    <cellStyle name="20% - Accent3 4 4 2" xfId="3690" xr:uid="{00000000-0005-0000-0000-0000C4010000}"/>
    <cellStyle name="20% - Accent3 4 4 2 2" xfId="7912" xr:uid="{00000000-0005-0000-0000-0000C5010000}"/>
    <cellStyle name="20% - Accent3 4 4 2 2 2" xfId="24803" xr:uid="{59B40F9F-938B-4E04-8E9F-5B12C2572204}"/>
    <cellStyle name="20% - Accent3 4 4 2 2 3" xfId="16362" xr:uid="{1EC3E2F8-7DA0-40EF-A375-7B165B47B52A}"/>
    <cellStyle name="20% - Accent3 4 4 2 3" xfId="20585" xr:uid="{7FE461EB-FF4F-4B8C-B1E1-5E729A406CD8}"/>
    <cellStyle name="20% - Accent3 4 4 2 4" xfId="12144" xr:uid="{9074B607-F949-4275-AF6E-4F62E2F395BA}"/>
    <cellStyle name="20% - Accent3 4 4 3" xfId="5767" xr:uid="{00000000-0005-0000-0000-0000C6010000}"/>
    <cellStyle name="20% - Accent3 4 4 3 2" xfId="22658" xr:uid="{190F1124-8225-4197-B6C9-A8E80DDC5AA0}"/>
    <cellStyle name="20% - Accent3 4 4 3 3" xfId="14217" xr:uid="{CFEEAE2D-BF4A-4052-8026-3E2EE42EEDFC}"/>
    <cellStyle name="20% - Accent3 4 4 4" xfId="18440" xr:uid="{C4611F25-5EDC-481A-98B4-A8396048639F}"/>
    <cellStyle name="20% - Accent3 4 4 5" xfId="9999" xr:uid="{DB32047D-2D73-439F-844D-8DC64B2C0BDF}"/>
    <cellStyle name="20% - Accent3 4 5" xfId="1874" xr:uid="{00000000-0005-0000-0000-0000C7010000}"/>
    <cellStyle name="20% - Accent3 4 5 2" xfId="4103" xr:uid="{00000000-0005-0000-0000-0000C8010000}"/>
    <cellStyle name="20% - Accent3 4 5 2 2" xfId="8325" xr:uid="{00000000-0005-0000-0000-0000C9010000}"/>
    <cellStyle name="20% - Accent3 4 5 2 2 2" xfId="25216" xr:uid="{02B0F3AC-F8E7-425D-9201-C7EDE3A1D01C}"/>
    <cellStyle name="20% - Accent3 4 5 2 2 3" xfId="16775" xr:uid="{4D42D673-389D-4A10-8751-A5B9A3DE0BED}"/>
    <cellStyle name="20% - Accent3 4 5 2 3" xfId="20998" xr:uid="{6A998DB3-AA4A-4358-BA2B-A1E8CF406175}"/>
    <cellStyle name="20% - Accent3 4 5 2 4" xfId="12557" xr:uid="{A712720B-9EF0-4703-93FF-C4F4C5BA1673}"/>
    <cellStyle name="20% - Accent3 4 5 3" xfId="6180" xr:uid="{00000000-0005-0000-0000-0000CA010000}"/>
    <cellStyle name="20% - Accent3 4 5 3 2" xfId="23071" xr:uid="{DF759CE7-CDD2-4FF0-B4CD-623E612F65FA}"/>
    <cellStyle name="20% - Accent3 4 5 3 3" xfId="14630" xr:uid="{1ED85078-9808-4912-8598-442211C0B4A1}"/>
    <cellStyle name="20% - Accent3 4 5 4" xfId="18853" xr:uid="{56700447-C3AF-40A1-B90C-8444780350E2}"/>
    <cellStyle name="20% - Accent3 4 5 5" xfId="10412" xr:uid="{24C130AC-B17A-4A50-82A9-A4D46DD1384D}"/>
    <cellStyle name="20% - Accent3 4 6" xfId="2287" xr:uid="{00000000-0005-0000-0000-0000CB010000}"/>
    <cellStyle name="20% - Accent3 4 6 2" xfId="6593" xr:uid="{00000000-0005-0000-0000-0000CC010000}"/>
    <cellStyle name="20% - Accent3 4 6 2 2" xfId="23484" xr:uid="{96CE95EB-C0B4-4AC7-BBD1-71F83D391C3A}"/>
    <cellStyle name="20% - Accent3 4 6 2 3" xfId="15043" xr:uid="{803109CA-9ECF-4AA9-9DC9-637F192271F7}"/>
    <cellStyle name="20% - Accent3 4 6 3" xfId="19266" xr:uid="{5DC2D243-7081-484E-B17B-F099C9CCE0E9}"/>
    <cellStyle name="20% - Accent3 4 6 4" xfId="10825" xr:uid="{6A0B64C3-4A4C-4101-8BE1-9E93FEA60B8D}"/>
    <cellStyle name="20% - Accent3 4 7" xfId="4527" xr:uid="{00000000-0005-0000-0000-0000CD010000}"/>
    <cellStyle name="20% - Accent3 4 7 2" xfId="21418" xr:uid="{4DA4559E-1625-4724-B071-96E3E3F5177C}"/>
    <cellStyle name="20% - Accent3 4 7 3" xfId="12977" xr:uid="{714C5D47-1C14-464D-A5F4-181D6542F8E0}"/>
    <cellStyle name="20% - Accent3 4 8" xfId="17200" xr:uid="{B118AB27-39A1-48A7-9E2E-283576CA8FC2}"/>
    <cellStyle name="20% - Accent3 4 9" xfId="8759" xr:uid="{E6AC7579-3E24-4EDB-840F-5AB94987AFC7}"/>
    <cellStyle name="20% - Accent3 5" xfId="586" xr:uid="{00000000-0005-0000-0000-0000CE010000}"/>
    <cellStyle name="20% - Accent3 5 2" xfId="2857" xr:uid="{00000000-0005-0000-0000-0000CF010000}"/>
    <cellStyle name="20% - Accent3 5 2 2" xfId="7079" xr:uid="{00000000-0005-0000-0000-0000D0010000}"/>
    <cellStyle name="20% - Accent3 5 2 2 2" xfId="23970" xr:uid="{53D5BEF3-D234-44F1-9C0E-FA2A9E39FDD8}"/>
    <cellStyle name="20% - Accent3 5 2 2 3" xfId="15529" xr:uid="{739326DC-CFC4-4548-AFB3-1AACBAB4EF0A}"/>
    <cellStyle name="20% - Accent3 5 2 3" xfId="19752" xr:uid="{B50D2CD6-F4D8-43EF-924B-AFB05E3FF3F9}"/>
    <cellStyle name="20% - Accent3 5 2 4" xfId="11311" xr:uid="{D0567C56-1A8A-482D-A47C-5231D5A959BA}"/>
    <cellStyle name="20% - Accent3 5 3" xfId="4934" xr:uid="{00000000-0005-0000-0000-0000D1010000}"/>
    <cellStyle name="20% - Accent3 5 3 2" xfId="21825" xr:uid="{6BCA040B-08E9-4B01-B97A-75FD5EDCABC3}"/>
    <cellStyle name="20% - Accent3 5 3 3" xfId="13384" xr:uid="{57289029-40E0-4DBB-9010-CCA88DF9FA76}"/>
    <cellStyle name="20% - Accent3 5 4" xfId="17607" xr:uid="{660B0735-4C6B-44B2-9EF5-70E5614F591D}"/>
    <cellStyle name="20% - Accent3 5 5" xfId="9166" xr:uid="{EB0756F8-7DAA-48E0-9B6B-C3AAC049E5DB}"/>
    <cellStyle name="20% - Accent3 6" xfId="1039" xr:uid="{00000000-0005-0000-0000-0000D2010000}"/>
    <cellStyle name="20% - Accent3 6 2" xfId="3270" xr:uid="{00000000-0005-0000-0000-0000D3010000}"/>
    <cellStyle name="20% - Accent3 6 2 2" xfId="7492" xr:uid="{00000000-0005-0000-0000-0000D4010000}"/>
    <cellStyle name="20% - Accent3 6 2 2 2" xfId="24383" xr:uid="{6BF7EE9A-6CC2-4A27-B450-230BBB842A69}"/>
    <cellStyle name="20% - Accent3 6 2 2 3" xfId="15942" xr:uid="{F8E99721-9588-4C65-9AC2-4A14A184A1E6}"/>
    <cellStyle name="20% - Accent3 6 2 3" xfId="20165" xr:uid="{3AFE168D-C91C-4277-8C6D-293FB8017F29}"/>
    <cellStyle name="20% - Accent3 6 2 4" xfId="11724" xr:uid="{699586A7-E5E5-46CE-896C-8FF0DC7ABF5C}"/>
    <cellStyle name="20% - Accent3 6 3" xfId="5347" xr:uid="{00000000-0005-0000-0000-0000D5010000}"/>
    <cellStyle name="20% - Accent3 6 3 2" xfId="22238" xr:uid="{181D0E31-0F08-4B20-B2B4-A1034228DF91}"/>
    <cellStyle name="20% - Accent3 6 3 3" xfId="13797" xr:uid="{82C57F68-2E80-4C99-9407-4F585A8CDDBF}"/>
    <cellStyle name="20% - Accent3 6 4" xfId="18020" xr:uid="{9B44E698-7B2C-4FD0-B06D-2DF1FB768349}"/>
    <cellStyle name="20% - Accent3 6 5" xfId="9579" xr:uid="{171ED256-FFF1-4A74-B2F7-8DB200742F78}"/>
    <cellStyle name="20% - Accent3 7" xfId="1453" xr:uid="{00000000-0005-0000-0000-0000D6010000}"/>
    <cellStyle name="20% - Accent3 7 2" xfId="3683" xr:uid="{00000000-0005-0000-0000-0000D7010000}"/>
    <cellStyle name="20% - Accent3 7 2 2" xfId="7905" xr:uid="{00000000-0005-0000-0000-0000D8010000}"/>
    <cellStyle name="20% - Accent3 7 2 2 2" xfId="24796" xr:uid="{7AA4F4C4-1ABA-45BF-B64A-EFB93C9D5E9D}"/>
    <cellStyle name="20% - Accent3 7 2 2 3" xfId="16355" xr:uid="{898D7078-A9FE-49F8-9B45-550E90B669F1}"/>
    <cellStyle name="20% - Accent3 7 2 3" xfId="20578" xr:uid="{7CC426EA-C8F0-4C4E-B2CD-C2A18293A3DF}"/>
    <cellStyle name="20% - Accent3 7 2 4" xfId="12137" xr:uid="{5F204879-1022-46B0-8047-3E8E891B3B70}"/>
    <cellStyle name="20% - Accent3 7 3" xfId="5760" xr:uid="{00000000-0005-0000-0000-0000D9010000}"/>
    <cellStyle name="20% - Accent3 7 3 2" xfId="22651" xr:uid="{90E785CD-66F5-469D-9C6C-FAB1CB0999DE}"/>
    <cellStyle name="20% - Accent3 7 3 3" xfId="14210" xr:uid="{588AAE59-AB03-4719-AAAC-411DA2A30258}"/>
    <cellStyle name="20% - Accent3 7 4" xfId="18433" xr:uid="{6965FE8B-0363-44D9-84E4-A105C438D10C}"/>
    <cellStyle name="20% - Accent3 7 5" xfId="9992" xr:uid="{C6E24707-AB5D-4E0F-A067-CF2807D4CBB0}"/>
    <cellStyle name="20% - Accent3 8" xfId="1867" xr:uid="{00000000-0005-0000-0000-0000DA010000}"/>
    <cellStyle name="20% - Accent3 8 2" xfId="4096" xr:uid="{00000000-0005-0000-0000-0000DB010000}"/>
    <cellStyle name="20% - Accent3 8 2 2" xfId="8318" xr:uid="{00000000-0005-0000-0000-0000DC010000}"/>
    <cellStyle name="20% - Accent3 8 2 2 2" xfId="25209" xr:uid="{3E985571-981E-478B-B42D-687DEE2C626F}"/>
    <cellStyle name="20% - Accent3 8 2 2 3" xfId="16768" xr:uid="{EB70CFB2-B24C-4A9A-86E7-06B22D32081C}"/>
    <cellStyle name="20% - Accent3 8 2 3" xfId="20991" xr:uid="{AC80998C-88B1-4689-A963-BA1BCA4AB9FA}"/>
    <cellStyle name="20% - Accent3 8 2 4" xfId="12550" xr:uid="{DBB1921A-70D1-4957-8560-CD8D046C4694}"/>
    <cellStyle name="20% - Accent3 8 3" xfId="6173" xr:uid="{00000000-0005-0000-0000-0000DD010000}"/>
    <cellStyle name="20% - Accent3 8 3 2" xfId="23064" xr:uid="{C5E79BB8-6C4A-424B-A267-59787B07D84A}"/>
    <cellStyle name="20% - Accent3 8 3 3" xfId="14623" xr:uid="{945F3F33-5F56-4DA5-8B61-2135BC4975B3}"/>
    <cellStyle name="20% - Accent3 8 4" xfId="18846" xr:uid="{BAA88B83-6071-418F-A6AB-DAD74A75C701}"/>
    <cellStyle name="20% - Accent3 8 5" xfId="10405" xr:uid="{CB946D1C-3437-4A48-89F7-40CECD64052F}"/>
    <cellStyle name="20% - Accent3 9" xfId="2280" xr:uid="{00000000-0005-0000-0000-0000DE010000}"/>
    <cellStyle name="20% - Accent3 9 2" xfId="6586" xr:uid="{00000000-0005-0000-0000-0000DF010000}"/>
    <cellStyle name="20% - Accent3 9 2 2" xfId="23477" xr:uid="{C2B50D5D-BEC6-4A56-B76E-7635BB7BC537}"/>
    <cellStyle name="20% - Accent3 9 2 3" xfId="15036" xr:uid="{3DEC8F62-E35B-4EE7-AE00-AE75B83C8517}"/>
    <cellStyle name="20% - Accent3 9 3" xfId="19259" xr:uid="{71F610D0-8149-48CE-9AE3-EE519287BE8B}"/>
    <cellStyle name="20% - Accent3 9 4" xfId="10818" xr:uid="{C259C053-9C80-4FCD-A51E-80CF473FBB11}"/>
    <cellStyle name="20% - Accent4" xfId="25" builtinId="42" customBuiltin="1"/>
    <cellStyle name="20% - Accent4 10" xfId="4528" xr:uid="{00000000-0005-0000-0000-0000E1010000}"/>
    <cellStyle name="20% - Accent4 10 2" xfId="21419" xr:uid="{BCA3C7FE-6526-40E6-BA01-22A424E7879C}"/>
    <cellStyle name="20% - Accent4 10 3" xfId="12978" xr:uid="{35A041C9-2D27-4C03-BE9C-4BCC0A5B6F95}"/>
    <cellStyle name="20% - Accent4 11" xfId="17201" xr:uid="{364593F6-9DD6-4AEC-B097-A53CE18E2F46}"/>
    <cellStyle name="20% - Accent4 12" xfId="8760" xr:uid="{F3E5FDDE-DFDC-4B72-AAD4-C439A461AD88}"/>
    <cellStyle name="20% - Accent4 2" xfId="26" xr:uid="{00000000-0005-0000-0000-0000E2010000}"/>
    <cellStyle name="20% - Accent4 2 10" xfId="17202" xr:uid="{E55A8EAC-D724-48A0-B60B-0B42599421B4}"/>
    <cellStyle name="20% - Accent4 2 11" xfId="8761" xr:uid="{EEDF99F6-5C24-4C29-8C4F-557B298C2C7B}"/>
    <cellStyle name="20% - Accent4 2 2" xfId="27" xr:uid="{00000000-0005-0000-0000-0000E3010000}"/>
    <cellStyle name="20% - Accent4 2 2 10" xfId="8762" xr:uid="{6A413291-FACA-4A13-B3B1-9185BA90D4CE}"/>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2 2 2" xfId="23981" xr:uid="{CDD564A3-3C3B-4FFB-9AD8-081F886ABD85}"/>
    <cellStyle name="20% - Accent4 2 2 2 2 2 2 3" xfId="15540" xr:uid="{3FD3A02F-2D77-4FF6-9963-03E44D50C86A}"/>
    <cellStyle name="20% - Accent4 2 2 2 2 2 3" xfId="19763" xr:uid="{4DB2BCD4-9911-4DA1-A8C4-570DED3E7EAF}"/>
    <cellStyle name="20% - Accent4 2 2 2 2 2 4" xfId="11322" xr:uid="{70CBE1AB-1D33-4188-A6BD-445C1F930095}"/>
    <cellStyle name="20% - Accent4 2 2 2 2 3" xfId="4945" xr:uid="{00000000-0005-0000-0000-0000E8010000}"/>
    <cellStyle name="20% - Accent4 2 2 2 2 3 2" xfId="21836" xr:uid="{7ABDCDB5-415D-4546-BB71-E32315981706}"/>
    <cellStyle name="20% - Accent4 2 2 2 2 3 3" xfId="13395" xr:uid="{3350834A-DA19-43BA-BC29-F5871D915591}"/>
    <cellStyle name="20% - Accent4 2 2 2 2 4" xfId="17618" xr:uid="{BF5DF8CD-A901-479E-8B94-6C12FA25E6C8}"/>
    <cellStyle name="20% - Accent4 2 2 2 2 5" xfId="9177" xr:uid="{E10E2E74-3E1F-44B2-93BA-5A41324AD7D2}"/>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2 2 2" xfId="24394" xr:uid="{0BC94895-1F04-4A09-97D2-490E7A48E825}"/>
    <cellStyle name="20% - Accent4 2 2 2 3 2 2 3" xfId="15953" xr:uid="{6ED1E728-EE42-4E77-A3BF-361A4BD4B0C6}"/>
    <cellStyle name="20% - Accent4 2 2 2 3 2 3" xfId="20176" xr:uid="{5FA83D26-4D4E-47F8-A5EC-BFD7897F0FB4}"/>
    <cellStyle name="20% - Accent4 2 2 2 3 2 4" xfId="11735" xr:uid="{C2B9666F-3766-4B67-9998-DC891292EB41}"/>
    <cellStyle name="20% - Accent4 2 2 2 3 3" xfId="5358" xr:uid="{00000000-0005-0000-0000-0000EC010000}"/>
    <cellStyle name="20% - Accent4 2 2 2 3 3 2" xfId="22249" xr:uid="{575077F8-5644-4B5F-B4FA-7FC9592D56C0}"/>
    <cellStyle name="20% - Accent4 2 2 2 3 3 3" xfId="13808" xr:uid="{B858346A-DB3B-4462-BDFA-E50A8F235B1D}"/>
    <cellStyle name="20% - Accent4 2 2 2 3 4" xfId="18031" xr:uid="{D8D0B203-56CD-400F-BCEE-BEE1B52D5257}"/>
    <cellStyle name="20% - Accent4 2 2 2 3 5" xfId="9590" xr:uid="{F18AD5B1-6BF9-48A4-9AFE-6C2C56459FDB}"/>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2 2 2" xfId="24807" xr:uid="{562C80A8-4C81-401C-82AD-F338157B895D}"/>
    <cellStyle name="20% - Accent4 2 2 2 4 2 2 3" xfId="16366" xr:uid="{DB5C98CA-7DFA-48A5-A73B-A320A65907F4}"/>
    <cellStyle name="20% - Accent4 2 2 2 4 2 3" xfId="20589" xr:uid="{7EC8F6B3-142F-4DB5-9CC6-F78725CF5490}"/>
    <cellStyle name="20% - Accent4 2 2 2 4 2 4" xfId="12148" xr:uid="{98521149-B283-4F51-8A49-2B891810254F}"/>
    <cellStyle name="20% - Accent4 2 2 2 4 3" xfId="5771" xr:uid="{00000000-0005-0000-0000-0000F0010000}"/>
    <cellStyle name="20% - Accent4 2 2 2 4 3 2" xfId="22662" xr:uid="{2099A260-0CE8-4BD5-8006-7AA7ADF08631}"/>
    <cellStyle name="20% - Accent4 2 2 2 4 3 3" xfId="14221" xr:uid="{B45A221C-8252-404A-A246-B47E02EF1766}"/>
    <cellStyle name="20% - Accent4 2 2 2 4 4" xfId="18444" xr:uid="{3EACE327-8736-4527-9587-07E373EEF126}"/>
    <cellStyle name="20% - Accent4 2 2 2 4 5" xfId="10003" xr:uid="{4805F5BB-65C9-4711-A42C-E2FD0DDC810F}"/>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2 2 2" xfId="25220" xr:uid="{1155FCD2-57EB-4F6D-9ACD-CCBECC82854F}"/>
    <cellStyle name="20% - Accent4 2 2 2 5 2 2 3" xfId="16779" xr:uid="{5A50B5C0-B841-429A-B028-B2E212E71059}"/>
    <cellStyle name="20% - Accent4 2 2 2 5 2 3" xfId="21002" xr:uid="{7215CA26-9FCD-4C84-B9C5-D101C0495AF7}"/>
    <cellStyle name="20% - Accent4 2 2 2 5 2 4" xfId="12561" xr:uid="{ED29021C-A39A-4626-804C-08A7214E8BF0}"/>
    <cellStyle name="20% - Accent4 2 2 2 5 3" xfId="6184" xr:uid="{00000000-0005-0000-0000-0000F4010000}"/>
    <cellStyle name="20% - Accent4 2 2 2 5 3 2" xfId="23075" xr:uid="{A2397E2F-6213-4059-A9A9-D046F55FE1D5}"/>
    <cellStyle name="20% - Accent4 2 2 2 5 3 3" xfId="14634" xr:uid="{1E78E5B2-7519-4479-B4E2-F19E61D4A5CC}"/>
    <cellStyle name="20% - Accent4 2 2 2 5 4" xfId="18857" xr:uid="{45BCC4F3-EB96-4A2F-80BB-C901066D9D70}"/>
    <cellStyle name="20% - Accent4 2 2 2 5 5" xfId="10416" xr:uid="{F63F2B6F-42AB-4312-8257-89D7EFA4050B}"/>
    <cellStyle name="20% - Accent4 2 2 2 6" xfId="2291" xr:uid="{00000000-0005-0000-0000-0000F5010000}"/>
    <cellStyle name="20% - Accent4 2 2 2 6 2" xfId="6597" xr:uid="{00000000-0005-0000-0000-0000F6010000}"/>
    <cellStyle name="20% - Accent4 2 2 2 6 2 2" xfId="23488" xr:uid="{54BC0B90-6ADF-4DB9-804A-2D2506FBA1FA}"/>
    <cellStyle name="20% - Accent4 2 2 2 6 2 3" xfId="15047" xr:uid="{E4393683-414E-4B04-BA0E-71346BE40015}"/>
    <cellStyle name="20% - Accent4 2 2 2 6 3" xfId="19270" xr:uid="{2DD9F980-8448-4A83-98A7-C024C30F32B7}"/>
    <cellStyle name="20% - Accent4 2 2 2 6 4" xfId="10829" xr:uid="{6DD94766-BAE7-4ECB-8CC8-9D0D7812E02D}"/>
    <cellStyle name="20% - Accent4 2 2 2 7" xfId="4531" xr:uid="{00000000-0005-0000-0000-0000F7010000}"/>
    <cellStyle name="20% - Accent4 2 2 2 7 2" xfId="21422" xr:uid="{8E8A7AF2-0E8D-48B4-A65E-CDF9481525F4}"/>
    <cellStyle name="20% - Accent4 2 2 2 7 3" xfId="12981" xr:uid="{E9139D45-81BC-49EB-9F87-2566E443AEB6}"/>
    <cellStyle name="20% - Accent4 2 2 2 8" xfId="17204" xr:uid="{E4A3203C-1B7D-4B03-83C8-CAA50E9F7BC3}"/>
    <cellStyle name="20% - Accent4 2 2 2 9" xfId="8763" xr:uid="{BF9ACE4A-E75C-4510-9FB4-5056895FBB7A}"/>
    <cellStyle name="20% - Accent4 2 2 3" xfId="596" xr:uid="{00000000-0005-0000-0000-0000F8010000}"/>
    <cellStyle name="20% - Accent4 2 2 3 2" xfId="2867" xr:uid="{00000000-0005-0000-0000-0000F9010000}"/>
    <cellStyle name="20% - Accent4 2 2 3 2 2" xfId="7089" xr:uid="{00000000-0005-0000-0000-0000FA010000}"/>
    <cellStyle name="20% - Accent4 2 2 3 2 2 2" xfId="23980" xr:uid="{2896A896-8589-4461-A728-B1BA6F43ED8E}"/>
    <cellStyle name="20% - Accent4 2 2 3 2 2 3" xfId="15539" xr:uid="{4C47B384-7A45-490E-9E33-8A83B139E867}"/>
    <cellStyle name="20% - Accent4 2 2 3 2 3" xfId="19762" xr:uid="{AB58A62F-15DA-4C47-A007-1B908E159FCB}"/>
    <cellStyle name="20% - Accent4 2 2 3 2 4" xfId="11321" xr:uid="{0C8D6768-58F4-42FC-8A59-122A57D1F867}"/>
    <cellStyle name="20% - Accent4 2 2 3 3" xfId="4944" xr:uid="{00000000-0005-0000-0000-0000FB010000}"/>
    <cellStyle name="20% - Accent4 2 2 3 3 2" xfId="21835" xr:uid="{E302C5D0-BF1F-48DB-89C4-1525987F4201}"/>
    <cellStyle name="20% - Accent4 2 2 3 3 3" xfId="13394" xr:uid="{76970B48-D5A2-491D-98B7-6E8D9E2583CF}"/>
    <cellStyle name="20% - Accent4 2 2 3 4" xfId="17617" xr:uid="{BD2B3B5F-E59F-40D9-A678-9163C4886D9F}"/>
    <cellStyle name="20% - Accent4 2 2 3 5" xfId="9176" xr:uid="{2B3A1B14-0646-4F4D-AB81-52417C54BDFA}"/>
    <cellStyle name="20% - Accent4 2 2 4" xfId="1049" xr:uid="{00000000-0005-0000-0000-0000FC010000}"/>
    <cellStyle name="20% - Accent4 2 2 4 2" xfId="3280" xr:uid="{00000000-0005-0000-0000-0000FD010000}"/>
    <cellStyle name="20% - Accent4 2 2 4 2 2" xfId="7502" xr:uid="{00000000-0005-0000-0000-0000FE010000}"/>
    <cellStyle name="20% - Accent4 2 2 4 2 2 2" xfId="24393" xr:uid="{75A55A6F-2899-4CE5-B637-F3CA0F704609}"/>
    <cellStyle name="20% - Accent4 2 2 4 2 2 3" xfId="15952" xr:uid="{D3D291B9-E50B-4B96-8BFF-700516C00625}"/>
    <cellStyle name="20% - Accent4 2 2 4 2 3" xfId="20175" xr:uid="{0913EEC4-2C79-421A-A8FE-ACB32E6FDB29}"/>
    <cellStyle name="20% - Accent4 2 2 4 2 4" xfId="11734" xr:uid="{C13DD5D4-8F31-49A1-B4C8-C3EA39D50353}"/>
    <cellStyle name="20% - Accent4 2 2 4 3" xfId="5357" xr:uid="{00000000-0005-0000-0000-0000FF010000}"/>
    <cellStyle name="20% - Accent4 2 2 4 3 2" xfId="22248" xr:uid="{19ED07DF-C37C-424C-BC11-ECBFFFD1E380}"/>
    <cellStyle name="20% - Accent4 2 2 4 3 3" xfId="13807" xr:uid="{134DD1C5-CC34-41A3-87B4-4AB9FAA003FF}"/>
    <cellStyle name="20% - Accent4 2 2 4 4" xfId="18030" xr:uid="{23388A2B-0FD8-479D-A00A-F12D1654773C}"/>
    <cellStyle name="20% - Accent4 2 2 4 5" xfId="9589" xr:uid="{9FC7D0DA-E5DB-4E4B-B3DD-0D24CF6BACAF}"/>
    <cellStyle name="20% - Accent4 2 2 5" xfId="1463" xr:uid="{00000000-0005-0000-0000-000000020000}"/>
    <cellStyle name="20% - Accent4 2 2 5 2" xfId="3693" xr:uid="{00000000-0005-0000-0000-000001020000}"/>
    <cellStyle name="20% - Accent4 2 2 5 2 2" xfId="7915" xr:uid="{00000000-0005-0000-0000-000002020000}"/>
    <cellStyle name="20% - Accent4 2 2 5 2 2 2" xfId="24806" xr:uid="{EA4ACFB2-48E7-42CD-A830-4FF6E1C624CA}"/>
    <cellStyle name="20% - Accent4 2 2 5 2 2 3" xfId="16365" xr:uid="{459E9261-AFAF-47B6-A7EC-0694BDA773CB}"/>
    <cellStyle name="20% - Accent4 2 2 5 2 3" xfId="20588" xr:uid="{35A1D1EC-A326-48BC-A430-8D23154D4F9B}"/>
    <cellStyle name="20% - Accent4 2 2 5 2 4" xfId="12147" xr:uid="{563D13B4-CEC0-4DDE-A3A9-8463FF570C4F}"/>
    <cellStyle name="20% - Accent4 2 2 5 3" xfId="5770" xr:uid="{00000000-0005-0000-0000-000003020000}"/>
    <cellStyle name="20% - Accent4 2 2 5 3 2" xfId="22661" xr:uid="{558CF86F-57D4-42C3-9AFC-B512E42463BA}"/>
    <cellStyle name="20% - Accent4 2 2 5 3 3" xfId="14220" xr:uid="{4E920AA7-D71E-46E8-BFCB-DCEAA18DE2CF}"/>
    <cellStyle name="20% - Accent4 2 2 5 4" xfId="18443" xr:uid="{59A29E6F-EACC-4EEB-92BC-AC6481B131F0}"/>
    <cellStyle name="20% - Accent4 2 2 5 5" xfId="10002" xr:uid="{33AAD742-27FE-4EEE-B9CE-2DB8259BA8AF}"/>
    <cellStyle name="20% - Accent4 2 2 6" xfId="1877" xr:uid="{00000000-0005-0000-0000-000004020000}"/>
    <cellStyle name="20% - Accent4 2 2 6 2" xfId="4106" xr:uid="{00000000-0005-0000-0000-000005020000}"/>
    <cellStyle name="20% - Accent4 2 2 6 2 2" xfId="8328" xr:uid="{00000000-0005-0000-0000-000006020000}"/>
    <cellStyle name="20% - Accent4 2 2 6 2 2 2" xfId="25219" xr:uid="{C00B2652-5D8E-406D-934E-88F368B5E6B1}"/>
    <cellStyle name="20% - Accent4 2 2 6 2 2 3" xfId="16778" xr:uid="{3129B635-721B-477E-B111-E62130E8F7FB}"/>
    <cellStyle name="20% - Accent4 2 2 6 2 3" xfId="21001" xr:uid="{9DB6FB10-BEB7-4A78-AB72-69428014C9C7}"/>
    <cellStyle name="20% - Accent4 2 2 6 2 4" xfId="12560" xr:uid="{11CD8391-00DB-4D97-BD63-B2E63626E580}"/>
    <cellStyle name="20% - Accent4 2 2 6 3" xfId="6183" xr:uid="{00000000-0005-0000-0000-000007020000}"/>
    <cellStyle name="20% - Accent4 2 2 6 3 2" xfId="23074" xr:uid="{80157944-805D-4145-BB4E-8D85DD4ADC8A}"/>
    <cellStyle name="20% - Accent4 2 2 6 3 3" xfId="14633" xr:uid="{96B75332-A81F-4719-BFAA-93A35B5D2A59}"/>
    <cellStyle name="20% - Accent4 2 2 6 4" xfId="18856" xr:uid="{CD314C53-AD00-4316-B7FF-AF496541B101}"/>
    <cellStyle name="20% - Accent4 2 2 6 5" xfId="10415" xr:uid="{A1A57517-D145-4E4C-B948-00B1DFBCE2DB}"/>
    <cellStyle name="20% - Accent4 2 2 7" xfId="2290" xr:uid="{00000000-0005-0000-0000-000008020000}"/>
    <cellStyle name="20% - Accent4 2 2 7 2" xfId="6596" xr:uid="{00000000-0005-0000-0000-000009020000}"/>
    <cellStyle name="20% - Accent4 2 2 7 2 2" xfId="23487" xr:uid="{B5F1D0F0-37FF-4EA8-A999-E7AF28381280}"/>
    <cellStyle name="20% - Accent4 2 2 7 2 3" xfId="15046" xr:uid="{AEC32095-AB3F-4837-A7F3-861F099C5947}"/>
    <cellStyle name="20% - Accent4 2 2 7 3" xfId="19269" xr:uid="{1620FEED-2205-4E05-8B31-39FE9A60F6ED}"/>
    <cellStyle name="20% - Accent4 2 2 7 4" xfId="10828" xr:uid="{C79358D2-EFA5-4072-BE6E-5D894763BDCD}"/>
    <cellStyle name="20% - Accent4 2 2 8" xfId="4530" xr:uid="{00000000-0005-0000-0000-00000A020000}"/>
    <cellStyle name="20% - Accent4 2 2 8 2" xfId="21421" xr:uid="{4A610BEF-3036-4FC8-8507-A301D6FE68EB}"/>
    <cellStyle name="20% - Accent4 2 2 8 3" xfId="12980" xr:uid="{01439993-37F7-49BF-9F64-ACF82E01C23D}"/>
    <cellStyle name="20% - Accent4 2 2 9" xfId="17203" xr:uid="{E51D9044-41E7-43D6-BD81-97FB71A842C9}"/>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2 2 2" xfId="23982" xr:uid="{C01BA499-8E2D-4B4D-B440-783B25A3BAAE}"/>
    <cellStyle name="20% - Accent4 2 3 2 2 2 3" xfId="15541" xr:uid="{662D3801-BFFC-4C89-9678-A7FD75567370}"/>
    <cellStyle name="20% - Accent4 2 3 2 2 3" xfId="19764" xr:uid="{8751F52D-953C-4AC4-93D6-B9AE2A01E8D5}"/>
    <cellStyle name="20% - Accent4 2 3 2 2 4" xfId="11323" xr:uid="{0D4DC3C5-ADC9-4798-BC8D-6DBE75FA3CDA}"/>
    <cellStyle name="20% - Accent4 2 3 2 3" xfId="4946" xr:uid="{00000000-0005-0000-0000-00000F020000}"/>
    <cellStyle name="20% - Accent4 2 3 2 3 2" xfId="21837" xr:uid="{CE8491F6-8CB5-400D-BCFE-65B6F2EC268C}"/>
    <cellStyle name="20% - Accent4 2 3 2 3 3" xfId="13396" xr:uid="{798EA95B-6B78-422E-A1BD-D781352FB4B8}"/>
    <cellStyle name="20% - Accent4 2 3 2 4" xfId="17619" xr:uid="{6C0B03F3-B822-4486-8696-20DBD3B12303}"/>
    <cellStyle name="20% - Accent4 2 3 2 5" xfId="9178" xr:uid="{9746CC87-B7F6-4F00-B794-035D28909354}"/>
    <cellStyle name="20% - Accent4 2 3 3" xfId="1051" xr:uid="{00000000-0005-0000-0000-000010020000}"/>
    <cellStyle name="20% - Accent4 2 3 3 2" xfId="3282" xr:uid="{00000000-0005-0000-0000-000011020000}"/>
    <cellStyle name="20% - Accent4 2 3 3 2 2" xfId="7504" xr:uid="{00000000-0005-0000-0000-000012020000}"/>
    <cellStyle name="20% - Accent4 2 3 3 2 2 2" xfId="24395" xr:uid="{E5CE8B76-BCF3-47DC-8DE4-19A9150D9D63}"/>
    <cellStyle name="20% - Accent4 2 3 3 2 2 3" xfId="15954" xr:uid="{C4EA03AE-4549-4DC0-B9D7-E8D95BA29004}"/>
    <cellStyle name="20% - Accent4 2 3 3 2 3" xfId="20177" xr:uid="{901CEE89-88D2-43B1-A243-EBE12FC6FA40}"/>
    <cellStyle name="20% - Accent4 2 3 3 2 4" xfId="11736" xr:uid="{392B64C2-7EF3-4B09-93B8-E43882DC7B5A}"/>
    <cellStyle name="20% - Accent4 2 3 3 3" xfId="5359" xr:uid="{00000000-0005-0000-0000-000013020000}"/>
    <cellStyle name="20% - Accent4 2 3 3 3 2" xfId="22250" xr:uid="{45B16D2B-A989-4DD7-8EA5-3579AFA9F548}"/>
    <cellStyle name="20% - Accent4 2 3 3 3 3" xfId="13809" xr:uid="{F04195DE-56FB-4CBD-A790-D950891C7116}"/>
    <cellStyle name="20% - Accent4 2 3 3 4" xfId="18032" xr:uid="{2AAE8789-5B66-4705-87D9-8C294E7E74F9}"/>
    <cellStyle name="20% - Accent4 2 3 3 5" xfId="9591" xr:uid="{BBE00383-C92A-47EF-AD32-E7FB5DAC50B0}"/>
    <cellStyle name="20% - Accent4 2 3 4" xfId="1465" xr:uid="{00000000-0005-0000-0000-000014020000}"/>
    <cellStyle name="20% - Accent4 2 3 4 2" xfId="3695" xr:uid="{00000000-0005-0000-0000-000015020000}"/>
    <cellStyle name="20% - Accent4 2 3 4 2 2" xfId="7917" xr:uid="{00000000-0005-0000-0000-000016020000}"/>
    <cellStyle name="20% - Accent4 2 3 4 2 2 2" xfId="24808" xr:uid="{291E2E03-6A7D-465F-887B-BD17072D5C6A}"/>
    <cellStyle name="20% - Accent4 2 3 4 2 2 3" xfId="16367" xr:uid="{EE220923-E5ED-4BAC-B92C-208435982F07}"/>
    <cellStyle name="20% - Accent4 2 3 4 2 3" xfId="20590" xr:uid="{37163679-9B1F-48BE-A00C-9905A5A74ECF}"/>
    <cellStyle name="20% - Accent4 2 3 4 2 4" xfId="12149" xr:uid="{7E6C9508-74E3-4A24-8F59-5308092FED77}"/>
    <cellStyle name="20% - Accent4 2 3 4 3" xfId="5772" xr:uid="{00000000-0005-0000-0000-000017020000}"/>
    <cellStyle name="20% - Accent4 2 3 4 3 2" xfId="22663" xr:uid="{7CFBB73E-A338-4510-A8AB-D466F418C46C}"/>
    <cellStyle name="20% - Accent4 2 3 4 3 3" xfId="14222" xr:uid="{FFFBC5DA-0087-4399-87D4-0445737E8791}"/>
    <cellStyle name="20% - Accent4 2 3 4 4" xfId="18445" xr:uid="{18F8CB07-7B48-44C6-9870-354D4DA51D1E}"/>
    <cellStyle name="20% - Accent4 2 3 4 5" xfId="10004" xr:uid="{87A4EE69-EE99-4BA4-9ECA-177DF85CAA8E}"/>
    <cellStyle name="20% - Accent4 2 3 5" xfId="1879" xr:uid="{00000000-0005-0000-0000-000018020000}"/>
    <cellStyle name="20% - Accent4 2 3 5 2" xfId="4108" xr:uid="{00000000-0005-0000-0000-000019020000}"/>
    <cellStyle name="20% - Accent4 2 3 5 2 2" xfId="8330" xr:uid="{00000000-0005-0000-0000-00001A020000}"/>
    <cellStyle name="20% - Accent4 2 3 5 2 2 2" xfId="25221" xr:uid="{9F9A1E48-8ABE-48B0-97B5-48351EEA835B}"/>
    <cellStyle name="20% - Accent4 2 3 5 2 2 3" xfId="16780" xr:uid="{CF40486C-B6F3-448F-9F8E-44914C99AE66}"/>
    <cellStyle name="20% - Accent4 2 3 5 2 3" xfId="21003" xr:uid="{94089794-5AF7-4F47-A11C-AF5F2B8B3410}"/>
    <cellStyle name="20% - Accent4 2 3 5 2 4" xfId="12562" xr:uid="{E0894C2C-BC37-441C-9F61-5458ACF22EEA}"/>
    <cellStyle name="20% - Accent4 2 3 5 3" xfId="6185" xr:uid="{00000000-0005-0000-0000-00001B020000}"/>
    <cellStyle name="20% - Accent4 2 3 5 3 2" xfId="23076" xr:uid="{857DF007-2EF0-4C23-9974-CFFBE5EBB54D}"/>
    <cellStyle name="20% - Accent4 2 3 5 3 3" xfId="14635" xr:uid="{0DBFDE83-1F31-442D-ABD3-2A4F4927FDB6}"/>
    <cellStyle name="20% - Accent4 2 3 5 4" xfId="18858" xr:uid="{F683FBAB-4E60-4C18-AFDD-35F813F93A4E}"/>
    <cellStyle name="20% - Accent4 2 3 5 5" xfId="10417" xr:uid="{83FC6A6B-4926-48E2-872A-300D3BBFC465}"/>
    <cellStyle name="20% - Accent4 2 3 6" xfId="2292" xr:uid="{00000000-0005-0000-0000-00001C020000}"/>
    <cellStyle name="20% - Accent4 2 3 6 2" xfId="6598" xr:uid="{00000000-0005-0000-0000-00001D020000}"/>
    <cellStyle name="20% - Accent4 2 3 6 2 2" xfId="23489" xr:uid="{7B16E781-A580-44EE-81EB-215F1BCB1435}"/>
    <cellStyle name="20% - Accent4 2 3 6 2 3" xfId="15048" xr:uid="{6497A8EF-0D66-4936-9F1F-2191A3177DA2}"/>
    <cellStyle name="20% - Accent4 2 3 6 3" xfId="19271" xr:uid="{B56574DB-B06A-401A-A916-6A44B4E93288}"/>
    <cellStyle name="20% - Accent4 2 3 6 4" xfId="10830" xr:uid="{E4B38CC7-0C57-479B-8C52-09DE5CC3F021}"/>
    <cellStyle name="20% - Accent4 2 3 7" xfId="4532" xr:uid="{00000000-0005-0000-0000-00001E020000}"/>
    <cellStyle name="20% - Accent4 2 3 7 2" xfId="21423" xr:uid="{5EC009FD-7DB3-41DD-9885-A4AB8A64B81F}"/>
    <cellStyle name="20% - Accent4 2 3 7 3" xfId="12982" xr:uid="{AF355433-63C0-4A07-822E-75E303FCD6D1}"/>
    <cellStyle name="20% - Accent4 2 3 8" xfId="17205" xr:uid="{5D52AE4C-2433-4821-8225-470D561EB8EE}"/>
    <cellStyle name="20% - Accent4 2 3 9" xfId="8764" xr:uid="{F6321231-83E3-4B12-AFDA-A336099D0BB1}"/>
    <cellStyle name="20% - Accent4 2 4" xfId="595" xr:uid="{00000000-0005-0000-0000-00001F020000}"/>
    <cellStyle name="20% - Accent4 2 4 2" xfId="2866" xr:uid="{00000000-0005-0000-0000-000020020000}"/>
    <cellStyle name="20% - Accent4 2 4 2 2" xfId="7088" xr:uid="{00000000-0005-0000-0000-000021020000}"/>
    <cellStyle name="20% - Accent4 2 4 2 2 2" xfId="23979" xr:uid="{7FD0E983-A483-4735-96A1-E81663AD235A}"/>
    <cellStyle name="20% - Accent4 2 4 2 2 3" xfId="15538" xr:uid="{50558831-ADE6-4D83-957E-A3C4E2CA7471}"/>
    <cellStyle name="20% - Accent4 2 4 2 3" xfId="19761" xr:uid="{9F6F20E6-8919-4A06-B81B-221074987A53}"/>
    <cellStyle name="20% - Accent4 2 4 2 4" xfId="11320" xr:uid="{D59B773C-1736-4505-B5F6-093591AF6B27}"/>
    <cellStyle name="20% - Accent4 2 4 3" xfId="4943" xr:uid="{00000000-0005-0000-0000-000022020000}"/>
    <cellStyle name="20% - Accent4 2 4 3 2" xfId="21834" xr:uid="{324E4636-65C2-4281-BC96-9D597F8C77C4}"/>
    <cellStyle name="20% - Accent4 2 4 3 3" xfId="13393" xr:uid="{CFD01EEE-6470-4137-9291-D1B174558020}"/>
    <cellStyle name="20% - Accent4 2 4 4" xfId="17616" xr:uid="{FDE61229-C853-45E6-B325-D695428C771F}"/>
    <cellStyle name="20% - Accent4 2 4 5" xfId="9175" xr:uid="{32B24464-F84F-4B02-95F2-B5052DEE500A}"/>
    <cellStyle name="20% - Accent4 2 5" xfId="1048" xr:uid="{00000000-0005-0000-0000-000023020000}"/>
    <cellStyle name="20% - Accent4 2 5 2" xfId="3279" xr:uid="{00000000-0005-0000-0000-000024020000}"/>
    <cellStyle name="20% - Accent4 2 5 2 2" xfId="7501" xr:uid="{00000000-0005-0000-0000-000025020000}"/>
    <cellStyle name="20% - Accent4 2 5 2 2 2" xfId="24392" xr:uid="{371178FA-1194-4DEA-92D4-6E99797440A3}"/>
    <cellStyle name="20% - Accent4 2 5 2 2 3" xfId="15951" xr:uid="{5CB87BD5-6C87-48CC-AA14-06CC87D60EC4}"/>
    <cellStyle name="20% - Accent4 2 5 2 3" xfId="20174" xr:uid="{AF19D2AE-674F-4EB1-A8F5-59D9D214D349}"/>
    <cellStyle name="20% - Accent4 2 5 2 4" xfId="11733" xr:uid="{3DE3C7F1-EB02-4A99-8932-AEE65A036EF4}"/>
    <cellStyle name="20% - Accent4 2 5 3" xfId="5356" xr:uid="{00000000-0005-0000-0000-000026020000}"/>
    <cellStyle name="20% - Accent4 2 5 3 2" xfId="22247" xr:uid="{240F0559-A4CA-4261-A9A2-477ED148E566}"/>
    <cellStyle name="20% - Accent4 2 5 3 3" xfId="13806" xr:uid="{693CBA84-E287-426F-B9B9-B4B2C0C25B40}"/>
    <cellStyle name="20% - Accent4 2 5 4" xfId="18029" xr:uid="{38902F20-7697-4E09-95B1-4B1C3F9471DE}"/>
    <cellStyle name="20% - Accent4 2 5 5" xfId="9588" xr:uid="{4D63B91D-5D4E-4DF5-914E-14FDCC03CE04}"/>
    <cellStyle name="20% - Accent4 2 6" xfId="1462" xr:uid="{00000000-0005-0000-0000-000027020000}"/>
    <cellStyle name="20% - Accent4 2 6 2" xfId="3692" xr:uid="{00000000-0005-0000-0000-000028020000}"/>
    <cellStyle name="20% - Accent4 2 6 2 2" xfId="7914" xr:uid="{00000000-0005-0000-0000-000029020000}"/>
    <cellStyle name="20% - Accent4 2 6 2 2 2" xfId="24805" xr:uid="{2CBE3F4F-41E1-4049-B1D9-7359DD6BBA16}"/>
    <cellStyle name="20% - Accent4 2 6 2 2 3" xfId="16364" xr:uid="{685E2FA1-52F8-45BA-BD39-73CDC8E28944}"/>
    <cellStyle name="20% - Accent4 2 6 2 3" xfId="20587" xr:uid="{2515EA19-0F58-46D0-8903-3874010EBCD6}"/>
    <cellStyle name="20% - Accent4 2 6 2 4" xfId="12146" xr:uid="{44F35CE3-CD4F-44DF-8EF5-27D9E1EF40EF}"/>
    <cellStyle name="20% - Accent4 2 6 3" xfId="5769" xr:uid="{00000000-0005-0000-0000-00002A020000}"/>
    <cellStyle name="20% - Accent4 2 6 3 2" xfId="22660" xr:uid="{9E51BCA6-336C-4BE3-8E6C-7CF595EC02D7}"/>
    <cellStyle name="20% - Accent4 2 6 3 3" xfId="14219" xr:uid="{B4A13649-1E7F-4EFD-8AEE-96CA23CC8ECB}"/>
    <cellStyle name="20% - Accent4 2 6 4" xfId="18442" xr:uid="{CE9CE3F8-AE16-4D34-8C49-1FC4978A444E}"/>
    <cellStyle name="20% - Accent4 2 6 5" xfId="10001" xr:uid="{3BA7FE59-876B-4DAB-817F-CE059F253983}"/>
    <cellStyle name="20% - Accent4 2 7" xfId="1876" xr:uid="{00000000-0005-0000-0000-00002B020000}"/>
    <cellStyle name="20% - Accent4 2 7 2" xfId="4105" xr:uid="{00000000-0005-0000-0000-00002C020000}"/>
    <cellStyle name="20% - Accent4 2 7 2 2" xfId="8327" xr:uid="{00000000-0005-0000-0000-00002D020000}"/>
    <cellStyle name="20% - Accent4 2 7 2 2 2" xfId="25218" xr:uid="{6F1702EF-1DFB-4EAF-B4D7-589320E8706A}"/>
    <cellStyle name="20% - Accent4 2 7 2 2 3" xfId="16777" xr:uid="{EB61EB29-D6EB-414E-A3D6-23343655DF9D}"/>
    <cellStyle name="20% - Accent4 2 7 2 3" xfId="21000" xr:uid="{FF3DA398-DCB5-4593-B1FD-26390DBF67C0}"/>
    <cellStyle name="20% - Accent4 2 7 2 4" xfId="12559" xr:uid="{0A539FFF-B63B-4322-A7C0-6331F0CD838A}"/>
    <cellStyle name="20% - Accent4 2 7 3" xfId="6182" xr:uid="{00000000-0005-0000-0000-00002E020000}"/>
    <cellStyle name="20% - Accent4 2 7 3 2" xfId="23073" xr:uid="{653E9D0D-137D-4375-907D-A0E225DC3C64}"/>
    <cellStyle name="20% - Accent4 2 7 3 3" xfId="14632" xr:uid="{C6663BF7-911F-40B3-B232-7DA9C2F138F3}"/>
    <cellStyle name="20% - Accent4 2 7 4" xfId="18855" xr:uid="{A3324589-8887-4DBC-896A-E7EBCC78D81D}"/>
    <cellStyle name="20% - Accent4 2 7 5" xfId="10414" xr:uid="{C617D41C-1637-4D52-A7F0-F38E6E6473F4}"/>
    <cellStyle name="20% - Accent4 2 8" xfId="2289" xr:uid="{00000000-0005-0000-0000-00002F020000}"/>
    <cellStyle name="20% - Accent4 2 8 2" xfId="6595" xr:uid="{00000000-0005-0000-0000-000030020000}"/>
    <cellStyle name="20% - Accent4 2 8 2 2" xfId="23486" xr:uid="{A274707D-7499-4915-A371-CE11028218BB}"/>
    <cellStyle name="20% - Accent4 2 8 2 3" xfId="15045" xr:uid="{8E496582-4CA3-4686-B820-05969E760358}"/>
    <cellStyle name="20% - Accent4 2 8 3" xfId="19268" xr:uid="{F9FED12C-120B-4AC8-8A89-61AFF34CD03A}"/>
    <cellStyle name="20% - Accent4 2 8 4" xfId="10827" xr:uid="{1BD3527E-BFFA-4240-9B6A-83A6C974CC20}"/>
    <cellStyle name="20% - Accent4 2 9" xfId="4529" xr:uid="{00000000-0005-0000-0000-000031020000}"/>
    <cellStyle name="20% - Accent4 2 9 2" xfId="21420" xr:uid="{DDDACA2B-BC46-494A-AC55-FCC62B2F11AA}"/>
    <cellStyle name="20% - Accent4 2 9 3" xfId="12979" xr:uid="{8E848988-0124-4F44-8D6E-7D61A162C71B}"/>
    <cellStyle name="20% - Accent4 3" xfId="30" xr:uid="{00000000-0005-0000-0000-000032020000}"/>
    <cellStyle name="20% - Accent4 3 10" xfId="8765" xr:uid="{91AD9440-1DC5-450D-9106-E0053BF442D9}"/>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2 2 2" xfId="23984" xr:uid="{A35278A9-ECA3-4627-B87C-2BB005146173}"/>
    <cellStyle name="20% - Accent4 3 2 2 2 2 3" xfId="15543" xr:uid="{0AFA3C97-ABEC-48B5-9DD0-2F184BB00353}"/>
    <cellStyle name="20% - Accent4 3 2 2 2 3" xfId="19766" xr:uid="{52798B3A-AE8A-47A3-8A59-03D9A6945906}"/>
    <cellStyle name="20% - Accent4 3 2 2 2 4" xfId="11325" xr:uid="{4B989290-4F75-482B-BABF-D28E6A0A4C7C}"/>
    <cellStyle name="20% - Accent4 3 2 2 3" xfId="4948" xr:uid="{00000000-0005-0000-0000-000037020000}"/>
    <cellStyle name="20% - Accent4 3 2 2 3 2" xfId="21839" xr:uid="{91540BFA-9992-42A5-9CF2-696C295FE704}"/>
    <cellStyle name="20% - Accent4 3 2 2 3 3" xfId="13398" xr:uid="{FC02DB83-F2F2-4256-9FBE-BE76F0AC30C4}"/>
    <cellStyle name="20% - Accent4 3 2 2 4" xfId="17621" xr:uid="{7492949D-BAD2-4826-BCB9-AD9895406B62}"/>
    <cellStyle name="20% - Accent4 3 2 2 5" xfId="9180" xr:uid="{853939BE-88E9-4D74-9140-B517CE8A1DF2}"/>
    <cellStyle name="20% - Accent4 3 2 3" xfId="1053" xr:uid="{00000000-0005-0000-0000-000038020000}"/>
    <cellStyle name="20% - Accent4 3 2 3 2" xfId="3284" xr:uid="{00000000-0005-0000-0000-000039020000}"/>
    <cellStyle name="20% - Accent4 3 2 3 2 2" xfId="7506" xr:uid="{00000000-0005-0000-0000-00003A020000}"/>
    <cellStyle name="20% - Accent4 3 2 3 2 2 2" xfId="24397" xr:uid="{6C9BE9AF-77BC-4F5B-9377-2EC95D6A1B97}"/>
    <cellStyle name="20% - Accent4 3 2 3 2 2 3" xfId="15956" xr:uid="{0FD94349-E2AA-4113-89F2-70875390D2A1}"/>
    <cellStyle name="20% - Accent4 3 2 3 2 3" xfId="20179" xr:uid="{FFC55A17-4299-40C6-8472-6E7F4A9561E4}"/>
    <cellStyle name="20% - Accent4 3 2 3 2 4" xfId="11738" xr:uid="{F1FBF534-561C-4643-AEFC-6FBF0ED798E3}"/>
    <cellStyle name="20% - Accent4 3 2 3 3" xfId="5361" xr:uid="{00000000-0005-0000-0000-00003B020000}"/>
    <cellStyle name="20% - Accent4 3 2 3 3 2" xfId="22252" xr:uid="{29100FE3-D526-48BA-B64E-590BC21F5F38}"/>
    <cellStyle name="20% - Accent4 3 2 3 3 3" xfId="13811" xr:uid="{430D0648-5768-4293-9703-51ABFE4A8F7F}"/>
    <cellStyle name="20% - Accent4 3 2 3 4" xfId="18034" xr:uid="{B7AF18BE-F1C8-4585-A428-AD2E68F51670}"/>
    <cellStyle name="20% - Accent4 3 2 3 5" xfId="9593" xr:uid="{5A66AA87-0A55-4158-A507-2E31802D9AED}"/>
    <cellStyle name="20% - Accent4 3 2 4" xfId="1467" xr:uid="{00000000-0005-0000-0000-00003C020000}"/>
    <cellStyle name="20% - Accent4 3 2 4 2" xfId="3697" xr:uid="{00000000-0005-0000-0000-00003D020000}"/>
    <cellStyle name="20% - Accent4 3 2 4 2 2" xfId="7919" xr:uid="{00000000-0005-0000-0000-00003E020000}"/>
    <cellStyle name="20% - Accent4 3 2 4 2 2 2" xfId="24810" xr:uid="{FE69573E-50BB-407A-A005-B4A04ACE9719}"/>
    <cellStyle name="20% - Accent4 3 2 4 2 2 3" xfId="16369" xr:uid="{B11B04B1-F772-4246-BCBD-75152E23324B}"/>
    <cellStyle name="20% - Accent4 3 2 4 2 3" xfId="20592" xr:uid="{00BCAB8A-3BDB-482C-A7DC-25EA02C21EF3}"/>
    <cellStyle name="20% - Accent4 3 2 4 2 4" xfId="12151" xr:uid="{6E68F5E0-DB98-459D-8A8F-60975E28EB77}"/>
    <cellStyle name="20% - Accent4 3 2 4 3" xfId="5774" xr:uid="{00000000-0005-0000-0000-00003F020000}"/>
    <cellStyle name="20% - Accent4 3 2 4 3 2" xfId="22665" xr:uid="{D2290D0F-7804-4919-9D3B-6188E30F2E91}"/>
    <cellStyle name="20% - Accent4 3 2 4 3 3" xfId="14224" xr:uid="{82D9CEF5-64A9-4EA3-A15D-CD15C7DA4A04}"/>
    <cellStyle name="20% - Accent4 3 2 4 4" xfId="18447" xr:uid="{9A7E5218-B7FB-409F-817E-1122B08E043F}"/>
    <cellStyle name="20% - Accent4 3 2 4 5" xfId="10006" xr:uid="{A6BCF941-3A2D-4038-99B7-A7600E148E49}"/>
    <cellStyle name="20% - Accent4 3 2 5" xfId="1881" xr:uid="{00000000-0005-0000-0000-000040020000}"/>
    <cellStyle name="20% - Accent4 3 2 5 2" xfId="4110" xr:uid="{00000000-0005-0000-0000-000041020000}"/>
    <cellStyle name="20% - Accent4 3 2 5 2 2" xfId="8332" xr:uid="{00000000-0005-0000-0000-000042020000}"/>
    <cellStyle name="20% - Accent4 3 2 5 2 2 2" xfId="25223" xr:uid="{142BD379-B72D-4A79-8B15-B2AE60397C38}"/>
    <cellStyle name="20% - Accent4 3 2 5 2 2 3" xfId="16782" xr:uid="{194309B5-E274-4236-B34A-43D2B12E4E7D}"/>
    <cellStyle name="20% - Accent4 3 2 5 2 3" xfId="21005" xr:uid="{827DEC7B-6BE7-4E53-A191-98ED968F6C24}"/>
    <cellStyle name="20% - Accent4 3 2 5 2 4" xfId="12564" xr:uid="{75DF362E-3FD4-439A-90BE-0592ACAFCC48}"/>
    <cellStyle name="20% - Accent4 3 2 5 3" xfId="6187" xr:uid="{00000000-0005-0000-0000-000043020000}"/>
    <cellStyle name="20% - Accent4 3 2 5 3 2" xfId="23078" xr:uid="{F0FB6C8E-DFFC-449E-B10B-0F4AAA58F612}"/>
    <cellStyle name="20% - Accent4 3 2 5 3 3" xfId="14637" xr:uid="{24CC944B-C212-4F15-AD1A-764E7E0FD889}"/>
    <cellStyle name="20% - Accent4 3 2 5 4" xfId="18860" xr:uid="{564BF07D-FB63-4454-A767-134FD9498622}"/>
    <cellStyle name="20% - Accent4 3 2 5 5" xfId="10419" xr:uid="{0105A8C1-635A-4300-8E97-2F4D36CDB418}"/>
    <cellStyle name="20% - Accent4 3 2 6" xfId="2294" xr:uid="{00000000-0005-0000-0000-000044020000}"/>
    <cellStyle name="20% - Accent4 3 2 6 2" xfId="6600" xr:uid="{00000000-0005-0000-0000-000045020000}"/>
    <cellStyle name="20% - Accent4 3 2 6 2 2" xfId="23491" xr:uid="{7C94B2D9-CBEE-4892-A2C0-B6BE6A24258A}"/>
    <cellStyle name="20% - Accent4 3 2 6 2 3" xfId="15050" xr:uid="{363F8C42-85A9-49DA-B8AB-64E4FC9EE9F0}"/>
    <cellStyle name="20% - Accent4 3 2 6 3" xfId="19273" xr:uid="{66DCAD36-DBC0-4CD9-8B49-2871DFCEAE43}"/>
    <cellStyle name="20% - Accent4 3 2 6 4" xfId="10832" xr:uid="{27AACEE3-113E-4F00-A7AE-98BDAC8CCE70}"/>
    <cellStyle name="20% - Accent4 3 2 7" xfId="4534" xr:uid="{00000000-0005-0000-0000-000046020000}"/>
    <cellStyle name="20% - Accent4 3 2 7 2" xfId="21425" xr:uid="{129F3A77-F108-4744-8C66-2A741BF5C17E}"/>
    <cellStyle name="20% - Accent4 3 2 7 3" xfId="12984" xr:uid="{B0AEE0D2-E85C-49FB-918B-F7B18F8795B2}"/>
    <cellStyle name="20% - Accent4 3 2 8" xfId="17207" xr:uid="{A9868BA5-973C-4135-A2DC-DBA34FF4A755}"/>
    <cellStyle name="20% - Accent4 3 2 9" xfId="8766" xr:uid="{BD6067A4-B8D8-41B3-A01D-6FE582D79DE8}"/>
    <cellStyle name="20% - Accent4 3 3" xfId="599" xr:uid="{00000000-0005-0000-0000-000047020000}"/>
    <cellStyle name="20% - Accent4 3 3 2" xfId="2870" xr:uid="{00000000-0005-0000-0000-000048020000}"/>
    <cellStyle name="20% - Accent4 3 3 2 2" xfId="7092" xr:uid="{00000000-0005-0000-0000-000049020000}"/>
    <cellStyle name="20% - Accent4 3 3 2 2 2" xfId="23983" xr:uid="{0AF6FB69-A7FD-4B58-9F36-1B2A40069602}"/>
    <cellStyle name="20% - Accent4 3 3 2 2 3" xfId="15542" xr:uid="{0ED3FFD7-6F57-4146-8B2E-42829B04B416}"/>
    <cellStyle name="20% - Accent4 3 3 2 3" xfId="19765" xr:uid="{5AAC7AE0-5E0E-4611-AC8F-C3E88CF4EC8E}"/>
    <cellStyle name="20% - Accent4 3 3 2 4" xfId="11324" xr:uid="{913E4B99-92BA-49E5-BD05-21C9381401F4}"/>
    <cellStyle name="20% - Accent4 3 3 3" xfId="4947" xr:uid="{00000000-0005-0000-0000-00004A020000}"/>
    <cellStyle name="20% - Accent4 3 3 3 2" xfId="21838" xr:uid="{ACBB3D48-30BC-40C0-8178-22BF426CF887}"/>
    <cellStyle name="20% - Accent4 3 3 3 3" xfId="13397" xr:uid="{3E586D44-D6BB-476E-A22D-3D921A41C3E7}"/>
    <cellStyle name="20% - Accent4 3 3 4" xfId="17620" xr:uid="{D0A3024C-3993-4C9A-BF94-9DF68BD9ED25}"/>
    <cellStyle name="20% - Accent4 3 3 5" xfId="9179" xr:uid="{ADD56D8E-37E0-4935-9A50-E216810132C1}"/>
    <cellStyle name="20% - Accent4 3 4" xfId="1052" xr:uid="{00000000-0005-0000-0000-00004B020000}"/>
    <cellStyle name="20% - Accent4 3 4 2" xfId="3283" xr:uid="{00000000-0005-0000-0000-00004C020000}"/>
    <cellStyle name="20% - Accent4 3 4 2 2" xfId="7505" xr:uid="{00000000-0005-0000-0000-00004D020000}"/>
    <cellStyle name="20% - Accent4 3 4 2 2 2" xfId="24396" xr:uid="{CDAC794D-24E6-41F8-976B-96B48032F7D9}"/>
    <cellStyle name="20% - Accent4 3 4 2 2 3" xfId="15955" xr:uid="{4596706D-1B35-4806-8F03-3D64DE31DCEE}"/>
    <cellStyle name="20% - Accent4 3 4 2 3" xfId="20178" xr:uid="{22AAA73B-C4F4-487A-B2F4-E0D9EC33B182}"/>
    <cellStyle name="20% - Accent4 3 4 2 4" xfId="11737" xr:uid="{AD0EC74A-1477-49E1-94FF-74ACFB01CDF1}"/>
    <cellStyle name="20% - Accent4 3 4 3" xfId="5360" xr:uid="{00000000-0005-0000-0000-00004E020000}"/>
    <cellStyle name="20% - Accent4 3 4 3 2" xfId="22251" xr:uid="{74CB3C0B-B9E8-49A6-92B1-A5A680BDC390}"/>
    <cellStyle name="20% - Accent4 3 4 3 3" xfId="13810" xr:uid="{A5DAFFB4-2041-4572-B85B-55EDB220EFE2}"/>
    <cellStyle name="20% - Accent4 3 4 4" xfId="18033" xr:uid="{A13688D1-1716-4C25-AD1C-397C37F29B46}"/>
    <cellStyle name="20% - Accent4 3 4 5" xfId="9592" xr:uid="{1E5A74D5-9913-4A28-BAB0-0682547090D5}"/>
    <cellStyle name="20% - Accent4 3 5" xfId="1466" xr:uid="{00000000-0005-0000-0000-00004F020000}"/>
    <cellStyle name="20% - Accent4 3 5 2" xfId="3696" xr:uid="{00000000-0005-0000-0000-000050020000}"/>
    <cellStyle name="20% - Accent4 3 5 2 2" xfId="7918" xr:uid="{00000000-0005-0000-0000-000051020000}"/>
    <cellStyle name="20% - Accent4 3 5 2 2 2" xfId="24809" xr:uid="{B44E0587-FA68-4A59-862B-76D5C5F72B50}"/>
    <cellStyle name="20% - Accent4 3 5 2 2 3" xfId="16368" xr:uid="{F343CEA2-E181-46FD-878A-A878ED22AADB}"/>
    <cellStyle name="20% - Accent4 3 5 2 3" xfId="20591" xr:uid="{A514AABD-00D5-4AE9-B7CF-95F3FD9D9CFE}"/>
    <cellStyle name="20% - Accent4 3 5 2 4" xfId="12150" xr:uid="{02C90ECC-370A-4C20-A1E9-B6D73066A58D}"/>
    <cellStyle name="20% - Accent4 3 5 3" xfId="5773" xr:uid="{00000000-0005-0000-0000-000052020000}"/>
    <cellStyle name="20% - Accent4 3 5 3 2" xfId="22664" xr:uid="{FF8FEB27-408B-45B5-A613-E5D00674D9F1}"/>
    <cellStyle name="20% - Accent4 3 5 3 3" xfId="14223" xr:uid="{116B4ADA-827F-4121-AFE4-5020CF9434B3}"/>
    <cellStyle name="20% - Accent4 3 5 4" xfId="18446" xr:uid="{BDCD358A-3A28-491C-AD83-01F1201C141A}"/>
    <cellStyle name="20% - Accent4 3 5 5" xfId="10005" xr:uid="{5379DF6F-C9C3-4DDF-AA48-04C0B37A6595}"/>
    <cellStyle name="20% - Accent4 3 6" xfId="1880" xr:uid="{00000000-0005-0000-0000-000053020000}"/>
    <cellStyle name="20% - Accent4 3 6 2" xfId="4109" xr:uid="{00000000-0005-0000-0000-000054020000}"/>
    <cellStyle name="20% - Accent4 3 6 2 2" xfId="8331" xr:uid="{00000000-0005-0000-0000-000055020000}"/>
    <cellStyle name="20% - Accent4 3 6 2 2 2" xfId="25222" xr:uid="{3AA21C0F-ACA4-4DA0-A67F-2803686CA11D}"/>
    <cellStyle name="20% - Accent4 3 6 2 2 3" xfId="16781" xr:uid="{CEDAB738-8C62-44AE-A470-6DD532CF57AC}"/>
    <cellStyle name="20% - Accent4 3 6 2 3" xfId="21004" xr:uid="{5A764403-2BFC-406A-8936-57986C6F3304}"/>
    <cellStyle name="20% - Accent4 3 6 2 4" xfId="12563" xr:uid="{235DA4C2-660F-4513-8FCA-A687E1853070}"/>
    <cellStyle name="20% - Accent4 3 6 3" xfId="6186" xr:uid="{00000000-0005-0000-0000-000056020000}"/>
    <cellStyle name="20% - Accent4 3 6 3 2" xfId="23077" xr:uid="{F525FE1C-03C2-4088-B456-76AC3A37DB85}"/>
    <cellStyle name="20% - Accent4 3 6 3 3" xfId="14636" xr:uid="{889023E0-8141-429B-BBBD-0AECB58A72D1}"/>
    <cellStyle name="20% - Accent4 3 6 4" xfId="18859" xr:uid="{5A7B9C04-054F-4470-90EA-F13C290EF537}"/>
    <cellStyle name="20% - Accent4 3 6 5" xfId="10418" xr:uid="{CCD6AF71-3D4B-4F9D-9281-579122377168}"/>
    <cellStyle name="20% - Accent4 3 7" xfId="2293" xr:uid="{00000000-0005-0000-0000-000057020000}"/>
    <cellStyle name="20% - Accent4 3 7 2" xfId="6599" xr:uid="{00000000-0005-0000-0000-000058020000}"/>
    <cellStyle name="20% - Accent4 3 7 2 2" xfId="23490" xr:uid="{5F2B604A-2B32-4527-97B6-88AF19151E47}"/>
    <cellStyle name="20% - Accent4 3 7 2 3" xfId="15049" xr:uid="{7EB9D1B1-ACEB-431E-92E9-3015FCD848AC}"/>
    <cellStyle name="20% - Accent4 3 7 3" xfId="19272" xr:uid="{C763EE0F-8C06-4727-B0E6-222320DA8475}"/>
    <cellStyle name="20% - Accent4 3 7 4" xfId="10831" xr:uid="{96B875FD-F333-4D30-880B-96DDD638F1E0}"/>
    <cellStyle name="20% - Accent4 3 8" xfId="4533" xr:uid="{00000000-0005-0000-0000-000059020000}"/>
    <cellStyle name="20% - Accent4 3 8 2" xfId="21424" xr:uid="{477B35D5-47B3-4355-A27A-840AF31C3D26}"/>
    <cellStyle name="20% - Accent4 3 8 3" xfId="12983" xr:uid="{17EDDDB5-788F-4575-9882-0B5E3BBC53FC}"/>
    <cellStyle name="20% - Accent4 3 9" xfId="17206" xr:uid="{0E935DD6-4C86-4CE6-87E9-B2ED98CAEE94}"/>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2 2 2" xfId="23985" xr:uid="{F2E0A796-C251-4A4A-B313-960ED580ED54}"/>
    <cellStyle name="20% - Accent4 4 2 2 2 3" xfId="15544" xr:uid="{1D2A0DEB-151E-4063-B484-852C00F4DCF2}"/>
    <cellStyle name="20% - Accent4 4 2 2 3" xfId="19767" xr:uid="{1406D821-4FAB-4A0C-81F2-846679AEDAD7}"/>
    <cellStyle name="20% - Accent4 4 2 2 4" xfId="11326" xr:uid="{816CFC6B-1BB9-4EB9-98E8-8620FAE8FC9C}"/>
    <cellStyle name="20% - Accent4 4 2 3" xfId="4949" xr:uid="{00000000-0005-0000-0000-00005E020000}"/>
    <cellStyle name="20% - Accent4 4 2 3 2" xfId="21840" xr:uid="{E963768A-C402-4206-B364-E0C0A0E72CB8}"/>
    <cellStyle name="20% - Accent4 4 2 3 3" xfId="13399" xr:uid="{1DA92AC9-1F13-49DC-8617-25E433870C74}"/>
    <cellStyle name="20% - Accent4 4 2 4" xfId="17622" xr:uid="{E01C3824-CF7A-40D2-942E-70C3AAD130A7}"/>
    <cellStyle name="20% - Accent4 4 2 5" xfId="9181" xr:uid="{0AD01831-9328-449B-9115-CE7B44E7669C}"/>
    <cellStyle name="20% - Accent4 4 3" xfId="1054" xr:uid="{00000000-0005-0000-0000-00005F020000}"/>
    <cellStyle name="20% - Accent4 4 3 2" xfId="3285" xr:uid="{00000000-0005-0000-0000-000060020000}"/>
    <cellStyle name="20% - Accent4 4 3 2 2" xfId="7507" xr:uid="{00000000-0005-0000-0000-000061020000}"/>
    <cellStyle name="20% - Accent4 4 3 2 2 2" xfId="24398" xr:uid="{75A65CF6-2449-4218-BA3A-014BCE8A6FE1}"/>
    <cellStyle name="20% - Accent4 4 3 2 2 3" xfId="15957" xr:uid="{E8B00D99-F30C-48C3-B20D-22F13489E40C}"/>
    <cellStyle name="20% - Accent4 4 3 2 3" xfId="20180" xr:uid="{F0CB596F-0463-435A-A242-90F3B8371299}"/>
    <cellStyle name="20% - Accent4 4 3 2 4" xfId="11739" xr:uid="{979B2361-D702-41DC-B1A2-6A5FB25B9221}"/>
    <cellStyle name="20% - Accent4 4 3 3" xfId="5362" xr:uid="{00000000-0005-0000-0000-000062020000}"/>
    <cellStyle name="20% - Accent4 4 3 3 2" xfId="22253" xr:uid="{BF71A624-8E63-42B3-B511-5BC567F06EF4}"/>
    <cellStyle name="20% - Accent4 4 3 3 3" xfId="13812" xr:uid="{76F8083F-3C2E-451D-AD19-22AD029FE3BA}"/>
    <cellStyle name="20% - Accent4 4 3 4" xfId="18035" xr:uid="{AF612011-CD83-4F59-8109-2037AF2B1408}"/>
    <cellStyle name="20% - Accent4 4 3 5" xfId="9594" xr:uid="{CC834C22-19BF-47C7-BDE4-35B6739C2807}"/>
    <cellStyle name="20% - Accent4 4 4" xfId="1468" xr:uid="{00000000-0005-0000-0000-000063020000}"/>
    <cellStyle name="20% - Accent4 4 4 2" xfId="3698" xr:uid="{00000000-0005-0000-0000-000064020000}"/>
    <cellStyle name="20% - Accent4 4 4 2 2" xfId="7920" xr:uid="{00000000-0005-0000-0000-000065020000}"/>
    <cellStyle name="20% - Accent4 4 4 2 2 2" xfId="24811" xr:uid="{CACBC7FE-56AC-4DF4-85BB-543949922BDE}"/>
    <cellStyle name="20% - Accent4 4 4 2 2 3" xfId="16370" xr:uid="{83D7CD9F-1207-45FB-8682-C23539869A31}"/>
    <cellStyle name="20% - Accent4 4 4 2 3" xfId="20593" xr:uid="{A7EE9BDC-A3BB-415A-84F6-73286CEFA3AB}"/>
    <cellStyle name="20% - Accent4 4 4 2 4" xfId="12152" xr:uid="{1CAAF590-77D6-4F0E-B025-6F2AED18C330}"/>
    <cellStyle name="20% - Accent4 4 4 3" xfId="5775" xr:uid="{00000000-0005-0000-0000-000066020000}"/>
    <cellStyle name="20% - Accent4 4 4 3 2" xfId="22666" xr:uid="{DA3CE87E-DB5A-4D7F-9921-DEBB6FC6FAA6}"/>
    <cellStyle name="20% - Accent4 4 4 3 3" xfId="14225" xr:uid="{19D54983-73B0-4263-8F10-7F972476CA21}"/>
    <cellStyle name="20% - Accent4 4 4 4" xfId="18448" xr:uid="{9C003031-BCFF-43B4-A6CB-61BDDF3E504C}"/>
    <cellStyle name="20% - Accent4 4 4 5" xfId="10007" xr:uid="{1F4DE996-41E4-4DD8-8A6A-A2B32101D06C}"/>
    <cellStyle name="20% - Accent4 4 5" xfId="1882" xr:uid="{00000000-0005-0000-0000-000067020000}"/>
    <cellStyle name="20% - Accent4 4 5 2" xfId="4111" xr:uid="{00000000-0005-0000-0000-000068020000}"/>
    <cellStyle name="20% - Accent4 4 5 2 2" xfId="8333" xr:uid="{00000000-0005-0000-0000-000069020000}"/>
    <cellStyle name="20% - Accent4 4 5 2 2 2" xfId="25224" xr:uid="{0AEFD401-675A-4989-80B8-658C5D58288E}"/>
    <cellStyle name="20% - Accent4 4 5 2 2 3" xfId="16783" xr:uid="{954BA3F2-426D-4100-9011-5900A8337ACA}"/>
    <cellStyle name="20% - Accent4 4 5 2 3" xfId="21006" xr:uid="{84C01BED-6FE1-405F-AFE8-1732A379CCBF}"/>
    <cellStyle name="20% - Accent4 4 5 2 4" xfId="12565" xr:uid="{65AF2C8D-DF10-4E53-A9BD-2935369E1773}"/>
    <cellStyle name="20% - Accent4 4 5 3" xfId="6188" xr:uid="{00000000-0005-0000-0000-00006A020000}"/>
    <cellStyle name="20% - Accent4 4 5 3 2" xfId="23079" xr:uid="{A852B2C2-90BB-4902-AFFE-6C20C024E1D4}"/>
    <cellStyle name="20% - Accent4 4 5 3 3" xfId="14638" xr:uid="{A0DA3233-BD95-4655-B8CA-5E12CFC341C3}"/>
    <cellStyle name="20% - Accent4 4 5 4" xfId="18861" xr:uid="{C55E6411-5CDE-4E36-A1AF-E8C00ED24C87}"/>
    <cellStyle name="20% - Accent4 4 5 5" xfId="10420" xr:uid="{502890D4-64EA-496A-8BFC-489B918F3C08}"/>
    <cellStyle name="20% - Accent4 4 6" xfId="2295" xr:uid="{00000000-0005-0000-0000-00006B020000}"/>
    <cellStyle name="20% - Accent4 4 6 2" xfId="6601" xr:uid="{00000000-0005-0000-0000-00006C020000}"/>
    <cellStyle name="20% - Accent4 4 6 2 2" xfId="23492" xr:uid="{B41062ED-A8CB-48E9-9009-1BEFDE57850A}"/>
    <cellStyle name="20% - Accent4 4 6 2 3" xfId="15051" xr:uid="{A08ADE1A-91CA-4655-B602-C9D2340CF6E6}"/>
    <cellStyle name="20% - Accent4 4 6 3" xfId="19274" xr:uid="{44E67977-2036-422C-982F-A52727C198C0}"/>
    <cellStyle name="20% - Accent4 4 6 4" xfId="10833" xr:uid="{5F07E0C2-BCF9-4117-A856-90A0BB2AE93E}"/>
    <cellStyle name="20% - Accent4 4 7" xfId="4535" xr:uid="{00000000-0005-0000-0000-00006D020000}"/>
    <cellStyle name="20% - Accent4 4 7 2" xfId="21426" xr:uid="{7247C12C-1E13-462A-AD60-FE3BEE6FD36B}"/>
    <cellStyle name="20% - Accent4 4 7 3" xfId="12985" xr:uid="{630B3899-206A-49B7-BAC5-0FBC4F841DCC}"/>
    <cellStyle name="20% - Accent4 4 8" xfId="17208" xr:uid="{311639F5-4400-4A26-8E54-9E98ED4678F3}"/>
    <cellStyle name="20% - Accent4 4 9" xfId="8767" xr:uid="{62C64BAA-659E-400C-A76C-9BA269F08EFD}"/>
    <cellStyle name="20% - Accent4 5" xfId="594" xr:uid="{00000000-0005-0000-0000-00006E020000}"/>
    <cellStyle name="20% - Accent4 5 2" xfId="2865" xr:uid="{00000000-0005-0000-0000-00006F020000}"/>
    <cellStyle name="20% - Accent4 5 2 2" xfId="7087" xr:uid="{00000000-0005-0000-0000-000070020000}"/>
    <cellStyle name="20% - Accent4 5 2 2 2" xfId="23978" xr:uid="{02BE94CC-3258-4DB8-A78B-460130F0D092}"/>
    <cellStyle name="20% - Accent4 5 2 2 3" xfId="15537" xr:uid="{27C3141D-90DB-40AE-87BE-38C45DF08AB4}"/>
    <cellStyle name="20% - Accent4 5 2 3" xfId="19760" xr:uid="{5F9BA2E4-D1F7-4720-81AF-6EE3689C2A33}"/>
    <cellStyle name="20% - Accent4 5 2 4" xfId="11319" xr:uid="{AFDB5C97-65D4-4F6E-98BC-5EE464F35195}"/>
    <cellStyle name="20% - Accent4 5 3" xfId="4942" xr:uid="{00000000-0005-0000-0000-000071020000}"/>
    <cellStyle name="20% - Accent4 5 3 2" xfId="21833" xr:uid="{5CE82E08-5AEC-4124-9C4B-F23518C7318D}"/>
    <cellStyle name="20% - Accent4 5 3 3" xfId="13392" xr:uid="{9F39D760-855E-45DE-AC15-74DBF67698AE}"/>
    <cellStyle name="20% - Accent4 5 4" xfId="17615" xr:uid="{F22A9C62-28A5-425F-A11C-5648A245D533}"/>
    <cellStyle name="20% - Accent4 5 5" xfId="9174" xr:uid="{085714A1-F3B1-4C9B-8740-99F30225DA65}"/>
    <cellStyle name="20% - Accent4 6" xfId="1047" xr:uid="{00000000-0005-0000-0000-000072020000}"/>
    <cellStyle name="20% - Accent4 6 2" xfId="3278" xr:uid="{00000000-0005-0000-0000-000073020000}"/>
    <cellStyle name="20% - Accent4 6 2 2" xfId="7500" xr:uid="{00000000-0005-0000-0000-000074020000}"/>
    <cellStyle name="20% - Accent4 6 2 2 2" xfId="24391" xr:uid="{5F3803D1-7FD8-439B-AD21-6F402500CF05}"/>
    <cellStyle name="20% - Accent4 6 2 2 3" xfId="15950" xr:uid="{D94208F5-A435-4D1F-B860-18141448C276}"/>
    <cellStyle name="20% - Accent4 6 2 3" xfId="20173" xr:uid="{5EA210AA-47F5-4243-96C3-1886F84D02D7}"/>
    <cellStyle name="20% - Accent4 6 2 4" xfId="11732" xr:uid="{3D701AD7-CC01-4512-9F8A-EABA490CD11A}"/>
    <cellStyle name="20% - Accent4 6 3" xfId="5355" xr:uid="{00000000-0005-0000-0000-000075020000}"/>
    <cellStyle name="20% - Accent4 6 3 2" xfId="22246" xr:uid="{5EE6AE83-9856-41F1-AFA3-F106558B0F8F}"/>
    <cellStyle name="20% - Accent4 6 3 3" xfId="13805" xr:uid="{944E768B-3AFC-418B-BFBC-CBC3A482FF75}"/>
    <cellStyle name="20% - Accent4 6 4" xfId="18028" xr:uid="{CF6CE59B-6F76-4DAA-8344-9BCEF08A604D}"/>
    <cellStyle name="20% - Accent4 6 5" xfId="9587" xr:uid="{602230E3-D2F5-4DE5-AE68-4A487BFB84E3}"/>
    <cellStyle name="20% - Accent4 7" xfId="1461" xr:uid="{00000000-0005-0000-0000-000076020000}"/>
    <cellStyle name="20% - Accent4 7 2" xfId="3691" xr:uid="{00000000-0005-0000-0000-000077020000}"/>
    <cellStyle name="20% - Accent4 7 2 2" xfId="7913" xr:uid="{00000000-0005-0000-0000-000078020000}"/>
    <cellStyle name="20% - Accent4 7 2 2 2" xfId="24804" xr:uid="{30CF448B-B2B5-4FD8-9140-72B21832F22C}"/>
    <cellStyle name="20% - Accent4 7 2 2 3" xfId="16363" xr:uid="{10298C4D-1D60-4549-A821-B068FC21706D}"/>
    <cellStyle name="20% - Accent4 7 2 3" xfId="20586" xr:uid="{373AA918-3667-4A51-8CCE-3F4D65954EA9}"/>
    <cellStyle name="20% - Accent4 7 2 4" xfId="12145" xr:uid="{4B8885F5-910A-44D0-90DC-56F96AACEE43}"/>
    <cellStyle name="20% - Accent4 7 3" xfId="5768" xr:uid="{00000000-0005-0000-0000-000079020000}"/>
    <cellStyle name="20% - Accent4 7 3 2" xfId="22659" xr:uid="{CFDC9A4B-FC7A-49E4-9271-7234F8751C7F}"/>
    <cellStyle name="20% - Accent4 7 3 3" xfId="14218" xr:uid="{3A15037C-EA21-4B8D-BD34-E98F1C0931AA}"/>
    <cellStyle name="20% - Accent4 7 4" xfId="18441" xr:uid="{34C8CFD3-B55C-4E1E-990E-CF0AB36970CE}"/>
    <cellStyle name="20% - Accent4 7 5" xfId="10000" xr:uid="{A17BB3E6-D657-42B0-97BF-BCE5F0A4CE3F}"/>
    <cellStyle name="20% - Accent4 8" xfId="1875" xr:uid="{00000000-0005-0000-0000-00007A020000}"/>
    <cellStyle name="20% - Accent4 8 2" xfId="4104" xr:uid="{00000000-0005-0000-0000-00007B020000}"/>
    <cellStyle name="20% - Accent4 8 2 2" xfId="8326" xr:uid="{00000000-0005-0000-0000-00007C020000}"/>
    <cellStyle name="20% - Accent4 8 2 2 2" xfId="25217" xr:uid="{DDB457AE-1564-4EAB-B1E2-17BDEB1B933C}"/>
    <cellStyle name="20% - Accent4 8 2 2 3" xfId="16776" xr:uid="{CB4FCFEA-FD59-49F6-95E5-5C7A13C5E002}"/>
    <cellStyle name="20% - Accent4 8 2 3" xfId="20999" xr:uid="{B2D12805-4981-460D-890C-B87CF5790929}"/>
    <cellStyle name="20% - Accent4 8 2 4" xfId="12558" xr:uid="{CD2C9FD7-E365-4B4F-9545-3233340AF647}"/>
    <cellStyle name="20% - Accent4 8 3" xfId="6181" xr:uid="{00000000-0005-0000-0000-00007D020000}"/>
    <cellStyle name="20% - Accent4 8 3 2" xfId="23072" xr:uid="{438E111F-AB36-4F85-A647-116DA15D0BF4}"/>
    <cellStyle name="20% - Accent4 8 3 3" xfId="14631" xr:uid="{95D55CA6-45B2-40AE-A30C-F077AAC39D09}"/>
    <cellStyle name="20% - Accent4 8 4" xfId="18854" xr:uid="{7D6D5B09-6861-444D-9AB3-1F3D41CD00E4}"/>
    <cellStyle name="20% - Accent4 8 5" xfId="10413" xr:uid="{0B640501-3F83-4F04-9433-B105B6BA8542}"/>
    <cellStyle name="20% - Accent4 9" xfId="2288" xr:uid="{00000000-0005-0000-0000-00007E020000}"/>
    <cellStyle name="20% - Accent4 9 2" xfId="6594" xr:uid="{00000000-0005-0000-0000-00007F020000}"/>
    <cellStyle name="20% - Accent4 9 2 2" xfId="23485" xr:uid="{AAAF3927-2174-41F7-92FE-C4F061DE8CAB}"/>
    <cellStyle name="20% - Accent4 9 2 3" xfId="15044" xr:uid="{9248845C-31C7-4F48-9815-D0BDC47E294D}"/>
    <cellStyle name="20% - Accent4 9 3" xfId="19267" xr:uid="{E2AC9569-6AE2-463F-83BC-5531167DFBB8}"/>
    <cellStyle name="20% - Accent4 9 4" xfId="10826" xr:uid="{DCED4B5F-F1DB-4D55-A534-E4B1EF29C994}"/>
    <cellStyle name="20% - Accent5" xfId="33" builtinId="46" customBuiltin="1"/>
    <cellStyle name="20% - Accent5 10" xfId="4536" xr:uid="{00000000-0005-0000-0000-000081020000}"/>
    <cellStyle name="20% - Accent5 10 2" xfId="21427" xr:uid="{575517BE-7FB3-4E3A-9486-7729636F56A0}"/>
    <cellStyle name="20% - Accent5 10 3" xfId="12986" xr:uid="{AE6B0FBA-CE1C-43A0-9E61-7F04A1A84395}"/>
    <cellStyle name="20% - Accent5 11" xfId="17209" xr:uid="{C5D59E7E-9632-4B41-9EFD-0B466F14261F}"/>
    <cellStyle name="20% - Accent5 12" xfId="8768" xr:uid="{06745AE9-9FB6-45B9-ADDB-9CF82ABDCFA9}"/>
    <cellStyle name="20% - Accent5 2" xfId="34" xr:uid="{00000000-0005-0000-0000-000082020000}"/>
    <cellStyle name="20% - Accent5 2 10" xfId="17210" xr:uid="{CC0D3863-C297-438B-8779-ABC564371760}"/>
    <cellStyle name="20% - Accent5 2 11" xfId="8769" xr:uid="{EE087BA6-D133-4441-901F-EB0D6D2C000B}"/>
    <cellStyle name="20% - Accent5 2 2" xfId="35" xr:uid="{00000000-0005-0000-0000-000083020000}"/>
    <cellStyle name="20% - Accent5 2 2 10" xfId="8770" xr:uid="{E5B10563-6800-4B1F-B025-FAD5BFA2064B}"/>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2 2 2" xfId="23989" xr:uid="{A315B544-24B6-4043-93DB-C0959ECBD71D}"/>
    <cellStyle name="20% - Accent5 2 2 2 2 2 2 3" xfId="15548" xr:uid="{83314CF1-D5B0-453F-B9B4-4C4BCFBDFE6F}"/>
    <cellStyle name="20% - Accent5 2 2 2 2 2 3" xfId="19771" xr:uid="{44E363DE-E0EB-4C79-8B9E-8C7E05FF205E}"/>
    <cellStyle name="20% - Accent5 2 2 2 2 2 4" xfId="11330" xr:uid="{1F955302-C2CE-4634-B214-C767972E5794}"/>
    <cellStyle name="20% - Accent5 2 2 2 2 3" xfId="4953" xr:uid="{00000000-0005-0000-0000-000088020000}"/>
    <cellStyle name="20% - Accent5 2 2 2 2 3 2" xfId="21844" xr:uid="{E76D7137-F554-4AA5-ABA5-26BE943F5335}"/>
    <cellStyle name="20% - Accent5 2 2 2 2 3 3" xfId="13403" xr:uid="{11F43AC9-BF51-4566-B33A-3B7FCB5D3A55}"/>
    <cellStyle name="20% - Accent5 2 2 2 2 4" xfId="17626" xr:uid="{19D2C31A-8743-4663-9CD3-4982F08CC111}"/>
    <cellStyle name="20% - Accent5 2 2 2 2 5" xfId="9185" xr:uid="{CA009F4B-39FB-4C72-A253-26BDD2E95EC4}"/>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2 2 2" xfId="24402" xr:uid="{518D8812-9393-4B1A-848A-6FFF1B363295}"/>
    <cellStyle name="20% - Accent5 2 2 2 3 2 2 3" xfId="15961" xr:uid="{86D63AD9-DC2E-4717-B18C-5F446F41216C}"/>
    <cellStyle name="20% - Accent5 2 2 2 3 2 3" xfId="20184" xr:uid="{72363BD8-6CD7-4BBF-A223-D882F9E59A0F}"/>
    <cellStyle name="20% - Accent5 2 2 2 3 2 4" xfId="11743" xr:uid="{6BF6DBCC-886D-4EBA-8E75-7C35D0CE2DB4}"/>
    <cellStyle name="20% - Accent5 2 2 2 3 3" xfId="5366" xr:uid="{00000000-0005-0000-0000-00008C020000}"/>
    <cellStyle name="20% - Accent5 2 2 2 3 3 2" xfId="22257" xr:uid="{90266883-7223-4286-9B0D-D6A74DE70886}"/>
    <cellStyle name="20% - Accent5 2 2 2 3 3 3" xfId="13816" xr:uid="{DE5F097A-DB2D-4E9B-8273-1C1E0434C699}"/>
    <cellStyle name="20% - Accent5 2 2 2 3 4" xfId="18039" xr:uid="{4A268832-8929-4D77-8823-FE8CC7205090}"/>
    <cellStyle name="20% - Accent5 2 2 2 3 5" xfId="9598" xr:uid="{ADA8E052-0F6E-4E3F-A01B-BFDA7EAE1207}"/>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2 2 2" xfId="24815" xr:uid="{9E0BBFD0-96B7-40F0-92B8-3CEF1C6DC161}"/>
    <cellStyle name="20% - Accent5 2 2 2 4 2 2 3" xfId="16374" xr:uid="{C0FBA4A8-4800-460B-9A85-5BECEDB1C89F}"/>
    <cellStyle name="20% - Accent5 2 2 2 4 2 3" xfId="20597" xr:uid="{0A8308AE-98DC-42E5-9B70-76ADA0688AD4}"/>
    <cellStyle name="20% - Accent5 2 2 2 4 2 4" xfId="12156" xr:uid="{6531C794-75CD-4731-A8D2-C3C7D69DC358}"/>
    <cellStyle name="20% - Accent5 2 2 2 4 3" xfId="5779" xr:uid="{00000000-0005-0000-0000-000090020000}"/>
    <cellStyle name="20% - Accent5 2 2 2 4 3 2" xfId="22670" xr:uid="{7FB8F2DB-DF63-45E3-A86D-3AF546400900}"/>
    <cellStyle name="20% - Accent5 2 2 2 4 3 3" xfId="14229" xr:uid="{4EE4ACD1-85EF-4330-ADD4-431FAC76BC07}"/>
    <cellStyle name="20% - Accent5 2 2 2 4 4" xfId="18452" xr:uid="{10771CA3-1E22-41E5-82B3-CAF84FEAC198}"/>
    <cellStyle name="20% - Accent5 2 2 2 4 5" xfId="10011" xr:uid="{199FD7FA-569E-4647-AF4A-4296FB1DC27D}"/>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2 2 2" xfId="25228" xr:uid="{019413C2-E2ED-43A1-B154-86F3B2DFFA44}"/>
    <cellStyle name="20% - Accent5 2 2 2 5 2 2 3" xfId="16787" xr:uid="{803A36B4-B8A2-44BF-96F4-29D55D658DEF}"/>
    <cellStyle name="20% - Accent5 2 2 2 5 2 3" xfId="21010" xr:uid="{8F2513DD-B26F-4037-BF05-5530AB86EB12}"/>
    <cellStyle name="20% - Accent5 2 2 2 5 2 4" xfId="12569" xr:uid="{838ADA3F-2969-480F-94C2-E0FC7D8454FA}"/>
    <cellStyle name="20% - Accent5 2 2 2 5 3" xfId="6192" xr:uid="{00000000-0005-0000-0000-000094020000}"/>
    <cellStyle name="20% - Accent5 2 2 2 5 3 2" xfId="23083" xr:uid="{B9023F58-F840-4023-A6AC-7E450753B69B}"/>
    <cellStyle name="20% - Accent5 2 2 2 5 3 3" xfId="14642" xr:uid="{C3819408-0B6E-4F15-8469-B3895359607E}"/>
    <cellStyle name="20% - Accent5 2 2 2 5 4" xfId="18865" xr:uid="{DBE81110-027C-4989-BECD-814EBEBBACB8}"/>
    <cellStyle name="20% - Accent5 2 2 2 5 5" xfId="10424" xr:uid="{67F7614D-2979-4EEA-B24D-13211C48664C}"/>
    <cellStyle name="20% - Accent5 2 2 2 6" xfId="2299" xr:uid="{00000000-0005-0000-0000-000095020000}"/>
    <cellStyle name="20% - Accent5 2 2 2 6 2" xfId="6605" xr:uid="{00000000-0005-0000-0000-000096020000}"/>
    <cellStyle name="20% - Accent5 2 2 2 6 2 2" xfId="23496" xr:uid="{8E6ABEC5-A5D5-4A1B-BC86-C1925BEEB2A5}"/>
    <cellStyle name="20% - Accent5 2 2 2 6 2 3" xfId="15055" xr:uid="{53723665-4B31-4944-AC25-EE6E1C2BFCD9}"/>
    <cellStyle name="20% - Accent5 2 2 2 6 3" xfId="19278" xr:uid="{2F13F0F2-8CDB-4EF6-BFA4-80255A3B5873}"/>
    <cellStyle name="20% - Accent5 2 2 2 6 4" xfId="10837" xr:uid="{5C0A5068-A5CF-49F1-ACB1-E650721F804F}"/>
    <cellStyle name="20% - Accent5 2 2 2 7" xfId="4539" xr:uid="{00000000-0005-0000-0000-000097020000}"/>
    <cellStyle name="20% - Accent5 2 2 2 7 2" xfId="21430" xr:uid="{51D1DF5D-D970-42EF-861E-77BD3E0E65D9}"/>
    <cellStyle name="20% - Accent5 2 2 2 7 3" xfId="12989" xr:uid="{B409CA58-5A13-4AD1-A9C0-EF6778A1F30C}"/>
    <cellStyle name="20% - Accent5 2 2 2 8" xfId="17212" xr:uid="{909FAAF2-88FC-460E-B5B8-58D8E4A5DFF8}"/>
    <cellStyle name="20% - Accent5 2 2 2 9" xfId="8771" xr:uid="{E83DA9AD-A119-4B7D-A33E-813698DCB5CF}"/>
    <cellStyle name="20% - Accent5 2 2 3" xfId="604" xr:uid="{00000000-0005-0000-0000-000098020000}"/>
    <cellStyle name="20% - Accent5 2 2 3 2" xfId="2875" xr:uid="{00000000-0005-0000-0000-000099020000}"/>
    <cellStyle name="20% - Accent5 2 2 3 2 2" xfId="7097" xr:uid="{00000000-0005-0000-0000-00009A020000}"/>
    <cellStyle name="20% - Accent5 2 2 3 2 2 2" xfId="23988" xr:uid="{A1EDE927-EA33-4CA6-AFDA-9E31A9AEB674}"/>
    <cellStyle name="20% - Accent5 2 2 3 2 2 3" xfId="15547" xr:uid="{5A7EF433-786D-4BCD-9DC8-B88589D8443F}"/>
    <cellStyle name="20% - Accent5 2 2 3 2 3" xfId="19770" xr:uid="{EF9D9F92-68CA-495F-BF79-B88D907F08EC}"/>
    <cellStyle name="20% - Accent5 2 2 3 2 4" xfId="11329" xr:uid="{E3402F06-0354-4A90-91B8-E99C36424B15}"/>
    <cellStyle name="20% - Accent5 2 2 3 3" xfId="4952" xr:uid="{00000000-0005-0000-0000-00009B020000}"/>
    <cellStyle name="20% - Accent5 2 2 3 3 2" xfId="21843" xr:uid="{807C07F4-A30B-4C31-8438-F5E2E274DBED}"/>
    <cellStyle name="20% - Accent5 2 2 3 3 3" xfId="13402" xr:uid="{00898B34-E2B2-4007-9750-D1F109D53FCC}"/>
    <cellStyle name="20% - Accent5 2 2 3 4" xfId="17625" xr:uid="{AB485833-07FA-4853-A1F7-C7DE83C06EC3}"/>
    <cellStyle name="20% - Accent5 2 2 3 5" xfId="9184" xr:uid="{BB893A57-CC82-45A4-86BA-924569EDD320}"/>
    <cellStyle name="20% - Accent5 2 2 4" xfId="1057" xr:uid="{00000000-0005-0000-0000-00009C020000}"/>
    <cellStyle name="20% - Accent5 2 2 4 2" xfId="3288" xr:uid="{00000000-0005-0000-0000-00009D020000}"/>
    <cellStyle name="20% - Accent5 2 2 4 2 2" xfId="7510" xr:uid="{00000000-0005-0000-0000-00009E020000}"/>
    <cellStyle name="20% - Accent5 2 2 4 2 2 2" xfId="24401" xr:uid="{B010C2BA-CAF5-40B5-BDD1-7D38BA83B036}"/>
    <cellStyle name="20% - Accent5 2 2 4 2 2 3" xfId="15960" xr:uid="{B9ED214F-875C-4E44-852B-599AE1579D36}"/>
    <cellStyle name="20% - Accent5 2 2 4 2 3" xfId="20183" xr:uid="{D51F2E5C-699B-446A-987C-23D00EFF5E4B}"/>
    <cellStyle name="20% - Accent5 2 2 4 2 4" xfId="11742" xr:uid="{35DF93FD-AE92-4420-80C3-B881381D0829}"/>
    <cellStyle name="20% - Accent5 2 2 4 3" xfId="5365" xr:uid="{00000000-0005-0000-0000-00009F020000}"/>
    <cellStyle name="20% - Accent5 2 2 4 3 2" xfId="22256" xr:uid="{61F94BF7-1BBF-48B8-BF4C-18E03C09655F}"/>
    <cellStyle name="20% - Accent5 2 2 4 3 3" xfId="13815" xr:uid="{936AB503-072D-4990-9D69-D2B5D756C4C3}"/>
    <cellStyle name="20% - Accent5 2 2 4 4" xfId="18038" xr:uid="{4DC11447-63D9-4B58-B2A3-DA837D447112}"/>
    <cellStyle name="20% - Accent5 2 2 4 5" xfId="9597" xr:uid="{FE8AACE7-3AB4-4F3C-8E62-9207808B57C5}"/>
    <cellStyle name="20% - Accent5 2 2 5" xfId="1471" xr:uid="{00000000-0005-0000-0000-0000A0020000}"/>
    <cellStyle name="20% - Accent5 2 2 5 2" xfId="3701" xr:uid="{00000000-0005-0000-0000-0000A1020000}"/>
    <cellStyle name="20% - Accent5 2 2 5 2 2" xfId="7923" xr:uid="{00000000-0005-0000-0000-0000A2020000}"/>
    <cellStyle name="20% - Accent5 2 2 5 2 2 2" xfId="24814" xr:uid="{01E3B787-3E40-4620-8A6A-8B4AA7B8E89D}"/>
    <cellStyle name="20% - Accent5 2 2 5 2 2 3" xfId="16373" xr:uid="{618CB023-B5E8-4184-8A47-190E5B3DFA36}"/>
    <cellStyle name="20% - Accent5 2 2 5 2 3" xfId="20596" xr:uid="{105A07BB-2F83-4A94-A406-D00D2E0ED4CF}"/>
    <cellStyle name="20% - Accent5 2 2 5 2 4" xfId="12155" xr:uid="{5AB99362-0939-44CE-B071-DF0EDB77C9BB}"/>
    <cellStyle name="20% - Accent5 2 2 5 3" xfId="5778" xr:uid="{00000000-0005-0000-0000-0000A3020000}"/>
    <cellStyle name="20% - Accent5 2 2 5 3 2" xfId="22669" xr:uid="{178E3D8A-8343-4EDB-914D-42B72C46ED73}"/>
    <cellStyle name="20% - Accent5 2 2 5 3 3" xfId="14228" xr:uid="{283A4AF4-EAF5-4B43-B587-FC4979FCE114}"/>
    <cellStyle name="20% - Accent5 2 2 5 4" xfId="18451" xr:uid="{05259068-2DF7-4F7A-AA69-D08A8A4EEB5C}"/>
    <cellStyle name="20% - Accent5 2 2 5 5" xfId="10010" xr:uid="{4948712D-91B7-4F29-BF1B-74F48472C4BD}"/>
    <cellStyle name="20% - Accent5 2 2 6" xfId="1885" xr:uid="{00000000-0005-0000-0000-0000A4020000}"/>
    <cellStyle name="20% - Accent5 2 2 6 2" xfId="4114" xr:uid="{00000000-0005-0000-0000-0000A5020000}"/>
    <cellStyle name="20% - Accent5 2 2 6 2 2" xfId="8336" xr:uid="{00000000-0005-0000-0000-0000A6020000}"/>
    <cellStyle name="20% - Accent5 2 2 6 2 2 2" xfId="25227" xr:uid="{B5D2A946-BC65-40B3-8706-02F518DE0F95}"/>
    <cellStyle name="20% - Accent5 2 2 6 2 2 3" xfId="16786" xr:uid="{5C8A4CD0-D8F7-42D8-AA84-0FB0DD7F281A}"/>
    <cellStyle name="20% - Accent5 2 2 6 2 3" xfId="21009" xr:uid="{B895541D-3C92-4929-9E9F-F62BE8EA982D}"/>
    <cellStyle name="20% - Accent5 2 2 6 2 4" xfId="12568" xr:uid="{115FAA0F-B6D2-4487-9E6D-AECD78BACB6F}"/>
    <cellStyle name="20% - Accent5 2 2 6 3" xfId="6191" xr:uid="{00000000-0005-0000-0000-0000A7020000}"/>
    <cellStyle name="20% - Accent5 2 2 6 3 2" xfId="23082" xr:uid="{49949297-ED13-44D3-B038-EAF9195838F3}"/>
    <cellStyle name="20% - Accent5 2 2 6 3 3" xfId="14641" xr:uid="{28011A1E-FF70-4151-98C1-547667BE4E23}"/>
    <cellStyle name="20% - Accent5 2 2 6 4" xfId="18864" xr:uid="{AC6ECE5E-46DB-4713-891A-A549DB722BD5}"/>
    <cellStyle name="20% - Accent5 2 2 6 5" xfId="10423" xr:uid="{E3E25972-53B9-4E31-97F1-44F5CAF32828}"/>
    <cellStyle name="20% - Accent5 2 2 7" xfId="2298" xr:uid="{00000000-0005-0000-0000-0000A8020000}"/>
    <cellStyle name="20% - Accent5 2 2 7 2" xfId="6604" xr:uid="{00000000-0005-0000-0000-0000A9020000}"/>
    <cellStyle name="20% - Accent5 2 2 7 2 2" xfId="23495" xr:uid="{9FEEFCA3-CD2E-447E-AFB0-F2F2A58CD4C4}"/>
    <cellStyle name="20% - Accent5 2 2 7 2 3" xfId="15054" xr:uid="{806A5CCE-9CCC-4349-95BE-30109E88CAD8}"/>
    <cellStyle name="20% - Accent5 2 2 7 3" xfId="19277" xr:uid="{243C839A-D683-426F-9D9B-8655487B7EF3}"/>
    <cellStyle name="20% - Accent5 2 2 7 4" xfId="10836" xr:uid="{EABCCC0B-CC90-4F62-8AFF-D22734499324}"/>
    <cellStyle name="20% - Accent5 2 2 8" xfId="4538" xr:uid="{00000000-0005-0000-0000-0000AA020000}"/>
    <cellStyle name="20% - Accent5 2 2 8 2" xfId="21429" xr:uid="{6825FC68-4960-467B-BEC9-0CF53C31215F}"/>
    <cellStyle name="20% - Accent5 2 2 8 3" xfId="12988" xr:uid="{5019300B-48E9-4C6D-AC3F-9E0306FF4398}"/>
    <cellStyle name="20% - Accent5 2 2 9" xfId="17211" xr:uid="{F4DC548F-2DC4-473F-974D-CA0E59D1AA06}"/>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2 2 2" xfId="23990" xr:uid="{4C927E16-F687-4FD1-A128-E201F6DA4514}"/>
    <cellStyle name="20% - Accent5 2 3 2 2 2 3" xfId="15549" xr:uid="{9EF017E3-7E84-4CB8-99C8-82FE5F46403A}"/>
    <cellStyle name="20% - Accent5 2 3 2 2 3" xfId="19772" xr:uid="{3EF3C223-BEBD-4D64-B2D6-CF5530685D67}"/>
    <cellStyle name="20% - Accent5 2 3 2 2 4" xfId="11331" xr:uid="{989F4932-9DBF-4733-8C59-FBA6769438C2}"/>
    <cellStyle name="20% - Accent5 2 3 2 3" xfId="4954" xr:uid="{00000000-0005-0000-0000-0000AF020000}"/>
    <cellStyle name="20% - Accent5 2 3 2 3 2" xfId="21845" xr:uid="{9FDE7894-671D-4114-A134-E136537F27C9}"/>
    <cellStyle name="20% - Accent5 2 3 2 3 3" xfId="13404" xr:uid="{6E75AA16-FD4B-4215-A662-B1F071122B4C}"/>
    <cellStyle name="20% - Accent5 2 3 2 4" xfId="17627" xr:uid="{A629ABDC-AE95-41F2-8F54-8F6A7ABA87A4}"/>
    <cellStyle name="20% - Accent5 2 3 2 5" xfId="9186" xr:uid="{04E8EE20-CB57-4AD8-9BF7-1A86C433D004}"/>
    <cellStyle name="20% - Accent5 2 3 3" xfId="1059" xr:uid="{00000000-0005-0000-0000-0000B0020000}"/>
    <cellStyle name="20% - Accent5 2 3 3 2" xfId="3290" xr:uid="{00000000-0005-0000-0000-0000B1020000}"/>
    <cellStyle name="20% - Accent5 2 3 3 2 2" xfId="7512" xr:uid="{00000000-0005-0000-0000-0000B2020000}"/>
    <cellStyle name="20% - Accent5 2 3 3 2 2 2" xfId="24403" xr:uid="{E0E606FD-F1F5-48F5-96B6-D0D7481E20F7}"/>
    <cellStyle name="20% - Accent5 2 3 3 2 2 3" xfId="15962" xr:uid="{93DB81BA-4627-4270-B8A3-2F00AD4D6D84}"/>
    <cellStyle name="20% - Accent5 2 3 3 2 3" xfId="20185" xr:uid="{61EE5574-C3E8-4CB7-9E14-ED88DEAA9730}"/>
    <cellStyle name="20% - Accent5 2 3 3 2 4" xfId="11744" xr:uid="{DF9C1E99-957C-42F6-8BE9-843F3A2D3545}"/>
    <cellStyle name="20% - Accent5 2 3 3 3" xfId="5367" xr:uid="{00000000-0005-0000-0000-0000B3020000}"/>
    <cellStyle name="20% - Accent5 2 3 3 3 2" xfId="22258" xr:uid="{C08A4FA1-E80B-4081-92A2-A195A7B62C63}"/>
    <cellStyle name="20% - Accent5 2 3 3 3 3" xfId="13817" xr:uid="{2DA3C4BD-9406-4410-B96D-EFA332D49EA1}"/>
    <cellStyle name="20% - Accent5 2 3 3 4" xfId="18040" xr:uid="{4B005C35-6D9C-4390-BD29-DA0B7BC2D44A}"/>
    <cellStyle name="20% - Accent5 2 3 3 5" xfId="9599" xr:uid="{73CCE99F-3613-41EE-B1B9-7FE696341648}"/>
    <cellStyle name="20% - Accent5 2 3 4" xfId="1473" xr:uid="{00000000-0005-0000-0000-0000B4020000}"/>
    <cellStyle name="20% - Accent5 2 3 4 2" xfId="3703" xr:uid="{00000000-0005-0000-0000-0000B5020000}"/>
    <cellStyle name="20% - Accent5 2 3 4 2 2" xfId="7925" xr:uid="{00000000-0005-0000-0000-0000B6020000}"/>
    <cellStyle name="20% - Accent5 2 3 4 2 2 2" xfId="24816" xr:uid="{E99A5A7B-124A-4C70-A8C2-ED448C7DAE7D}"/>
    <cellStyle name="20% - Accent5 2 3 4 2 2 3" xfId="16375" xr:uid="{B4B336C3-FD40-4FFB-9909-9AEE08764A58}"/>
    <cellStyle name="20% - Accent5 2 3 4 2 3" xfId="20598" xr:uid="{9B024580-8F5D-422E-85C9-2070E438C734}"/>
    <cellStyle name="20% - Accent5 2 3 4 2 4" xfId="12157" xr:uid="{4AA39926-F556-484E-8203-417C5043F664}"/>
    <cellStyle name="20% - Accent5 2 3 4 3" xfId="5780" xr:uid="{00000000-0005-0000-0000-0000B7020000}"/>
    <cellStyle name="20% - Accent5 2 3 4 3 2" xfId="22671" xr:uid="{E04EACA6-8AA0-4891-BE90-5AE24AB35085}"/>
    <cellStyle name="20% - Accent5 2 3 4 3 3" xfId="14230" xr:uid="{6901E7FB-884A-4276-9761-A5065CE719A5}"/>
    <cellStyle name="20% - Accent5 2 3 4 4" xfId="18453" xr:uid="{B9B8BD2F-464A-4A14-957A-D3EA84E7215A}"/>
    <cellStyle name="20% - Accent5 2 3 4 5" xfId="10012" xr:uid="{BF3D6C60-792F-466B-AC17-D8BE8360F736}"/>
    <cellStyle name="20% - Accent5 2 3 5" xfId="1887" xr:uid="{00000000-0005-0000-0000-0000B8020000}"/>
    <cellStyle name="20% - Accent5 2 3 5 2" xfId="4116" xr:uid="{00000000-0005-0000-0000-0000B9020000}"/>
    <cellStyle name="20% - Accent5 2 3 5 2 2" xfId="8338" xr:uid="{00000000-0005-0000-0000-0000BA020000}"/>
    <cellStyle name="20% - Accent5 2 3 5 2 2 2" xfId="25229" xr:uid="{A5E3DC55-7AF9-40CC-AAC5-912F29D6BA38}"/>
    <cellStyle name="20% - Accent5 2 3 5 2 2 3" xfId="16788" xr:uid="{B1240BDA-8617-4617-9556-0E76C01656DB}"/>
    <cellStyle name="20% - Accent5 2 3 5 2 3" xfId="21011" xr:uid="{07D0C143-B8B7-4021-96C5-786C2AAF9A85}"/>
    <cellStyle name="20% - Accent5 2 3 5 2 4" xfId="12570" xr:uid="{E3AAE60B-A6E6-4649-9658-92B12DA63901}"/>
    <cellStyle name="20% - Accent5 2 3 5 3" xfId="6193" xr:uid="{00000000-0005-0000-0000-0000BB020000}"/>
    <cellStyle name="20% - Accent5 2 3 5 3 2" xfId="23084" xr:uid="{1FE12E26-8A68-415F-98D0-9098AD511610}"/>
    <cellStyle name="20% - Accent5 2 3 5 3 3" xfId="14643" xr:uid="{FCD8B553-4ECA-41F4-9761-B9132FDC2EF1}"/>
    <cellStyle name="20% - Accent5 2 3 5 4" xfId="18866" xr:uid="{479DD931-5690-487E-8319-3D8603B825D8}"/>
    <cellStyle name="20% - Accent5 2 3 5 5" xfId="10425" xr:uid="{06D74F15-E090-458F-809A-7A460AC7F3E2}"/>
    <cellStyle name="20% - Accent5 2 3 6" xfId="2300" xr:uid="{00000000-0005-0000-0000-0000BC020000}"/>
    <cellStyle name="20% - Accent5 2 3 6 2" xfId="6606" xr:uid="{00000000-0005-0000-0000-0000BD020000}"/>
    <cellStyle name="20% - Accent5 2 3 6 2 2" xfId="23497" xr:uid="{CE0E7761-5371-4305-AC49-9ACD4CB716A1}"/>
    <cellStyle name="20% - Accent5 2 3 6 2 3" xfId="15056" xr:uid="{3BB1A9FB-BE72-43BC-AEFA-C095DDB9996A}"/>
    <cellStyle name="20% - Accent5 2 3 6 3" xfId="19279" xr:uid="{64B79AC8-9B72-42EF-A7F6-7204D4D6165C}"/>
    <cellStyle name="20% - Accent5 2 3 6 4" xfId="10838" xr:uid="{771BC9D2-CBB2-4534-BAF0-68359BCEFF9E}"/>
    <cellStyle name="20% - Accent5 2 3 7" xfId="4540" xr:uid="{00000000-0005-0000-0000-0000BE020000}"/>
    <cellStyle name="20% - Accent5 2 3 7 2" xfId="21431" xr:uid="{569D1EA3-DEBC-4011-A6F7-FE5B5EBA14CA}"/>
    <cellStyle name="20% - Accent5 2 3 7 3" xfId="12990" xr:uid="{F605C8DC-539F-4649-8A11-150A554F686A}"/>
    <cellStyle name="20% - Accent5 2 3 8" xfId="17213" xr:uid="{9A8A2F92-4939-4455-A62B-2E9B05792380}"/>
    <cellStyle name="20% - Accent5 2 3 9" xfId="8772" xr:uid="{2B223CD7-A48E-42E5-A6B6-46EED53782E5}"/>
    <cellStyle name="20% - Accent5 2 4" xfId="603" xr:uid="{00000000-0005-0000-0000-0000BF020000}"/>
    <cellStyle name="20% - Accent5 2 4 2" xfId="2874" xr:uid="{00000000-0005-0000-0000-0000C0020000}"/>
    <cellStyle name="20% - Accent5 2 4 2 2" xfId="7096" xr:uid="{00000000-0005-0000-0000-0000C1020000}"/>
    <cellStyle name="20% - Accent5 2 4 2 2 2" xfId="23987" xr:uid="{86F23F4C-9D18-4D1B-B992-7EF9D398BFC8}"/>
    <cellStyle name="20% - Accent5 2 4 2 2 3" xfId="15546" xr:uid="{1B343CAE-A4BC-4B4F-A4AA-44C2B115C25D}"/>
    <cellStyle name="20% - Accent5 2 4 2 3" xfId="19769" xr:uid="{8384FAB1-52F3-4851-8695-6B168BF628B6}"/>
    <cellStyle name="20% - Accent5 2 4 2 4" xfId="11328" xr:uid="{7A506024-4241-4FEC-B6D4-360203F0695B}"/>
    <cellStyle name="20% - Accent5 2 4 3" xfId="4951" xr:uid="{00000000-0005-0000-0000-0000C2020000}"/>
    <cellStyle name="20% - Accent5 2 4 3 2" xfId="21842" xr:uid="{A19F389C-A000-434B-858A-1C96CEC2A4B0}"/>
    <cellStyle name="20% - Accent5 2 4 3 3" xfId="13401" xr:uid="{B8505B80-3EA6-40E5-BC83-D01286631AE3}"/>
    <cellStyle name="20% - Accent5 2 4 4" xfId="17624" xr:uid="{495DB62C-89B5-428C-B35A-76DC88639043}"/>
    <cellStyle name="20% - Accent5 2 4 5" xfId="9183" xr:uid="{BCC4DFD9-7A13-44C3-AC86-666C5F46EF28}"/>
    <cellStyle name="20% - Accent5 2 5" xfId="1056" xr:uid="{00000000-0005-0000-0000-0000C3020000}"/>
    <cellStyle name="20% - Accent5 2 5 2" xfId="3287" xr:uid="{00000000-0005-0000-0000-0000C4020000}"/>
    <cellStyle name="20% - Accent5 2 5 2 2" xfId="7509" xr:uid="{00000000-0005-0000-0000-0000C5020000}"/>
    <cellStyle name="20% - Accent5 2 5 2 2 2" xfId="24400" xr:uid="{F8F39E34-17CF-403D-BB92-9DF1DA62A436}"/>
    <cellStyle name="20% - Accent5 2 5 2 2 3" xfId="15959" xr:uid="{308C2571-FCBD-403A-B342-46D8B44B49FD}"/>
    <cellStyle name="20% - Accent5 2 5 2 3" xfId="20182" xr:uid="{F13711BC-3B4B-432B-8892-15F02CBF466B}"/>
    <cellStyle name="20% - Accent5 2 5 2 4" xfId="11741" xr:uid="{DC056468-1110-4063-A608-2C3899F4F597}"/>
    <cellStyle name="20% - Accent5 2 5 3" xfId="5364" xr:uid="{00000000-0005-0000-0000-0000C6020000}"/>
    <cellStyle name="20% - Accent5 2 5 3 2" xfId="22255" xr:uid="{5F1E7DA1-226B-468C-BA82-FCC5FC35A875}"/>
    <cellStyle name="20% - Accent5 2 5 3 3" xfId="13814" xr:uid="{61354E5B-2F02-4D91-BC15-27EB9E8CE481}"/>
    <cellStyle name="20% - Accent5 2 5 4" xfId="18037" xr:uid="{F356CB60-ED95-408E-B396-1837C3723E89}"/>
    <cellStyle name="20% - Accent5 2 5 5" xfId="9596" xr:uid="{8F2F5BF9-4FBD-4CB9-9B39-0DDFEC8E5453}"/>
    <cellStyle name="20% - Accent5 2 6" xfId="1470" xr:uid="{00000000-0005-0000-0000-0000C7020000}"/>
    <cellStyle name="20% - Accent5 2 6 2" xfId="3700" xr:uid="{00000000-0005-0000-0000-0000C8020000}"/>
    <cellStyle name="20% - Accent5 2 6 2 2" xfId="7922" xr:uid="{00000000-0005-0000-0000-0000C9020000}"/>
    <cellStyle name="20% - Accent5 2 6 2 2 2" xfId="24813" xr:uid="{EC72A0FD-75AD-4F70-8E31-DC3A213661FC}"/>
    <cellStyle name="20% - Accent5 2 6 2 2 3" xfId="16372" xr:uid="{223C3A7A-D52B-4AC7-A454-58C66FF4C565}"/>
    <cellStyle name="20% - Accent5 2 6 2 3" xfId="20595" xr:uid="{76437717-DA16-4BB8-846E-5F9975297D88}"/>
    <cellStyle name="20% - Accent5 2 6 2 4" xfId="12154" xr:uid="{E0C5190C-5D7E-4F57-8FB6-5522C7E9A88F}"/>
    <cellStyle name="20% - Accent5 2 6 3" xfId="5777" xr:uid="{00000000-0005-0000-0000-0000CA020000}"/>
    <cellStyle name="20% - Accent5 2 6 3 2" xfId="22668" xr:uid="{851F413E-94A0-4631-92AD-4BC8DF7343E3}"/>
    <cellStyle name="20% - Accent5 2 6 3 3" xfId="14227" xr:uid="{4A59D94A-D98C-43FE-A2A4-FDABDF7218B2}"/>
    <cellStyle name="20% - Accent5 2 6 4" xfId="18450" xr:uid="{08D0086E-1335-4807-A953-995FAAC41304}"/>
    <cellStyle name="20% - Accent5 2 6 5" xfId="10009" xr:uid="{3D9A3696-48CC-4D4C-AD63-1B5169FB1BCA}"/>
    <cellStyle name="20% - Accent5 2 7" xfId="1884" xr:uid="{00000000-0005-0000-0000-0000CB020000}"/>
    <cellStyle name="20% - Accent5 2 7 2" xfId="4113" xr:uid="{00000000-0005-0000-0000-0000CC020000}"/>
    <cellStyle name="20% - Accent5 2 7 2 2" xfId="8335" xr:uid="{00000000-0005-0000-0000-0000CD020000}"/>
    <cellStyle name="20% - Accent5 2 7 2 2 2" xfId="25226" xr:uid="{9F96BDDA-8794-4C95-B773-60FA82F272B4}"/>
    <cellStyle name="20% - Accent5 2 7 2 2 3" xfId="16785" xr:uid="{36DB6CAF-4502-4674-85D7-8CE20BFBE809}"/>
    <cellStyle name="20% - Accent5 2 7 2 3" xfId="21008" xr:uid="{5CB4D013-4FF6-4D72-B404-A85F048F5338}"/>
    <cellStyle name="20% - Accent5 2 7 2 4" xfId="12567" xr:uid="{E8D1B517-D867-45D9-80D5-D3125214E96C}"/>
    <cellStyle name="20% - Accent5 2 7 3" xfId="6190" xr:uid="{00000000-0005-0000-0000-0000CE020000}"/>
    <cellStyle name="20% - Accent5 2 7 3 2" xfId="23081" xr:uid="{E11494BD-6548-480D-A098-08DA08D48014}"/>
    <cellStyle name="20% - Accent5 2 7 3 3" xfId="14640" xr:uid="{36DB7645-7DAB-48B8-BA94-CB4DC99A3DFF}"/>
    <cellStyle name="20% - Accent5 2 7 4" xfId="18863" xr:uid="{5AE573DC-379F-40B0-8E25-616C9D0C42FD}"/>
    <cellStyle name="20% - Accent5 2 7 5" xfId="10422" xr:uid="{C9AE1BA4-14ED-4FE1-ADF0-21BF2237A6E5}"/>
    <cellStyle name="20% - Accent5 2 8" xfId="2297" xr:uid="{00000000-0005-0000-0000-0000CF020000}"/>
    <cellStyle name="20% - Accent5 2 8 2" xfId="6603" xr:uid="{00000000-0005-0000-0000-0000D0020000}"/>
    <cellStyle name="20% - Accent5 2 8 2 2" xfId="23494" xr:uid="{86BA97E7-F1F3-4953-A25F-E9C8223F0EF6}"/>
    <cellStyle name="20% - Accent5 2 8 2 3" xfId="15053" xr:uid="{59DDC423-47EA-4F40-953D-29F37475D522}"/>
    <cellStyle name="20% - Accent5 2 8 3" xfId="19276" xr:uid="{F297D3DB-701C-40C1-9389-25017845D5A7}"/>
    <cellStyle name="20% - Accent5 2 8 4" xfId="10835" xr:uid="{FB3E8467-3274-40F5-B1F5-A5B743E44491}"/>
    <cellStyle name="20% - Accent5 2 9" xfId="4537" xr:uid="{00000000-0005-0000-0000-0000D1020000}"/>
    <cellStyle name="20% - Accent5 2 9 2" xfId="21428" xr:uid="{CB3BA93A-B0DC-49DB-962D-138B2DA14A3D}"/>
    <cellStyle name="20% - Accent5 2 9 3" xfId="12987" xr:uid="{C8067256-54AE-4B53-83FC-49205A07F73E}"/>
    <cellStyle name="20% - Accent5 3" xfId="38" xr:uid="{00000000-0005-0000-0000-0000D2020000}"/>
    <cellStyle name="20% - Accent5 3 10" xfId="8773" xr:uid="{F68E7797-CFF7-4F02-BCA0-6B624874AA08}"/>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2 2 2" xfId="23992" xr:uid="{6E3566DB-E52A-4C69-A4D7-5DE603AEFAE8}"/>
    <cellStyle name="20% - Accent5 3 2 2 2 2 3" xfId="15551" xr:uid="{AB44F5E9-DD73-4908-8F55-BE49D25817FE}"/>
    <cellStyle name="20% - Accent5 3 2 2 2 3" xfId="19774" xr:uid="{D267255F-C568-4D3E-BEAA-B96395824EB3}"/>
    <cellStyle name="20% - Accent5 3 2 2 2 4" xfId="11333" xr:uid="{D1693F79-836D-43D6-AE9D-7F0DF2FEEA6B}"/>
    <cellStyle name="20% - Accent5 3 2 2 3" xfId="4956" xr:uid="{00000000-0005-0000-0000-0000D7020000}"/>
    <cellStyle name="20% - Accent5 3 2 2 3 2" xfId="21847" xr:uid="{4477628C-650F-4AF4-8004-0D8FF7168393}"/>
    <cellStyle name="20% - Accent5 3 2 2 3 3" xfId="13406" xr:uid="{BD037A5C-1859-484B-8485-8D09C841099D}"/>
    <cellStyle name="20% - Accent5 3 2 2 4" xfId="17629" xr:uid="{4C0D29D7-51AB-49CF-94CE-57D441D4B966}"/>
    <cellStyle name="20% - Accent5 3 2 2 5" xfId="9188" xr:uid="{E519C107-4325-48E1-90B8-C7FDE032D346}"/>
    <cellStyle name="20% - Accent5 3 2 3" xfId="1061" xr:uid="{00000000-0005-0000-0000-0000D8020000}"/>
    <cellStyle name="20% - Accent5 3 2 3 2" xfId="3292" xr:uid="{00000000-0005-0000-0000-0000D9020000}"/>
    <cellStyle name="20% - Accent5 3 2 3 2 2" xfId="7514" xr:uid="{00000000-0005-0000-0000-0000DA020000}"/>
    <cellStyle name="20% - Accent5 3 2 3 2 2 2" xfId="24405" xr:uid="{2FB23A23-52D3-4B25-A7D1-4FDC2D96F8C1}"/>
    <cellStyle name="20% - Accent5 3 2 3 2 2 3" xfId="15964" xr:uid="{AC172021-0E15-4EFC-A2FC-2B85C0285276}"/>
    <cellStyle name="20% - Accent5 3 2 3 2 3" xfId="20187" xr:uid="{DB11F2E7-B87E-4F87-921D-91C7B94B863A}"/>
    <cellStyle name="20% - Accent5 3 2 3 2 4" xfId="11746" xr:uid="{11106651-DFBD-4654-BB72-0EFC1E9801E9}"/>
    <cellStyle name="20% - Accent5 3 2 3 3" xfId="5369" xr:uid="{00000000-0005-0000-0000-0000DB020000}"/>
    <cellStyle name="20% - Accent5 3 2 3 3 2" xfId="22260" xr:uid="{D0D323C0-8D16-4EA5-9CE3-34C00374F3C0}"/>
    <cellStyle name="20% - Accent5 3 2 3 3 3" xfId="13819" xr:uid="{B7DF4E8A-775E-4CD8-B29E-6344B4A742BF}"/>
    <cellStyle name="20% - Accent5 3 2 3 4" xfId="18042" xr:uid="{812319D9-BE56-41BF-BEE7-23F3BB973C57}"/>
    <cellStyle name="20% - Accent5 3 2 3 5" xfId="9601" xr:uid="{C67F77D0-960F-4DCE-BAD9-703597DC927D}"/>
    <cellStyle name="20% - Accent5 3 2 4" xfId="1475" xr:uid="{00000000-0005-0000-0000-0000DC020000}"/>
    <cellStyle name="20% - Accent5 3 2 4 2" xfId="3705" xr:uid="{00000000-0005-0000-0000-0000DD020000}"/>
    <cellStyle name="20% - Accent5 3 2 4 2 2" xfId="7927" xr:uid="{00000000-0005-0000-0000-0000DE020000}"/>
    <cellStyle name="20% - Accent5 3 2 4 2 2 2" xfId="24818" xr:uid="{86B4CCF0-186E-46D4-804F-8F305EF5D1A6}"/>
    <cellStyle name="20% - Accent5 3 2 4 2 2 3" xfId="16377" xr:uid="{C9B720E1-C670-47B7-A6DB-DE5093F71EFB}"/>
    <cellStyle name="20% - Accent5 3 2 4 2 3" xfId="20600" xr:uid="{9351DB4E-D40B-439A-87E6-59064B0CAA47}"/>
    <cellStyle name="20% - Accent5 3 2 4 2 4" xfId="12159" xr:uid="{045B0F69-0F88-4C99-9A93-C736A6DF0C57}"/>
    <cellStyle name="20% - Accent5 3 2 4 3" xfId="5782" xr:uid="{00000000-0005-0000-0000-0000DF020000}"/>
    <cellStyle name="20% - Accent5 3 2 4 3 2" xfId="22673" xr:uid="{A547AD78-780E-40EE-8A69-2C6D1850243C}"/>
    <cellStyle name="20% - Accent5 3 2 4 3 3" xfId="14232" xr:uid="{48051CC3-22B3-41D9-99C9-C92306B2656C}"/>
    <cellStyle name="20% - Accent5 3 2 4 4" xfId="18455" xr:uid="{9DA7765D-1CAA-4F95-8C2A-9407F841614C}"/>
    <cellStyle name="20% - Accent5 3 2 4 5" xfId="10014" xr:uid="{5DB268FB-FE09-47F9-9776-C02B4C33F5BB}"/>
    <cellStyle name="20% - Accent5 3 2 5" xfId="1889" xr:uid="{00000000-0005-0000-0000-0000E0020000}"/>
    <cellStyle name="20% - Accent5 3 2 5 2" xfId="4118" xr:uid="{00000000-0005-0000-0000-0000E1020000}"/>
    <cellStyle name="20% - Accent5 3 2 5 2 2" xfId="8340" xr:uid="{00000000-0005-0000-0000-0000E2020000}"/>
    <cellStyle name="20% - Accent5 3 2 5 2 2 2" xfId="25231" xr:uid="{C80E437C-5DF2-4ECA-B977-47B6D03EB945}"/>
    <cellStyle name="20% - Accent5 3 2 5 2 2 3" xfId="16790" xr:uid="{6756B6B4-CDF7-4E1B-8146-591521F04FF7}"/>
    <cellStyle name="20% - Accent5 3 2 5 2 3" xfId="21013" xr:uid="{2A203E5D-F60A-419D-ABC5-3FEB227B98B3}"/>
    <cellStyle name="20% - Accent5 3 2 5 2 4" xfId="12572" xr:uid="{BCE1D498-1CB3-4231-B642-83C9F8062687}"/>
    <cellStyle name="20% - Accent5 3 2 5 3" xfId="6195" xr:uid="{00000000-0005-0000-0000-0000E3020000}"/>
    <cellStyle name="20% - Accent5 3 2 5 3 2" xfId="23086" xr:uid="{5084F54C-9C18-4E0A-9056-3F37D5356B61}"/>
    <cellStyle name="20% - Accent5 3 2 5 3 3" xfId="14645" xr:uid="{6D418D4E-373A-4D06-931C-97AF6F323678}"/>
    <cellStyle name="20% - Accent5 3 2 5 4" xfId="18868" xr:uid="{2C0C2310-8C99-4321-ADF1-D21F6E7052E5}"/>
    <cellStyle name="20% - Accent5 3 2 5 5" xfId="10427" xr:uid="{1D7DEB44-C713-43CD-A324-139EC5EB2EB7}"/>
    <cellStyle name="20% - Accent5 3 2 6" xfId="2302" xr:uid="{00000000-0005-0000-0000-0000E4020000}"/>
    <cellStyle name="20% - Accent5 3 2 6 2" xfId="6608" xr:uid="{00000000-0005-0000-0000-0000E5020000}"/>
    <cellStyle name="20% - Accent5 3 2 6 2 2" xfId="23499" xr:uid="{4C505A02-DB98-44A3-816D-576BA54CD8CD}"/>
    <cellStyle name="20% - Accent5 3 2 6 2 3" xfId="15058" xr:uid="{6B2173D4-FE1C-43E9-ADA2-A23672335DDD}"/>
    <cellStyle name="20% - Accent5 3 2 6 3" xfId="19281" xr:uid="{914105ED-F32C-452C-96C8-47BB2F8E1E87}"/>
    <cellStyle name="20% - Accent5 3 2 6 4" xfId="10840" xr:uid="{9FD6FD87-84F2-4CDB-BF1B-6C0EDEF3495E}"/>
    <cellStyle name="20% - Accent5 3 2 7" xfId="4542" xr:uid="{00000000-0005-0000-0000-0000E6020000}"/>
    <cellStyle name="20% - Accent5 3 2 7 2" xfId="21433" xr:uid="{95411C11-FE53-4BEC-83FE-6D9D597AD76C}"/>
    <cellStyle name="20% - Accent5 3 2 7 3" xfId="12992" xr:uid="{49570442-E2CB-4752-9605-3300A433374B}"/>
    <cellStyle name="20% - Accent5 3 2 8" xfId="17215" xr:uid="{2F9F8E55-45E5-41A7-A9B7-D3FB09A7D38D}"/>
    <cellStyle name="20% - Accent5 3 2 9" xfId="8774" xr:uid="{B9061333-47CF-46C7-BEEE-AE36B2C2045E}"/>
    <cellStyle name="20% - Accent5 3 3" xfId="607" xr:uid="{00000000-0005-0000-0000-0000E7020000}"/>
    <cellStyle name="20% - Accent5 3 3 2" xfId="2878" xr:uid="{00000000-0005-0000-0000-0000E8020000}"/>
    <cellStyle name="20% - Accent5 3 3 2 2" xfId="7100" xr:uid="{00000000-0005-0000-0000-0000E9020000}"/>
    <cellStyle name="20% - Accent5 3 3 2 2 2" xfId="23991" xr:uid="{4FD6E1E4-219B-4E5F-A236-C3F68EFF41D8}"/>
    <cellStyle name="20% - Accent5 3 3 2 2 3" xfId="15550" xr:uid="{D39AB10B-0AD3-4F95-80B4-DFD28A81707F}"/>
    <cellStyle name="20% - Accent5 3 3 2 3" xfId="19773" xr:uid="{FC37D9C9-D29A-4F84-999D-056AFFCF34C3}"/>
    <cellStyle name="20% - Accent5 3 3 2 4" xfId="11332" xr:uid="{0E2AD4E8-642C-49B7-AEC9-94386156F24C}"/>
    <cellStyle name="20% - Accent5 3 3 3" xfId="4955" xr:uid="{00000000-0005-0000-0000-0000EA020000}"/>
    <cellStyle name="20% - Accent5 3 3 3 2" xfId="21846" xr:uid="{C01B7E74-3236-4A76-B9E5-6B2EE3B7BFAA}"/>
    <cellStyle name="20% - Accent5 3 3 3 3" xfId="13405" xr:uid="{10DBF70A-C038-4619-B8A7-8104147F5522}"/>
    <cellStyle name="20% - Accent5 3 3 4" xfId="17628" xr:uid="{A25AC9B7-5AF1-4BDE-B3D0-ECFC36C4BF23}"/>
    <cellStyle name="20% - Accent5 3 3 5" xfId="9187" xr:uid="{A739AAC0-B793-41F9-ABF8-32FA6FF4D24E}"/>
    <cellStyle name="20% - Accent5 3 4" xfId="1060" xr:uid="{00000000-0005-0000-0000-0000EB020000}"/>
    <cellStyle name="20% - Accent5 3 4 2" xfId="3291" xr:uid="{00000000-0005-0000-0000-0000EC020000}"/>
    <cellStyle name="20% - Accent5 3 4 2 2" xfId="7513" xr:uid="{00000000-0005-0000-0000-0000ED020000}"/>
    <cellStyle name="20% - Accent5 3 4 2 2 2" xfId="24404" xr:uid="{0F200703-5FB8-423B-85AD-34A4A9414675}"/>
    <cellStyle name="20% - Accent5 3 4 2 2 3" xfId="15963" xr:uid="{9317BA60-753A-4832-AA58-423D21787817}"/>
    <cellStyle name="20% - Accent5 3 4 2 3" xfId="20186" xr:uid="{A47EE48B-2D70-41D5-B43F-CB7A92B23C0B}"/>
    <cellStyle name="20% - Accent5 3 4 2 4" xfId="11745" xr:uid="{7F06E3B1-573C-4167-821C-4B013284C1B5}"/>
    <cellStyle name="20% - Accent5 3 4 3" xfId="5368" xr:uid="{00000000-0005-0000-0000-0000EE020000}"/>
    <cellStyle name="20% - Accent5 3 4 3 2" xfId="22259" xr:uid="{8A64A51D-6871-472D-8F58-72B40819A398}"/>
    <cellStyle name="20% - Accent5 3 4 3 3" xfId="13818" xr:uid="{F5447FD0-3CA0-4EB0-8CC2-6D8352B91973}"/>
    <cellStyle name="20% - Accent5 3 4 4" xfId="18041" xr:uid="{F184C485-807F-4410-BC76-D969E2C9E1A1}"/>
    <cellStyle name="20% - Accent5 3 4 5" xfId="9600" xr:uid="{2565ED6D-BF3D-49BB-A658-C85B93C7098D}"/>
    <cellStyle name="20% - Accent5 3 5" xfId="1474" xr:uid="{00000000-0005-0000-0000-0000EF020000}"/>
    <cellStyle name="20% - Accent5 3 5 2" xfId="3704" xr:uid="{00000000-0005-0000-0000-0000F0020000}"/>
    <cellStyle name="20% - Accent5 3 5 2 2" xfId="7926" xr:uid="{00000000-0005-0000-0000-0000F1020000}"/>
    <cellStyle name="20% - Accent5 3 5 2 2 2" xfId="24817" xr:uid="{07167293-0EBB-4F51-BBAF-8E953E3F5E94}"/>
    <cellStyle name="20% - Accent5 3 5 2 2 3" xfId="16376" xr:uid="{D08B3508-D467-4390-AB0C-6FCF61C2F8DB}"/>
    <cellStyle name="20% - Accent5 3 5 2 3" xfId="20599" xr:uid="{042E49B1-0C83-4A2C-9C73-6FEDCD81EE19}"/>
    <cellStyle name="20% - Accent5 3 5 2 4" xfId="12158" xr:uid="{FB594250-74FE-461F-B5F8-BF1F36A34B15}"/>
    <cellStyle name="20% - Accent5 3 5 3" xfId="5781" xr:uid="{00000000-0005-0000-0000-0000F2020000}"/>
    <cellStyle name="20% - Accent5 3 5 3 2" xfId="22672" xr:uid="{33893095-B5E0-4D67-8713-CF8470A8F66C}"/>
    <cellStyle name="20% - Accent5 3 5 3 3" xfId="14231" xr:uid="{DC67CB07-3933-4C1F-8E6F-CB0A266B5990}"/>
    <cellStyle name="20% - Accent5 3 5 4" xfId="18454" xr:uid="{31D2D69C-7A12-4D3C-B4A1-D75F652F0052}"/>
    <cellStyle name="20% - Accent5 3 5 5" xfId="10013" xr:uid="{A3801BE6-B7C8-4F57-82EB-BB1C20BF4995}"/>
    <cellStyle name="20% - Accent5 3 6" xfId="1888" xr:uid="{00000000-0005-0000-0000-0000F3020000}"/>
    <cellStyle name="20% - Accent5 3 6 2" xfId="4117" xr:uid="{00000000-0005-0000-0000-0000F4020000}"/>
    <cellStyle name="20% - Accent5 3 6 2 2" xfId="8339" xr:uid="{00000000-0005-0000-0000-0000F5020000}"/>
    <cellStyle name="20% - Accent5 3 6 2 2 2" xfId="25230" xr:uid="{CC9EF5E0-1D74-4286-AD3E-92B52DDAB8C9}"/>
    <cellStyle name="20% - Accent5 3 6 2 2 3" xfId="16789" xr:uid="{D9F25311-F2BE-4397-8256-93B2634DB2C1}"/>
    <cellStyle name="20% - Accent5 3 6 2 3" xfId="21012" xr:uid="{23E91DD9-AF42-4332-8F18-813226A3F7A4}"/>
    <cellStyle name="20% - Accent5 3 6 2 4" xfId="12571" xr:uid="{3BD9AFD2-C1AB-46D0-A374-504DB923A48A}"/>
    <cellStyle name="20% - Accent5 3 6 3" xfId="6194" xr:uid="{00000000-0005-0000-0000-0000F6020000}"/>
    <cellStyle name="20% - Accent5 3 6 3 2" xfId="23085" xr:uid="{63FE078F-45F8-4B9A-AD4F-8A8F11C39AD0}"/>
    <cellStyle name="20% - Accent5 3 6 3 3" xfId="14644" xr:uid="{784B8388-EC79-41D5-B6B5-C475C9F1B011}"/>
    <cellStyle name="20% - Accent5 3 6 4" xfId="18867" xr:uid="{5D676738-4F9D-4D44-8984-F85577A326BF}"/>
    <cellStyle name="20% - Accent5 3 6 5" xfId="10426" xr:uid="{40B2BAA2-3FA5-4936-8E5D-57E703BF0CFA}"/>
    <cellStyle name="20% - Accent5 3 7" xfId="2301" xr:uid="{00000000-0005-0000-0000-0000F7020000}"/>
    <cellStyle name="20% - Accent5 3 7 2" xfId="6607" xr:uid="{00000000-0005-0000-0000-0000F8020000}"/>
    <cellStyle name="20% - Accent5 3 7 2 2" xfId="23498" xr:uid="{138891FA-0F55-41F8-9C12-7C883043F9E5}"/>
    <cellStyle name="20% - Accent5 3 7 2 3" xfId="15057" xr:uid="{2C5AEF25-D8D8-482D-A363-B89475D160A4}"/>
    <cellStyle name="20% - Accent5 3 7 3" xfId="19280" xr:uid="{B748026C-DFA6-400A-8A45-89AFA879A1BA}"/>
    <cellStyle name="20% - Accent5 3 7 4" xfId="10839" xr:uid="{05EFAF8C-D803-42A5-9CD5-A9912D6C777F}"/>
    <cellStyle name="20% - Accent5 3 8" xfId="4541" xr:uid="{00000000-0005-0000-0000-0000F9020000}"/>
    <cellStyle name="20% - Accent5 3 8 2" xfId="21432" xr:uid="{8072E74B-B894-4E9D-9671-DBFDD9528C24}"/>
    <cellStyle name="20% - Accent5 3 8 3" xfId="12991" xr:uid="{B776C3C2-8C0C-4FAD-A151-BC91473E8121}"/>
    <cellStyle name="20% - Accent5 3 9" xfId="17214" xr:uid="{2BFF0BFB-3E41-447A-A0AC-E01E643F2037}"/>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2 2 2" xfId="23993" xr:uid="{B28D888E-4636-479D-8848-B0DC98D37EF1}"/>
    <cellStyle name="20% - Accent5 4 2 2 2 3" xfId="15552" xr:uid="{CE9458A2-C5D1-47CA-92E8-7F3A756A76E4}"/>
    <cellStyle name="20% - Accent5 4 2 2 3" xfId="19775" xr:uid="{E254B428-FE5F-4650-9961-88BB6DCB0B68}"/>
    <cellStyle name="20% - Accent5 4 2 2 4" xfId="11334" xr:uid="{F20C7821-7748-4726-B024-63FBDE1613C2}"/>
    <cellStyle name="20% - Accent5 4 2 3" xfId="4957" xr:uid="{00000000-0005-0000-0000-0000FE020000}"/>
    <cellStyle name="20% - Accent5 4 2 3 2" xfId="21848" xr:uid="{6E91F5E5-B7F6-4F4B-BB7E-C7EEE0A00F1C}"/>
    <cellStyle name="20% - Accent5 4 2 3 3" xfId="13407" xr:uid="{CFD23AC4-49C6-4E3C-8989-3DB296A699BF}"/>
    <cellStyle name="20% - Accent5 4 2 4" xfId="17630" xr:uid="{3B552805-E11B-4AC4-B934-DAE0EFC80608}"/>
    <cellStyle name="20% - Accent5 4 2 5" xfId="9189" xr:uid="{E31B1973-D18E-40B4-A9C4-4C8726D40F45}"/>
    <cellStyle name="20% - Accent5 4 3" xfId="1062" xr:uid="{00000000-0005-0000-0000-0000FF020000}"/>
    <cellStyle name="20% - Accent5 4 3 2" xfId="3293" xr:uid="{00000000-0005-0000-0000-000000030000}"/>
    <cellStyle name="20% - Accent5 4 3 2 2" xfId="7515" xr:uid="{00000000-0005-0000-0000-000001030000}"/>
    <cellStyle name="20% - Accent5 4 3 2 2 2" xfId="24406" xr:uid="{EAF6F6DB-604D-4FBA-A8BE-AF4EA084B797}"/>
    <cellStyle name="20% - Accent5 4 3 2 2 3" xfId="15965" xr:uid="{34D52901-D38D-4642-94A4-01997D6F0823}"/>
    <cellStyle name="20% - Accent5 4 3 2 3" xfId="20188" xr:uid="{DFBEE942-194B-4AC0-A15D-C76DF47692E1}"/>
    <cellStyle name="20% - Accent5 4 3 2 4" xfId="11747" xr:uid="{432C78A8-C98C-4176-A2DD-E0CFCAE060BE}"/>
    <cellStyle name="20% - Accent5 4 3 3" xfId="5370" xr:uid="{00000000-0005-0000-0000-000002030000}"/>
    <cellStyle name="20% - Accent5 4 3 3 2" xfId="22261" xr:uid="{D8C1E025-BB7D-4D54-9EA7-C5BD9DD550B8}"/>
    <cellStyle name="20% - Accent5 4 3 3 3" xfId="13820" xr:uid="{E1D70C45-8765-4EB0-B9C6-65A11EA71921}"/>
    <cellStyle name="20% - Accent5 4 3 4" xfId="18043" xr:uid="{4030248F-BF13-468F-ABA3-96DE55BEE9CE}"/>
    <cellStyle name="20% - Accent5 4 3 5" xfId="9602" xr:uid="{90FA0770-E91C-4AC0-A657-410A9FC936E4}"/>
    <cellStyle name="20% - Accent5 4 4" xfId="1476" xr:uid="{00000000-0005-0000-0000-000003030000}"/>
    <cellStyle name="20% - Accent5 4 4 2" xfId="3706" xr:uid="{00000000-0005-0000-0000-000004030000}"/>
    <cellStyle name="20% - Accent5 4 4 2 2" xfId="7928" xr:uid="{00000000-0005-0000-0000-000005030000}"/>
    <cellStyle name="20% - Accent5 4 4 2 2 2" xfId="24819" xr:uid="{DC615A05-9C6E-4536-AA3F-57BC2A21928F}"/>
    <cellStyle name="20% - Accent5 4 4 2 2 3" xfId="16378" xr:uid="{331A8869-A706-42B5-A7FB-E179EE1F99DE}"/>
    <cellStyle name="20% - Accent5 4 4 2 3" xfId="20601" xr:uid="{165423E9-C2BC-4976-B8BB-949C4D650796}"/>
    <cellStyle name="20% - Accent5 4 4 2 4" xfId="12160" xr:uid="{8D859B41-EAF4-4FF8-8521-46DF10BC1374}"/>
    <cellStyle name="20% - Accent5 4 4 3" xfId="5783" xr:uid="{00000000-0005-0000-0000-000006030000}"/>
    <cellStyle name="20% - Accent5 4 4 3 2" xfId="22674" xr:uid="{2E7F517C-4087-4D7D-87FF-9035E0D8333A}"/>
    <cellStyle name="20% - Accent5 4 4 3 3" xfId="14233" xr:uid="{F200AB8E-7BD3-4A6A-876D-57A2FA662471}"/>
    <cellStyle name="20% - Accent5 4 4 4" xfId="18456" xr:uid="{E1E924EA-0ACB-4CC2-80C7-1D538AE56756}"/>
    <cellStyle name="20% - Accent5 4 4 5" xfId="10015" xr:uid="{FF89C4F3-F6FA-45C2-A8A4-0C196C53E57E}"/>
    <cellStyle name="20% - Accent5 4 5" xfId="1890" xr:uid="{00000000-0005-0000-0000-000007030000}"/>
    <cellStyle name="20% - Accent5 4 5 2" xfId="4119" xr:uid="{00000000-0005-0000-0000-000008030000}"/>
    <cellStyle name="20% - Accent5 4 5 2 2" xfId="8341" xr:uid="{00000000-0005-0000-0000-000009030000}"/>
    <cellStyle name="20% - Accent5 4 5 2 2 2" xfId="25232" xr:uid="{AD6888D8-DF66-4456-97D5-D39BC875F863}"/>
    <cellStyle name="20% - Accent5 4 5 2 2 3" xfId="16791" xr:uid="{3EF063A8-A208-443E-A3F8-A4B60A073FFC}"/>
    <cellStyle name="20% - Accent5 4 5 2 3" xfId="21014" xr:uid="{3845948E-CEAB-46A5-97FE-670A02143344}"/>
    <cellStyle name="20% - Accent5 4 5 2 4" xfId="12573" xr:uid="{EACFF781-4858-4960-A134-B22A1EDC8405}"/>
    <cellStyle name="20% - Accent5 4 5 3" xfId="6196" xr:uid="{00000000-0005-0000-0000-00000A030000}"/>
    <cellStyle name="20% - Accent5 4 5 3 2" xfId="23087" xr:uid="{4E42FE9F-F7B0-471D-BBEA-E7D30A149B83}"/>
    <cellStyle name="20% - Accent5 4 5 3 3" xfId="14646" xr:uid="{2F5E4597-42D6-4B96-8F4E-AAF9B04E1A3B}"/>
    <cellStyle name="20% - Accent5 4 5 4" xfId="18869" xr:uid="{A14352B1-12C9-46BD-B6FF-9FBFB165E1AB}"/>
    <cellStyle name="20% - Accent5 4 5 5" xfId="10428" xr:uid="{A1752205-4CE0-4FC8-973B-EB7C3D844ABF}"/>
    <cellStyle name="20% - Accent5 4 6" xfId="2303" xr:uid="{00000000-0005-0000-0000-00000B030000}"/>
    <cellStyle name="20% - Accent5 4 6 2" xfId="6609" xr:uid="{00000000-0005-0000-0000-00000C030000}"/>
    <cellStyle name="20% - Accent5 4 6 2 2" xfId="23500" xr:uid="{B1540519-B0D5-4657-8A52-D9D04A4B2FB6}"/>
    <cellStyle name="20% - Accent5 4 6 2 3" xfId="15059" xr:uid="{9F39AFE2-5838-4D02-A29F-45EBF58120D1}"/>
    <cellStyle name="20% - Accent5 4 6 3" xfId="19282" xr:uid="{5879F721-56C0-4DE4-A03C-EF55BB97D7CB}"/>
    <cellStyle name="20% - Accent5 4 6 4" xfId="10841" xr:uid="{F1A57CEB-A4B5-41C4-97FD-B22EF42B3F55}"/>
    <cellStyle name="20% - Accent5 4 7" xfId="4543" xr:uid="{00000000-0005-0000-0000-00000D030000}"/>
    <cellStyle name="20% - Accent5 4 7 2" xfId="21434" xr:uid="{7847579E-33CF-4B5B-BDB6-728F28612A00}"/>
    <cellStyle name="20% - Accent5 4 7 3" xfId="12993" xr:uid="{323D68A3-4A76-40C2-92AE-0BB88D3733E2}"/>
    <cellStyle name="20% - Accent5 4 8" xfId="17216" xr:uid="{0F0529C2-1A41-487E-8FBE-74D68F25331C}"/>
    <cellStyle name="20% - Accent5 4 9" xfId="8775" xr:uid="{161701FA-FF25-4E0D-A4D5-ED235E3D285D}"/>
    <cellStyle name="20% - Accent5 5" xfId="602" xr:uid="{00000000-0005-0000-0000-00000E030000}"/>
    <cellStyle name="20% - Accent5 5 2" xfId="2873" xr:uid="{00000000-0005-0000-0000-00000F030000}"/>
    <cellStyle name="20% - Accent5 5 2 2" xfId="7095" xr:uid="{00000000-0005-0000-0000-000010030000}"/>
    <cellStyle name="20% - Accent5 5 2 2 2" xfId="23986" xr:uid="{C222A44F-E6AE-4373-B56A-7E46953B5C2C}"/>
    <cellStyle name="20% - Accent5 5 2 2 3" xfId="15545" xr:uid="{BB82FEBB-BC93-4598-B737-AEC120E6E420}"/>
    <cellStyle name="20% - Accent5 5 2 3" xfId="19768" xr:uid="{BCEC008E-5FDD-4E19-98D3-8E7771FC7CB5}"/>
    <cellStyle name="20% - Accent5 5 2 4" xfId="11327" xr:uid="{2648A872-4996-40ED-B9E2-7116C92BFBAA}"/>
    <cellStyle name="20% - Accent5 5 3" xfId="4950" xr:uid="{00000000-0005-0000-0000-000011030000}"/>
    <cellStyle name="20% - Accent5 5 3 2" xfId="21841" xr:uid="{72C2F227-3CAD-4103-9D9E-8312B243C32D}"/>
    <cellStyle name="20% - Accent5 5 3 3" xfId="13400" xr:uid="{DA3D62FF-EC7E-43AD-A771-A6597A6DBA24}"/>
    <cellStyle name="20% - Accent5 5 4" xfId="17623" xr:uid="{16BF08B3-6F3C-4EC0-BA7F-3DDB44FAEACB}"/>
    <cellStyle name="20% - Accent5 5 5" xfId="9182" xr:uid="{40129542-5257-42BD-968C-D2916E58AC4E}"/>
    <cellStyle name="20% - Accent5 6" xfId="1055" xr:uid="{00000000-0005-0000-0000-000012030000}"/>
    <cellStyle name="20% - Accent5 6 2" xfId="3286" xr:uid="{00000000-0005-0000-0000-000013030000}"/>
    <cellStyle name="20% - Accent5 6 2 2" xfId="7508" xr:uid="{00000000-0005-0000-0000-000014030000}"/>
    <cellStyle name="20% - Accent5 6 2 2 2" xfId="24399" xr:uid="{379F049F-2430-486A-882F-239E560DE9D0}"/>
    <cellStyle name="20% - Accent5 6 2 2 3" xfId="15958" xr:uid="{B1B20B49-42E7-4308-BE71-8202DCA09354}"/>
    <cellStyle name="20% - Accent5 6 2 3" xfId="20181" xr:uid="{16E342C2-57FC-40A8-81BD-CA3FC66160E5}"/>
    <cellStyle name="20% - Accent5 6 2 4" xfId="11740" xr:uid="{27664C75-62AD-4C87-86DE-7D470A1CB5C9}"/>
    <cellStyle name="20% - Accent5 6 3" xfId="5363" xr:uid="{00000000-0005-0000-0000-000015030000}"/>
    <cellStyle name="20% - Accent5 6 3 2" xfId="22254" xr:uid="{D95CD63B-E6A1-4CF0-B456-9D7C8298ED09}"/>
    <cellStyle name="20% - Accent5 6 3 3" xfId="13813" xr:uid="{DCD73B62-6AF2-460A-B856-A440DD9A13B5}"/>
    <cellStyle name="20% - Accent5 6 4" xfId="18036" xr:uid="{83D268E0-2349-4B9E-9595-D7E52C7173AB}"/>
    <cellStyle name="20% - Accent5 6 5" xfId="9595" xr:uid="{0677B6F5-1B7E-4F8F-8ABA-B0F429048019}"/>
    <cellStyle name="20% - Accent5 7" xfId="1469" xr:uid="{00000000-0005-0000-0000-000016030000}"/>
    <cellStyle name="20% - Accent5 7 2" xfId="3699" xr:uid="{00000000-0005-0000-0000-000017030000}"/>
    <cellStyle name="20% - Accent5 7 2 2" xfId="7921" xr:uid="{00000000-0005-0000-0000-000018030000}"/>
    <cellStyle name="20% - Accent5 7 2 2 2" xfId="24812" xr:uid="{F8205D99-01CD-4CD9-ADC8-987FA791D6BC}"/>
    <cellStyle name="20% - Accent5 7 2 2 3" xfId="16371" xr:uid="{57C895F8-C2E6-47D3-9FFA-9952EBA02AB9}"/>
    <cellStyle name="20% - Accent5 7 2 3" xfId="20594" xr:uid="{95B3F02B-D8A6-474F-A124-A1E1B4642BF0}"/>
    <cellStyle name="20% - Accent5 7 2 4" xfId="12153" xr:uid="{35A639B8-5D72-4BCA-B5F8-931E47AA0162}"/>
    <cellStyle name="20% - Accent5 7 3" xfId="5776" xr:uid="{00000000-0005-0000-0000-000019030000}"/>
    <cellStyle name="20% - Accent5 7 3 2" xfId="22667" xr:uid="{EF11C6B2-7D87-4CBF-BBED-80CC5EE99E9A}"/>
    <cellStyle name="20% - Accent5 7 3 3" xfId="14226" xr:uid="{7CA9973A-CFB4-4EF5-AFBC-1403E3D76FED}"/>
    <cellStyle name="20% - Accent5 7 4" xfId="18449" xr:uid="{03906D8D-916F-4D0A-8318-8D72526FD9EB}"/>
    <cellStyle name="20% - Accent5 7 5" xfId="10008" xr:uid="{7E68B52F-6859-4BD0-A07D-9FD77494FFE4}"/>
    <cellStyle name="20% - Accent5 8" xfId="1883" xr:uid="{00000000-0005-0000-0000-00001A030000}"/>
    <cellStyle name="20% - Accent5 8 2" xfId="4112" xr:uid="{00000000-0005-0000-0000-00001B030000}"/>
    <cellStyle name="20% - Accent5 8 2 2" xfId="8334" xr:uid="{00000000-0005-0000-0000-00001C030000}"/>
    <cellStyle name="20% - Accent5 8 2 2 2" xfId="25225" xr:uid="{B2B28EE7-20C9-474D-8567-DD734FD0505E}"/>
    <cellStyle name="20% - Accent5 8 2 2 3" xfId="16784" xr:uid="{FE1FA0C2-C3BE-4BB2-BC0D-BD6188A15E41}"/>
    <cellStyle name="20% - Accent5 8 2 3" xfId="21007" xr:uid="{9DC452B3-F28B-480C-B2F0-7837FA5066BA}"/>
    <cellStyle name="20% - Accent5 8 2 4" xfId="12566" xr:uid="{F49295C4-4CF9-41E9-A269-365B3519569D}"/>
    <cellStyle name="20% - Accent5 8 3" xfId="6189" xr:uid="{00000000-0005-0000-0000-00001D030000}"/>
    <cellStyle name="20% - Accent5 8 3 2" xfId="23080" xr:uid="{D4C86A48-72B9-42E7-AFE9-991B0705736E}"/>
    <cellStyle name="20% - Accent5 8 3 3" xfId="14639" xr:uid="{4672D323-9DA0-4730-B745-A49FF23A54AF}"/>
    <cellStyle name="20% - Accent5 8 4" xfId="18862" xr:uid="{D32849EC-C176-4BD2-84E7-BCD59E1418AE}"/>
    <cellStyle name="20% - Accent5 8 5" xfId="10421" xr:uid="{EB273D93-2819-4D2C-B5A3-69347F417E88}"/>
    <cellStyle name="20% - Accent5 9" xfId="2296" xr:uid="{00000000-0005-0000-0000-00001E030000}"/>
    <cellStyle name="20% - Accent5 9 2" xfId="6602" xr:uid="{00000000-0005-0000-0000-00001F030000}"/>
    <cellStyle name="20% - Accent5 9 2 2" xfId="23493" xr:uid="{A2A256DF-8A52-49E5-A6EC-672E50A68A26}"/>
    <cellStyle name="20% - Accent5 9 2 3" xfId="15052" xr:uid="{8A104D24-9654-47E9-89CF-818A98F8C7FD}"/>
    <cellStyle name="20% - Accent5 9 3" xfId="19275" xr:uid="{17AC3B4C-7143-4AB6-B083-741CF6E3E252}"/>
    <cellStyle name="20% - Accent5 9 4" xfId="10834" xr:uid="{4629BEAC-45D8-445B-944D-76EAB39A3576}"/>
    <cellStyle name="20% - Accent6" xfId="41" builtinId="50" customBuiltin="1"/>
    <cellStyle name="20% - Accent6 10" xfId="4544" xr:uid="{00000000-0005-0000-0000-000021030000}"/>
    <cellStyle name="20% - Accent6 10 2" xfId="21435" xr:uid="{2D0A9741-0E28-48CB-B08B-6F781FC1FB13}"/>
    <cellStyle name="20% - Accent6 10 3" xfId="12994" xr:uid="{78B48ECA-EED0-4DD9-8C7D-B87017EAF1E4}"/>
    <cellStyle name="20% - Accent6 11" xfId="17217" xr:uid="{427A3721-39AD-400C-9128-5427CF2BF6AB}"/>
    <cellStyle name="20% - Accent6 12" xfId="8776" xr:uid="{3CBA6B2C-6797-4517-9F91-67D38FEB934C}"/>
    <cellStyle name="20% - Accent6 2" xfId="42" xr:uid="{00000000-0005-0000-0000-000022030000}"/>
    <cellStyle name="20% - Accent6 2 10" xfId="17218" xr:uid="{9764473F-2773-4EEF-ACE4-81B75FBBEB1A}"/>
    <cellStyle name="20% - Accent6 2 11" xfId="8777" xr:uid="{7C0DB288-5B8E-4FED-957F-CD278B083609}"/>
    <cellStyle name="20% - Accent6 2 2" xfId="43" xr:uid="{00000000-0005-0000-0000-000023030000}"/>
    <cellStyle name="20% - Accent6 2 2 10" xfId="8778" xr:uid="{DC0B93A6-6ADE-436C-9607-1857CD031B5D}"/>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2 2 2" xfId="23997" xr:uid="{E8B2EEC2-E3DA-4EF1-9556-BE7AE1283549}"/>
    <cellStyle name="20% - Accent6 2 2 2 2 2 2 3" xfId="15556" xr:uid="{FE913542-B682-4A26-B658-BB1C095D46E5}"/>
    <cellStyle name="20% - Accent6 2 2 2 2 2 3" xfId="19779" xr:uid="{3DC11921-20B2-4EB8-936C-AC3A459BDB53}"/>
    <cellStyle name="20% - Accent6 2 2 2 2 2 4" xfId="11338" xr:uid="{CC5B0B29-029B-48A8-8E45-D42BA27234AB}"/>
    <cellStyle name="20% - Accent6 2 2 2 2 3" xfId="4961" xr:uid="{00000000-0005-0000-0000-000028030000}"/>
    <cellStyle name="20% - Accent6 2 2 2 2 3 2" xfId="21852" xr:uid="{0369D5E6-9697-49DF-AF9B-C86477B26F6F}"/>
    <cellStyle name="20% - Accent6 2 2 2 2 3 3" xfId="13411" xr:uid="{98ECBD3C-0D09-4ED9-9AA5-276483069B98}"/>
    <cellStyle name="20% - Accent6 2 2 2 2 4" xfId="17634" xr:uid="{8F0689F5-C1DF-4144-AE24-1B73A755A449}"/>
    <cellStyle name="20% - Accent6 2 2 2 2 5" xfId="9193" xr:uid="{07F07E3A-A140-4AF3-8E3F-66CD927E5D63}"/>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2 2 2" xfId="24410" xr:uid="{26735766-0FF8-44C8-BFA7-D1CF973095DD}"/>
    <cellStyle name="20% - Accent6 2 2 2 3 2 2 3" xfId="15969" xr:uid="{9C5D4CA4-89D0-42C3-BEB1-CE2D671C122E}"/>
    <cellStyle name="20% - Accent6 2 2 2 3 2 3" xfId="20192" xr:uid="{071196B7-4CA5-4BB4-B3C7-EE9DD8008885}"/>
    <cellStyle name="20% - Accent6 2 2 2 3 2 4" xfId="11751" xr:uid="{166CB74C-6191-4507-8012-1436DC75E1C8}"/>
    <cellStyle name="20% - Accent6 2 2 2 3 3" xfId="5374" xr:uid="{00000000-0005-0000-0000-00002C030000}"/>
    <cellStyle name="20% - Accent6 2 2 2 3 3 2" xfId="22265" xr:uid="{CA7A0E92-FA12-405A-A5A4-A5A4FB79F7B5}"/>
    <cellStyle name="20% - Accent6 2 2 2 3 3 3" xfId="13824" xr:uid="{0B44738D-57D4-419B-83B8-78CCD596B85C}"/>
    <cellStyle name="20% - Accent6 2 2 2 3 4" xfId="18047" xr:uid="{26B7578A-1D3F-4781-86BB-740B2A77C260}"/>
    <cellStyle name="20% - Accent6 2 2 2 3 5" xfId="9606" xr:uid="{D2AC7EB1-CC7B-4C97-A1F3-C1250BB3B0A9}"/>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2 2 2" xfId="24823" xr:uid="{B5E6E949-320B-4346-BA17-2221BEAC801F}"/>
    <cellStyle name="20% - Accent6 2 2 2 4 2 2 3" xfId="16382" xr:uid="{DE8F5B4A-87B1-4AA6-8BCA-5F8E33DB26DC}"/>
    <cellStyle name="20% - Accent6 2 2 2 4 2 3" xfId="20605" xr:uid="{BBF13181-81E8-4DDF-8238-302A453D1364}"/>
    <cellStyle name="20% - Accent6 2 2 2 4 2 4" xfId="12164" xr:uid="{097E8CB2-4174-4B63-8F57-CDC70702CB43}"/>
    <cellStyle name="20% - Accent6 2 2 2 4 3" xfId="5787" xr:uid="{00000000-0005-0000-0000-000030030000}"/>
    <cellStyle name="20% - Accent6 2 2 2 4 3 2" xfId="22678" xr:uid="{3F01F7B6-2057-4C63-9729-09F045DD29C5}"/>
    <cellStyle name="20% - Accent6 2 2 2 4 3 3" xfId="14237" xr:uid="{ED56E6A1-0F3C-4397-A0EB-5FDC6454C029}"/>
    <cellStyle name="20% - Accent6 2 2 2 4 4" xfId="18460" xr:uid="{EDAB5168-D9CE-4024-B994-1D5502A728A2}"/>
    <cellStyle name="20% - Accent6 2 2 2 4 5" xfId="10019" xr:uid="{DD947E3B-9DCB-4BB9-884C-134C9C9E259D}"/>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2 2 2" xfId="25236" xr:uid="{21F1E351-9FEF-493D-AE4C-8DDF8847AB63}"/>
    <cellStyle name="20% - Accent6 2 2 2 5 2 2 3" xfId="16795" xr:uid="{51E3C36B-4444-4EF3-9DD3-6B728215411D}"/>
    <cellStyle name="20% - Accent6 2 2 2 5 2 3" xfId="21018" xr:uid="{1EA674D0-656D-4263-BD8E-4492F8F84A8F}"/>
    <cellStyle name="20% - Accent6 2 2 2 5 2 4" xfId="12577" xr:uid="{B08A048A-483F-4382-9F40-E0D8098DAD40}"/>
    <cellStyle name="20% - Accent6 2 2 2 5 3" xfId="6200" xr:uid="{00000000-0005-0000-0000-000034030000}"/>
    <cellStyle name="20% - Accent6 2 2 2 5 3 2" xfId="23091" xr:uid="{8A9B0D0B-3726-4A54-B886-004C8C971A86}"/>
    <cellStyle name="20% - Accent6 2 2 2 5 3 3" xfId="14650" xr:uid="{A3889AD2-499F-4295-991B-8988E72C4D5F}"/>
    <cellStyle name="20% - Accent6 2 2 2 5 4" xfId="18873" xr:uid="{69BA203B-9EDE-4E35-8A6E-F7EBA5744BA3}"/>
    <cellStyle name="20% - Accent6 2 2 2 5 5" xfId="10432" xr:uid="{827A57FE-DFCD-4242-83C1-2A32F5982CD6}"/>
    <cellStyle name="20% - Accent6 2 2 2 6" xfId="2307" xr:uid="{00000000-0005-0000-0000-000035030000}"/>
    <cellStyle name="20% - Accent6 2 2 2 6 2" xfId="6613" xr:uid="{00000000-0005-0000-0000-000036030000}"/>
    <cellStyle name="20% - Accent6 2 2 2 6 2 2" xfId="23504" xr:uid="{1CCEE5E9-13AE-4F22-9786-F0539A560B73}"/>
    <cellStyle name="20% - Accent6 2 2 2 6 2 3" xfId="15063" xr:uid="{469EFE6B-62E5-4CE1-B4EE-A436FB0C3AF9}"/>
    <cellStyle name="20% - Accent6 2 2 2 6 3" xfId="19286" xr:uid="{B96FCE81-4892-452A-AE5A-0500F4D11757}"/>
    <cellStyle name="20% - Accent6 2 2 2 6 4" xfId="10845" xr:uid="{01AAFE58-3251-4097-AD5D-62053F9F7FA2}"/>
    <cellStyle name="20% - Accent6 2 2 2 7" xfId="4547" xr:uid="{00000000-0005-0000-0000-000037030000}"/>
    <cellStyle name="20% - Accent6 2 2 2 7 2" xfId="21438" xr:uid="{60FE3D10-3CF9-46C0-86B7-0431416B5484}"/>
    <cellStyle name="20% - Accent6 2 2 2 7 3" xfId="12997" xr:uid="{88829ACE-4D85-455C-A97A-26F61F5F5C97}"/>
    <cellStyle name="20% - Accent6 2 2 2 8" xfId="17220" xr:uid="{B9E221CD-9631-4A6E-9CCB-4C272A064EB9}"/>
    <cellStyle name="20% - Accent6 2 2 2 9" xfId="8779" xr:uid="{892259AA-A791-44DE-AA46-70549AFA3C2E}"/>
    <cellStyle name="20% - Accent6 2 2 3" xfId="612" xr:uid="{00000000-0005-0000-0000-000038030000}"/>
    <cellStyle name="20% - Accent6 2 2 3 2" xfId="2883" xr:uid="{00000000-0005-0000-0000-000039030000}"/>
    <cellStyle name="20% - Accent6 2 2 3 2 2" xfId="7105" xr:uid="{00000000-0005-0000-0000-00003A030000}"/>
    <cellStyle name="20% - Accent6 2 2 3 2 2 2" xfId="23996" xr:uid="{A06D16F6-7396-49A7-9159-2B839E66E482}"/>
    <cellStyle name="20% - Accent6 2 2 3 2 2 3" xfId="15555" xr:uid="{7B32A37B-AAC1-4B68-9D65-B176DD411282}"/>
    <cellStyle name="20% - Accent6 2 2 3 2 3" xfId="19778" xr:uid="{6585A841-C099-4F12-AF28-FB173369C66F}"/>
    <cellStyle name="20% - Accent6 2 2 3 2 4" xfId="11337" xr:uid="{47428945-3206-44CB-A19F-F627A4EFD2FA}"/>
    <cellStyle name="20% - Accent6 2 2 3 3" xfId="4960" xr:uid="{00000000-0005-0000-0000-00003B030000}"/>
    <cellStyle name="20% - Accent6 2 2 3 3 2" xfId="21851" xr:uid="{63456630-4CD4-4AF9-B2AC-765E247D70EF}"/>
    <cellStyle name="20% - Accent6 2 2 3 3 3" xfId="13410" xr:uid="{6819499D-216A-4414-93E3-4FB6F57445E8}"/>
    <cellStyle name="20% - Accent6 2 2 3 4" xfId="17633" xr:uid="{1936C1E9-5B88-448C-9CDD-F83C2BCC80A5}"/>
    <cellStyle name="20% - Accent6 2 2 3 5" xfId="9192" xr:uid="{C4BF5A3A-077E-41AF-A87B-4069E95303AF}"/>
    <cellStyle name="20% - Accent6 2 2 4" xfId="1065" xr:uid="{00000000-0005-0000-0000-00003C030000}"/>
    <cellStyle name="20% - Accent6 2 2 4 2" xfId="3296" xr:uid="{00000000-0005-0000-0000-00003D030000}"/>
    <cellStyle name="20% - Accent6 2 2 4 2 2" xfId="7518" xr:uid="{00000000-0005-0000-0000-00003E030000}"/>
    <cellStyle name="20% - Accent6 2 2 4 2 2 2" xfId="24409" xr:uid="{4709D69D-0F37-47D2-954B-97A5B5BAA3D9}"/>
    <cellStyle name="20% - Accent6 2 2 4 2 2 3" xfId="15968" xr:uid="{8EBC491D-B2F1-48A6-BE5C-E36C142A5051}"/>
    <cellStyle name="20% - Accent6 2 2 4 2 3" xfId="20191" xr:uid="{0A296410-94D7-4CDB-B40D-6203BC89B04B}"/>
    <cellStyle name="20% - Accent6 2 2 4 2 4" xfId="11750" xr:uid="{85426E58-199B-45C6-8057-BAF0D0BEE3FE}"/>
    <cellStyle name="20% - Accent6 2 2 4 3" xfId="5373" xr:uid="{00000000-0005-0000-0000-00003F030000}"/>
    <cellStyle name="20% - Accent6 2 2 4 3 2" xfId="22264" xr:uid="{69353873-BD28-4096-9F2D-F7CA20ACB5C5}"/>
    <cellStyle name="20% - Accent6 2 2 4 3 3" xfId="13823" xr:uid="{26D1887C-5796-47BE-B87C-3A6EC9E2A4E6}"/>
    <cellStyle name="20% - Accent6 2 2 4 4" xfId="18046" xr:uid="{9CF3A18D-A9D9-4147-AB66-BDF1EB7C2E8B}"/>
    <cellStyle name="20% - Accent6 2 2 4 5" xfId="9605" xr:uid="{5711DF9D-27AF-40B7-883C-8E182271EA3A}"/>
    <cellStyle name="20% - Accent6 2 2 5" xfId="1479" xr:uid="{00000000-0005-0000-0000-000040030000}"/>
    <cellStyle name="20% - Accent6 2 2 5 2" xfId="3709" xr:uid="{00000000-0005-0000-0000-000041030000}"/>
    <cellStyle name="20% - Accent6 2 2 5 2 2" xfId="7931" xr:uid="{00000000-0005-0000-0000-000042030000}"/>
    <cellStyle name="20% - Accent6 2 2 5 2 2 2" xfId="24822" xr:uid="{68A5E899-BD45-4511-B431-98158C745291}"/>
    <cellStyle name="20% - Accent6 2 2 5 2 2 3" xfId="16381" xr:uid="{6A8C5351-8FA3-4CA5-A598-5B0B38F9BAF7}"/>
    <cellStyle name="20% - Accent6 2 2 5 2 3" xfId="20604" xr:uid="{87E14774-72B6-456F-8636-29F0F063B9C9}"/>
    <cellStyle name="20% - Accent6 2 2 5 2 4" xfId="12163" xr:uid="{E7E7C958-E3FC-4043-BF83-FB69FFCBF301}"/>
    <cellStyle name="20% - Accent6 2 2 5 3" xfId="5786" xr:uid="{00000000-0005-0000-0000-000043030000}"/>
    <cellStyle name="20% - Accent6 2 2 5 3 2" xfId="22677" xr:uid="{7D1DB4AB-27ED-4B2D-92C1-BBBBD54B9D44}"/>
    <cellStyle name="20% - Accent6 2 2 5 3 3" xfId="14236" xr:uid="{CA828DFF-7168-46A9-BDBA-46530728823C}"/>
    <cellStyle name="20% - Accent6 2 2 5 4" xfId="18459" xr:uid="{0703FAFA-B617-41EA-BD37-EBA25F915B90}"/>
    <cellStyle name="20% - Accent6 2 2 5 5" xfId="10018" xr:uid="{8D6D117C-A44C-4CFD-A3B9-21BA28836EDB}"/>
    <cellStyle name="20% - Accent6 2 2 6" xfId="1893" xr:uid="{00000000-0005-0000-0000-000044030000}"/>
    <cellStyle name="20% - Accent6 2 2 6 2" xfId="4122" xr:uid="{00000000-0005-0000-0000-000045030000}"/>
    <cellStyle name="20% - Accent6 2 2 6 2 2" xfId="8344" xr:uid="{00000000-0005-0000-0000-000046030000}"/>
    <cellStyle name="20% - Accent6 2 2 6 2 2 2" xfId="25235" xr:uid="{5C91E3F2-3033-4658-8B13-F407B53DDA77}"/>
    <cellStyle name="20% - Accent6 2 2 6 2 2 3" xfId="16794" xr:uid="{F5BE9069-41D3-4F42-A66C-652F39C859D2}"/>
    <cellStyle name="20% - Accent6 2 2 6 2 3" xfId="21017" xr:uid="{1CF95FD0-D7A2-41FD-ADBF-109BEB10165C}"/>
    <cellStyle name="20% - Accent6 2 2 6 2 4" xfId="12576" xr:uid="{1C032434-3E65-4D64-A594-A7FDC47E66E9}"/>
    <cellStyle name="20% - Accent6 2 2 6 3" xfId="6199" xr:uid="{00000000-0005-0000-0000-000047030000}"/>
    <cellStyle name="20% - Accent6 2 2 6 3 2" xfId="23090" xr:uid="{B3248E3E-1E21-4D86-94BD-7EFA729F2E10}"/>
    <cellStyle name="20% - Accent6 2 2 6 3 3" xfId="14649" xr:uid="{08504AAD-572D-40A9-9302-C752BB10E7EB}"/>
    <cellStyle name="20% - Accent6 2 2 6 4" xfId="18872" xr:uid="{05F20AA5-093F-49F0-AC46-6EACF8800C27}"/>
    <cellStyle name="20% - Accent6 2 2 6 5" xfId="10431" xr:uid="{02B9A939-64A2-4B33-8572-17AE46709844}"/>
    <cellStyle name="20% - Accent6 2 2 7" xfId="2306" xr:uid="{00000000-0005-0000-0000-000048030000}"/>
    <cellStyle name="20% - Accent6 2 2 7 2" xfId="6612" xr:uid="{00000000-0005-0000-0000-000049030000}"/>
    <cellStyle name="20% - Accent6 2 2 7 2 2" xfId="23503" xr:uid="{FCCED2CA-AB9A-4972-8576-4407F95050C7}"/>
    <cellStyle name="20% - Accent6 2 2 7 2 3" xfId="15062" xr:uid="{F0AAF4DD-7034-4855-BEBA-555FB06138F3}"/>
    <cellStyle name="20% - Accent6 2 2 7 3" xfId="19285" xr:uid="{B123AE42-206A-46DD-ADA9-2795C237F473}"/>
    <cellStyle name="20% - Accent6 2 2 7 4" xfId="10844" xr:uid="{1281481B-C83F-4F41-A04A-A78E77EBEC58}"/>
    <cellStyle name="20% - Accent6 2 2 8" xfId="4546" xr:uid="{00000000-0005-0000-0000-00004A030000}"/>
    <cellStyle name="20% - Accent6 2 2 8 2" xfId="21437" xr:uid="{FB03495E-B222-4F40-B6E1-2EC80A1D7B3B}"/>
    <cellStyle name="20% - Accent6 2 2 8 3" xfId="12996" xr:uid="{6E94C500-A7A4-41A4-98B8-C435947DD8A7}"/>
    <cellStyle name="20% - Accent6 2 2 9" xfId="17219" xr:uid="{CE58043C-16F9-4B85-AC36-7A8CB0D9E2BD}"/>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2 2 2" xfId="23998" xr:uid="{CDA8E1D7-036C-4D6C-A963-A5814E19D86E}"/>
    <cellStyle name="20% - Accent6 2 3 2 2 2 3" xfId="15557" xr:uid="{F4556381-EBB9-44FC-AE54-5F17FA216C77}"/>
    <cellStyle name="20% - Accent6 2 3 2 2 3" xfId="19780" xr:uid="{00847A57-E1BD-41BC-984D-6CB9C601F7F8}"/>
    <cellStyle name="20% - Accent6 2 3 2 2 4" xfId="11339" xr:uid="{5558AF3D-C328-43C5-90E7-7F5B8CD0E8A8}"/>
    <cellStyle name="20% - Accent6 2 3 2 3" xfId="4962" xr:uid="{00000000-0005-0000-0000-00004F030000}"/>
    <cellStyle name="20% - Accent6 2 3 2 3 2" xfId="21853" xr:uid="{1D53EAEF-AD8B-4537-A823-436ADAB2906F}"/>
    <cellStyle name="20% - Accent6 2 3 2 3 3" xfId="13412" xr:uid="{1D509ADF-8991-4AB7-BBB0-6D523C1513D8}"/>
    <cellStyle name="20% - Accent6 2 3 2 4" xfId="17635" xr:uid="{8C01A5B1-E24E-4F9D-83B0-E0A69BBDBBB1}"/>
    <cellStyle name="20% - Accent6 2 3 2 5" xfId="9194" xr:uid="{C3DB262F-08CC-4FC1-97DD-9362C1EACFBF}"/>
    <cellStyle name="20% - Accent6 2 3 3" xfId="1067" xr:uid="{00000000-0005-0000-0000-000050030000}"/>
    <cellStyle name="20% - Accent6 2 3 3 2" xfId="3298" xr:uid="{00000000-0005-0000-0000-000051030000}"/>
    <cellStyle name="20% - Accent6 2 3 3 2 2" xfId="7520" xr:uid="{00000000-0005-0000-0000-000052030000}"/>
    <cellStyle name="20% - Accent6 2 3 3 2 2 2" xfId="24411" xr:uid="{44B4A5BC-720B-4210-BB24-C52562F5C06E}"/>
    <cellStyle name="20% - Accent6 2 3 3 2 2 3" xfId="15970" xr:uid="{28CCEAD6-7680-437B-BD37-78966C3416C8}"/>
    <cellStyle name="20% - Accent6 2 3 3 2 3" xfId="20193" xr:uid="{0A9D9517-1E8D-41BB-86B0-C5C8B6E17536}"/>
    <cellStyle name="20% - Accent6 2 3 3 2 4" xfId="11752" xr:uid="{EC3055DE-E6CA-40E7-8BCF-C79F236ADC72}"/>
    <cellStyle name="20% - Accent6 2 3 3 3" xfId="5375" xr:uid="{00000000-0005-0000-0000-000053030000}"/>
    <cellStyle name="20% - Accent6 2 3 3 3 2" xfId="22266" xr:uid="{82D2C888-E17B-467F-9C9D-405A6E7643A8}"/>
    <cellStyle name="20% - Accent6 2 3 3 3 3" xfId="13825" xr:uid="{DB7C56D6-818A-4400-A41F-6C8963B50F4D}"/>
    <cellStyle name="20% - Accent6 2 3 3 4" xfId="18048" xr:uid="{E3A7153B-96E5-4F38-9867-FB04B14EBCA4}"/>
    <cellStyle name="20% - Accent6 2 3 3 5" xfId="9607" xr:uid="{53022966-3897-49B6-BE1E-E4B38D3B8E49}"/>
    <cellStyle name="20% - Accent6 2 3 4" xfId="1481" xr:uid="{00000000-0005-0000-0000-000054030000}"/>
    <cellStyle name="20% - Accent6 2 3 4 2" xfId="3711" xr:uid="{00000000-0005-0000-0000-000055030000}"/>
    <cellStyle name="20% - Accent6 2 3 4 2 2" xfId="7933" xr:uid="{00000000-0005-0000-0000-000056030000}"/>
    <cellStyle name="20% - Accent6 2 3 4 2 2 2" xfId="24824" xr:uid="{C573CBE3-6FF7-4333-959D-44D6F09F4671}"/>
    <cellStyle name="20% - Accent6 2 3 4 2 2 3" xfId="16383" xr:uid="{A4799452-04FA-4225-816A-9992F1964DC3}"/>
    <cellStyle name="20% - Accent6 2 3 4 2 3" xfId="20606" xr:uid="{71ECB749-7BC0-4212-98F6-F12F19B499D2}"/>
    <cellStyle name="20% - Accent6 2 3 4 2 4" xfId="12165" xr:uid="{B4D2E0EC-4417-4B5E-8028-F66820B37A63}"/>
    <cellStyle name="20% - Accent6 2 3 4 3" xfId="5788" xr:uid="{00000000-0005-0000-0000-000057030000}"/>
    <cellStyle name="20% - Accent6 2 3 4 3 2" xfId="22679" xr:uid="{C783A597-2137-4FEB-968A-D2201D10B340}"/>
    <cellStyle name="20% - Accent6 2 3 4 3 3" xfId="14238" xr:uid="{317CAFEE-D3CF-45D1-BDF3-748ACC02DA49}"/>
    <cellStyle name="20% - Accent6 2 3 4 4" xfId="18461" xr:uid="{B9345053-C995-496B-A26E-608608649643}"/>
    <cellStyle name="20% - Accent6 2 3 4 5" xfId="10020" xr:uid="{72177D84-E45D-44BE-AE06-4F11C270339F}"/>
    <cellStyle name="20% - Accent6 2 3 5" xfId="1895" xr:uid="{00000000-0005-0000-0000-000058030000}"/>
    <cellStyle name="20% - Accent6 2 3 5 2" xfId="4124" xr:uid="{00000000-0005-0000-0000-000059030000}"/>
    <cellStyle name="20% - Accent6 2 3 5 2 2" xfId="8346" xr:uid="{00000000-0005-0000-0000-00005A030000}"/>
    <cellStyle name="20% - Accent6 2 3 5 2 2 2" xfId="25237" xr:uid="{5923916B-B8DA-43A4-997F-22417F0A1923}"/>
    <cellStyle name="20% - Accent6 2 3 5 2 2 3" xfId="16796" xr:uid="{1974C4DB-DF07-474F-88DE-6A8A8BBC6A27}"/>
    <cellStyle name="20% - Accent6 2 3 5 2 3" xfId="21019" xr:uid="{4E7961D9-023B-4385-B34C-5A946D85CFE9}"/>
    <cellStyle name="20% - Accent6 2 3 5 2 4" xfId="12578" xr:uid="{74970717-7E86-4873-99E7-9029E7528223}"/>
    <cellStyle name="20% - Accent6 2 3 5 3" xfId="6201" xr:uid="{00000000-0005-0000-0000-00005B030000}"/>
    <cellStyle name="20% - Accent6 2 3 5 3 2" xfId="23092" xr:uid="{D556AC38-903D-487B-8891-28F9D06B84D3}"/>
    <cellStyle name="20% - Accent6 2 3 5 3 3" xfId="14651" xr:uid="{06D5E540-BC22-4B85-9178-BE68672B2F0B}"/>
    <cellStyle name="20% - Accent6 2 3 5 4" xfId="18874" xr:uid="{EA36CFE5-7DA7-42E1-B3B6-3B6B93B5BC14}"/>
    <cellStyle name="20% - Accent6 2 3 5 5" xfId="10433" xr:uid="{46089ACF-CABE-45DD-9213-4E238AB8E36B}"/>
    <cellStyle name="20% - Accent6 2 3 6" xfId="2308" xr:uid="{00000000-0005-0000-0000-00005C030000}"/>
    <cellStyle name="20% - Accent6 2 3 6 2" xfId="6614" xr:uid="{00000000-0005-0000-0000-00005D030000}"/>
    <cellStyle name="20% - Accent6 2 3 6 2 2" xfId="23505" xr:uid="{B1B86608-BCB4-4A45-B048-F8FE5E98D351}"/>
    <cellStyle name="20% - Accent6 2 3 6 2 3" xfId="15064" xr:uid="{0C6E221E-6BB9-4DB9-B3CE-48D7586413A6}"/>
    <cellStyle name="20% - Accent6 2 3 6 3" xfId="19287" xr:uid="{086F27BF-9FA8-4056-8A9E-825FDA934835}"/>
    <cellStyle name="20% - Accent6 2 3 6 4" xfId="10846" xr:uid="{360838FE-D257-4E9C-9297-0560087F4372}"/>
    <cellStyle name="20% - Accent6 2 3 7" xfId="4548" xr:uid="{00000000-0005-0000-0000-00005E030000}"/>
    <cellStyle name="20% - Accent6 2 3 7 2" xfId="21439" xr:uid="{745C4082-CA71-432A-B37D-CDA387E62F72}"/>
    <cellStyle name="20% - Accent6 2 3 7 3" xfId="12998" xr:uid="{F5143C61-FDBB-4DB1-A0FB-20474415255C}"/>
    <cellStyle name="20% - Accent6 2 3 8" xfId="17221" xr:uid="{DA948FE0-F95A-4E4C-835F-8CEBD48EFF8F}"/>
    <cellStyle name="20% - Accent6 2 3 9" xfId="8780" xr:uid="{5B17DD40-649B-4852-AF95-9F5FABDCB65C}"/>
    <cellStyle name="20% - Accent6 2 4" xfId="611" xr:uid="{00000000-0005-0000-0000-00005F030000}"/>
    <cellStyle name="20% - Accent6 2 4 2" xfId="2882" xr:uid="{00000000-0005-0000-0000-000060030000}"/>
    <cellStyle name="20% - Accent6 2 4 2 2" xfId="7104" xr:uid="{00000000-0005-0000-0000-000061030000}"/>
    <cellStyle name="20% - Accent6 2 4 2 2 2" xfId="23995" xr:uid="{646AA450-5B75-4253-95B0-C00C734AF008}"/>
    <cellStyle name="20% - Accent6 2 4 2 2 3" xfId="15554" xr:uid="{EDEBBD54-1A45-435A-A14A-AE1A663E19B9}"/>
    <cellStyle name="20% - Accent6 2 4 2 3" xfId="19777" xr:uid="{381C3774-AA69-42B3-AC00-A7B2FAA117F5}"/>
    <cellStyle name="20% - Accent6 2 4 2 4" xfId="11336" xr:uid="{9F91D0AD-482E-4B78-BCF3-744562A84FC1}"/>
    <cellStyle name="20% - Accent6 2 4 3" xfId="4959" xr:uid="{00000000-0005-0000-0000-000062030000}"/>
    <cellStyle name="20% - Accent6 2 4 3 2" xfId="21850" xr:uid="{C2D47D7F-5108-4F22-A922-7DA9CB16A421}"/>
    <cellStyle name="20% - Accent6 2 4 3 3" xfId="13409" xr:uid="{4B46211D-91CB-4C15-A782-FEF74FAE535F}"/>
    <cellStyle name="20% - Accent6 2 4 4" xfId="17632" xr:uid="{41E53DE7-95DB-4640-91C2-FCADF5B72A24}"/>
    <cellStyle name="20% - Accent6 2 4 5" xfId="9191" xr:uid="{BA3B05EB-15A5-48CA-9379-735A80D9C34E}"/>
    <cellStyle name="20% - Accent6 2 5" xfId="1064" xr:uid="{00000000-0005-0000-0000-000063030000}"/>
    <cellStyle name="20% - Accent6 2 5 2" xfId="3295" xr:uid="{00000000-0005-0000-0000-000064030000}"/>
    <cellStyle name="20% - Accent6 2 5 2 2" xfId="7517" xr:uid="{00000000-0005-0000-0000-000065030000}"/>
    <cellStyle name="20% - Accent6 2 5 2 2 2" xfId="24408" xr:uid="{DC5777BB-6259-4DCB-A6B1-E99DF924EB58}"/>
    <cellStyle name="20% - Accent6 2 5 2 2 3" xfId="15967" xr:uid="{95086701-CD58-4F63-A671-0E8A822115C3}"/>
    <cellStyle name="20% - Accent6 2 5 2 3" xfId="20190" xr:uid="{8B87577F-F289-45B5-8BA6-97184AAFAC0D}"/>
    <cellStyle name="20% - Accent6 2 5 2 4" xfId="11749" xr:uid="{5AB69DE9-61EF-4E23-9ACD-54598AA2D091}"/>
    <cellStyle name="20% - Accent6 2 5 3" xfId="5372" xr:uid="{00000000-0005-0000-0000-000066030000}"/>
    <cellStyle name="20% - Accent6 2 5 3 2" xfId="22263" xr:uid="{4777A655-A808-4BB4-91D9-FEFBECDB4D60}"/>
    <cellStyle name="20% - Accent6 2 5 3 3" xfId="13822" xr:uid="{AA5A3C4D-2346-49A0-BE21-8D8E3194623E}"/>
    <cellStyle name="20% - Accent6 2 5 4" xfId="18045" xr:uid="{11262AEC-571F-47B6-BC9D-1C87F97AD95F}"/>
    <cellStyle name="20% - Accent6 2 5 5" xfId="9604" xr:uid="{B01D2EDB-9ADD-4B5E-9EC8-AB9C6C200716}"/>
    <cellStyle name="20% - Accent6 2 6" xfId="1478" xr:uid="{00000000-0005-0000-0000-000067030000}"/>
    <cellStyle name="20% - Accent6 2 6 2" xfId="3708" xr:uid="{00000000-0005-0000-0000-000068030000}"/>
    <cellStyle name="20% - Accent6 2 6 2 2" xfId="7930" xr:uid="{00000000-0005-0000-0000-000069030000}"/>
    <cellStyle name="20% - Accent6 2 6 2 2 2" xfId="24821" xr:uid="{5E2D27D5-8E5B-433B-B62E-1918C66B9B57}"/>
    <cellStyle name="20% - Accent6 2 6 2 2 3" xfId="16380" xr:uid="{8FF424AE-D849-4F81-9E11-086E71B722A3}"/>
    <cellStyle name="20% - Accent6 2 6 2 3" xfId="20603" xr:uid="{3F38E640-5919-4E2B-ADF1-90F23D3AB992}"/>
    <cellStyle name="20% - Accent6 2 6 2 4" xfId="12162" xr:uid="{824B740A-2BBB-43A7-AABC-9D3CFD849CB3}"/>
    <cellStyle name="20% - Accent6 2 6 3" xfId="5785" xr:uid="{00000000-0005-0000-0000-00006A030000}"/>
    <cellStyle name="20% - Accent6 2 6 3 2" xfId="22676" xr:uid="{1B05C44E-50ED-4D20-9C45-E97085BDF31F}"/>
    <cellStyle name="20% - Accent6 2 6 3 3" xfId="14235" xr:uid="{61446CC2-57A5-4FAF-9D7F-8666694C0635}"/>
    <cellStyle name="20% - Accent6 2 6 4" xfId="18458" xr:uid="{DF39D23D-6945-4734-BC7F-0EA29377E24F}"/>
    <cellStyle name="20% - Accent6 2 6 5" xfId="10017" xr:uid="{11645871-97C1-4BF3-AACC-504044D8DF78}"/>
    <cellStyle name="20% - Accent6 2 7" xfId="1892" xr:uid="{00000000-0005-0000-0000-00006B030000}"/>
    <cellStyle name="20% - Accent6 2 7 2" xfId="4121" xr:uid="{00000000-0005-0000-0000-00006C030000}"/>
    <cellStyle name="20% - Accent6 2 7 2 2" xfId="8343" xr:uid="{00000000-0005-0000-0000-00006D030000}"/>
    <cellStyle name="20% - Accent6 2 7 2 2 2" xfId="25234" xr:uid="{FD6ED993-9D14-473D-BAC3-D8BABCC4E550}"/>
    <cellStyle name="20% - Accent6 2 7 2 2 3" xfId="16793" xr:uid="{9E1252B7-066A-4914-ACED-70792805142D}"/>
    <cellStyle name="20% - Accent6 2 7 2 3" xfId="21016" xr:uid="{8A468D58-FD58-4AF8-BD90-ED4F1ED793B2}"/>
    <cellStyle name="20% - Accent6 2 7 2 4" xfId="12575" xr:uid="{8AF79B0E-FE09-4831-BBA5-DA23A7ED58BA}"/>
    <cellStyle name="20% - Accent6 2 7 3" xfId="6198" xr:uid="{00000000-0005-0000-0000-00006E030000}"/>
    <cellStyle name="20% - Accent6 2 7 3 2" xfId="23089" xr:uid="{8818909B-B4AC-4369-8F40-5D6EFC11ED61}"/>
    <cellStyle name="20% - Accent6 2 7 3 3" xfId="14648" xr:uid="{EA85728C-999B-4343-AF66-0546739948E0}"/>
    <cellStyle name="20% - Accent6 2 7 4" xfId="18871" xr:uid="{B2AB6BE2-8488-4B66-B458-13D07830733D}"/>
    <cellStyle name="20% - Accent6 2 7 5" xfId="10430" xr:uid="{19D2EC13-92FE-4599-973B-42BD272E4254}"/>
    <cellStyle name="20% - Accent6 2 8" xfId="2305" xr:uid="{00000000-0005-0000-0000-00006F030000}"/>
    <cellStyle name="20% - Accent6 2 8 2" xfId="6611" xr:uid="{00000000-0005-0000-0000-000070030000}"/>
    <cellStyle name="20% - Accent6 2 8 2 2" xfId="23502" xr:uid="{F1239EA6-B8C0-4E6C-B316-49AD40A2B5CC}"/>
    <cellStyle name="20% - Accent6 2 8 2 3" xfId="15061" xr:uid="{2C3F4C29-3AF9-4DCB-A996-12F1796181FA}"/>
    <cellStyle name="20% - Accent6 2 8 3" xfId="19284" xr:uid="{9DB7350E-8B0C-4DDE-9B68-8FE4F118489D}"/>
    <cellStyle name="20% - Accent6 2 8 4" xfId="10843" xr:uid="{2DD0FC19-6B2C-435F-B454-2BE5E007C466}"/>
    <cellStyle name="20% - Accent6 2 9" xfId="4545" xr:uid="{00000000-0005-0000-0000-000071030000}"/>
    <cellStyle name="20% - Accent6 2 9 2" xfId="21436" xr:uid="{85123617-3586-47CB-BD8F-9162EB4F0948}"/>
    <cellStyle name="20% - Accent6 2 9 3" xfId="12995" xr:uid="{D79713E3-0C83-4BC4-A322-DC0ABA1FCB4E}"/>
    <cellStyle name="20% - Accent6 3" xfId="46" xr:uid="{00000000-0005-0000-0000-000072030000}"/>
    <cellStyle name="20% - Accent6 3 10" xfId="8781" xr:uid="{77170F0A-537D-4214-BE79-21249881C7C6}"/>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2 2 2" xfId="24000" xr:uid="{4E375A86-A7DE-45D4-B107-EB0580101F12}"/>
    <cellStyle name="20% - Accent6 3 2 2 2 2 3" xfId="15559" xr:uid="{38A9A6C1-B839-4246-A1FA-A7A027726206}"/>
    <cellStyle name="20% - Accent6 3 2 2 2 3" xfId="19782" xr:uid="{AA84F40A-F4CA-46B7-A41C-14DE6AADC95C}"/>
    <cellStyle name="20% - Accent6 3 2 2 2 4" xfId="11341" xr:uid="{5C9B1956-E9DE-479B-955F-9DCD82532ECA}"/>
    <cellStyle name="20% - Accent6 3 2 2 3" xfId="4964" xr:uid="{00000000-0005-0000-0000-000077030000}"/>
    <cellStyle name="20% - Accent6 3 2 2 3 2" xfId="21855" xr:uid="{BE201E4F-D3A7-443F-9521-599969C2E14F}"/>
    <cellStyle name="20% - Accent6 3 2 2 3 3" xfId="13414" xr:uid="{359257DE-9DB4-4722-8AF3-4FEBE51AF5E9}"/>
    <cellStyle name="20% - Accent6 3 2 2 4" xfId="17637" xr:uid="{59A8905B-C774-471A-B0D9-DDA43939F605}"/>
    <cellStyle name="20% - Accent6 3 2 2 5" xfId="9196" xr:uid="{26761EAB-CF2A-4135-A995-B28ED45AEFB9}"/>
    <cellStyle name="20% - Accent6 3 2 3" xfId="1069" xr:uid="{00000000-0005-0000-0000-000078030000}"/>
    <cellStyle name="20% - Accent6 3 2 3 2" xfId="3300" xr:uid="{00000000-0005-0000-0000-000079030000}"/>
    <cellStyle name="20% - Accent6 3 2 3 2 2" xfId="7522" xr:uid="{00000000-0005-0000-0000-00007A030000}"/>
    <cellStyle name="20% - Accent6 3 2 3 2 2 2" xfId="24413" xr:uid="{E0F13240-ED8B-4F38-8DE8-CA25B638A0C4}"/>
    <cellStyle name="20% - Accent6 3 2 3 2 2 3" xfId="15972" xr:uid="{39A4FB99-CE92-4F9F-8964-DE3BDD2DA786}"/>
    <cellStyle name="20% - Accent6 3 2 3 2 3" xfId="20195" xr:uid="{4BE3AAFB-DC14-43E4-812B-F1736396A21A}"/>
    <cellStyle name="20% - Accent6 3 2 3 2 4" xfId="11754" xr:uid="{69255850-AEB3-4D49-9202-2D46FFEA19BD}"/>
    <cellStyle name="20% - Accent6 3 2 3 3" xfId="5377" xr:uid="{00000000-0005-0000-0000-00007B030000}"/>
    <cellStyle name="20% - Accent6 3 2 3 3 2" xfId="22268" xr:uid="{979D6499-E176-47F0-B5B6-92C6A433F78F}"/>
    <cellStyle name="20% - Accent6 3 2 3 3 3" xfId="13827" xr:uid="{28384783-0C34-4861-BF8C-CFB46FFC4CE9}"/>
    <cellStyle name="20% - Accent6 3 2 3 4" xfId="18050" xr:uid="{14A1578B-644E-40AA-880B-A72F874598EA}"/>
    <cellStyle name="20% - Accent6 3 2 3 5" xfId="9609" xr:uid="{C1A30A14-BDBF-4CC6-B283-F90F6B54D2C8}"/>
    <cellStyle name="20% - Accent6 3 2 4" xfId="1483" xr:uid="{00000000-0005-0000-0000-00007C030000}"/>
    <cellStyle name="20% - Accent6 3 2 4 2" xfId="3713" xr:uid="{00000000-0005-0000-0000-00007D030000}"/>
    <cellStyle name="20% - Accent6 3 2 4 2 2" xfId="7935" xr:uid="{00000000-0005-0000-0000-00007E030000}"/>
    <cellStyle name="20% - Accent6 3 2 4 2 2 2" xfId="24826" xr:uid="{E4DCC143-D8BA-433F-827E-1EBEC8F151DF}"/>
    <cellStyle name="20% - Accent6 3 2 4 2 2 3" xfId="16385" xr:uid="{26445A92-2A0D-4494-88C4-24B55FA94990}"/>
    <cellStyle name="20% - Accent6 3 2 4 2 3" xfId="20608" xr:uid="{8EAD2993-1C77-443C-8967-280616FE0763}"/>
    <cellStyle name="20% - Accent6 3 2 4 2 4" xfId="12167" xr:uid="{31149693-BBD5-4BDD-BFBB-7AEA7CBDBC94}"/>
    <cellStyle name="20% - Accent6 3 2 4 3" xfId="5790" xr:uid="{00000000-0005-0000-0000-00007F030000}"/>
    <cellStyle name="20% - Accent6 3 2 4 3 2" xfId="22681" xr:uid="{1DDC152A-29DC-465F-B17B-A9D13582BA04}"/>
    <cellStyle name="20% - Accent6 3 2 4 3 3" xfId="14240" xr:uid="{067FE4DB-9A65-4EEF-8573-A10D7D2B4520}"/>
    <cellStyle name="20% - Accent6 3 2 4 4" xfId="18463" xr:uid="{F00941C8-FE21-4CA6-9AC7-1E3AB267193B}"/>
    <cellStyle name="20% - Accent6 3 2 4 5" xfId="10022" xr:uid="{AD63DE07-0BC6-4414-8745-37A96FFE3BE8}"/>
    <cellStyle name="20% - Accent6 3 2 5" xfId="1897" xr:uid="{00000000-0005-0000-0000-000080030000}"/>
    <cellStyle name="20% - Accent6 3 2 5 2" xfId="4126" xr:uid="{00000000-0005-0000-0000-000081030000}"/>
    <cellStyle name="20% - Accent6 3 2 5 2 2" xfId="8348" xr:uid="{00000000-0005-0000-0000-000082030000}"/>
    <cellStyle name="20% - Accent6 3 2 5 2 2 2" xfId="25239" xr:uid="{5AEE40E4-87A3-46D1-ADFF-6AC904033DC0}"/>
    <cellStyle name="20% - Accent6 3 2 5 2 2 3" xfId="16798" xr:uid="{C4E855AD-6808-4E38-A63E-D983EB637C12}"/>
    <cellStyle name="20% - Accent6 3 2 5 2 3" xfId="21021" xr:uid="{BFEDB435-E554-4790-9705-ECCE245DD592}"/>
    <cellStyle name="20% - Accent6 3 2 5 2 4" xfId="12580" xr:uid="{AC0301EA-94E6-4804-A5B9-B37EA5B44FB0}"/>
    <cellStyle name="20% - Accent6 3 2 5 3" xfId="6203" xr:uid="{00000000-0005-0000-0000-000083030000}"/>
    <cellStyle name="20% - Accent6 3 2 5 3 2" xfId="23094" xr:uid="{071AF8BB-F62A-468C-8C55-582F40560948}"/>
    <cellStyle name="20% - Accent6 3 2 5 3 3" xfId="14653" xr:uid="{C35796FD-32C2-4ED5-9C14-61DA9DAA47D2}"/>
    <cellStyle name="20% - Accent6 3 2 5 4" xfId="18876" xr:uid="{073BEEC9-6CE1-44AC-A2D3-5ADC3D921729}"/>
    <cellStyle name="20% - Accent6 3 2 5 5" xfId="10435" xr:uid="{5EA2DA1A-702D-44EA-9629-3D042BCB176C}"/>
    <cellStyle name="20% - Accent6 3 2 6" xfId="2310" xr:uid="{00000000-0005-0000-0000-000084030000}"/>
    <cellStyle name="20% - Accent6 3 2 6 2" xfId="6616" xr:uid="{00000000-0005-0000-0000-000085030000}"/>
    <cellStyle name="20% - Accent6 3 2 6 2 2" xfId="23507" xr:uid="{14465534-7F3A-4D4D-91E9-DFA71CD5779B}"/>
    <cellStyle name="20% - Accent6 3 2 6 2 3" xfId="15066" xr:uid="{42C0E2A0-6C3D-4F59-A2C8-65D9106AF8FD}"/>
    <cellStyle name="20% - Accent6 3 2 6 3" xfId="19289" xr:uid="{74141196-2F25-41DE-AB36-05135583BB4A}"/>
    <cellStyle name="20% - Accent6 3 2 6 4" xfId="10848" xr:uid="{9F448E50-88F5-47D5-87DC-D2D064790A22}"/>
    <cellStyle name="20% - Accent6 3 2 7" xfId="4550" xr:uid="{00000000-0005-0000-0000-000086030000}"/>
    <cellStyle name="20% - Accent6 3 2 7 2" xfId="21441" xr:uid="{93D8039D-4EF8-4C96-84F7-4D3938327227}"/>
    <cellStyle name="20% - Accent6 3 2 7 3" xfId="13000" xr:uid="{031657DA-1184-4532-BBFD-70BD346C3C48}"/>
    <cellStyle name="20% - Accent6 3 2 8" xfId="17223" xr:uid="{82E74F45-199E-4AEE-9FE7-F64B8BB27846}"/>
    <cellStyle name="20% - Accent6 3 2 9" xfId="8782" xr:uid="{FB58B82F-27DB-4796-9902-DAEB84B07676}"/>
    <cellStyle name="20% - Accent6 3 3" xfId="615" xr:uid="{00000000-0005-0000-0000-000087030000}"/>
    <cellStyle name="20% - Accent6 3 3 2" xfId="2886" xr:uid="{00000000-0005-0000-0000-000088030000}"/>
    <cellStyle name="20% - Accent6 3 3 2 2" xfId="7108" xr:uid="{00000000-0005-0000-0000-000089030000}"/>
    <cellStyle name="20% - Accent6 3 3 2 2 2" xfId="23999" xr:uid="{1911FB7E-8E75-4334-AEC9-1076830C4A80}"/>
    <cellStyle name="20% - Accent6 3 3 2 2 3" xfId="15558" xr:uid="{96DDF8A9-E830-4DB5-8763-E347EB2D396F}"/>
    <cellStyle name="20% - Accent6 3 3 2 3" xfId="19781" xr:uid="{6769AF4C-A695-401F-A3A1-6356CDD3587C}"/>
    <cellStyle name="20% - Accent6 3 3 2 4" xfId="11340" xr:uid="{D56698CF-A1EF-4A73-B2E5-32BAC8C41B1E}"/>
    <cellStyle name="20% - Accent6 3 3 3" xfId="4963" xr:uid="{00000000-0005-0000-0000-00008A030000}"/>
    <cellStyle name="20% - Accent6 3 3 3 2" xfId="21854" xr:uid="{766EEB3A-CF47-48CC-995E-4C817C6A019F}"/>
    <cellStyle name="20% - Accent6 3 3 3 3" xfId="13413" xr:uid="{17232735-A1FD-44D3-A72E-126F2D4D624C}"/>
    <cellStyle name="20% - Accent6 3 3 4" xfId="17636" xr:uid="{AF068212-7634-4045-A198-F0107447BB36}"/>
    <cellStyle name="20% - Accent6 3 3 5" xfId="9195" xr:uid="{53E14D9B-B7EA-4E64-912C-3A84E800E9EF}"/>
    <cellStyle name="20% - Accent6 3 4" xfId="1068" xr:uid="{00000000-0005-0000-0000-00008B030000}"/>
    <cellStyle name="20% - Accent6 3 4 2" xfId="3299" xr:uid="{00000000-0005-0000-0000-00008C030000}"/>
    <cellStyle name="20% - Accent6 3 4 2 2" xfId="7521" xr:uid="{00000000-0005-0000-0000-00008D030000}"/>
    <cellStyle name="20% - Accent6 3 4 2 2 2" xfId="24412" xr:uid="{0BC2FF57-382E-4182-B7BB-74635A304C30}"/>
    <cellStyle name="20% - Accent6 3 4 2 2 3" xfId="15971" xr:uid="{BE232F10-1975-47AF-BF40-05CE5A8C10E5}"/>
    <cellStyle name="20% - Accent6 3 4 2 3" xfId="20194" xr:uid="{FB35A0A8-166C-4EFE-87DD-7A6F05B5DE1D}"/>
    <cellStyle name="20% - Accent6 3 4 2 4" xfId="11753" xr:uid="{0DCC6CA5-688A-454F-B9BD-74A987097FB5}"/>
    <cellStyle name="20% - Accent6 3 4 3" xfId="5376" xr:uid="{00000000-0005-0000-0000-00008E030000}"/>
    <cellStyle name="20% - Accent6 3 4 3 2" xfId="22267" xr:uid="{6D38E434-F43B-44DD-B2E0-79C5C4A38828}"/>
    <cellStyle name="20% - Accent6 3 4 3 3" xfId="13826" xr:uid="{9D61CA20-F836-49C2-8FFC-C50EEF0A080E}"/>
    <cellStyle name="20% - Accent6 3 4 4" xfId="18049" xr:uid="{AE1B5186-C589-447C-B542-E40E56F64381}"/>
    <cellStyle name="20% - Accent6 3 4 5" xfId="9608" xr:uid="{18F23F3B-9C34-4902-8040-B0163A99AB75}"/>
    <cellStyle name="20% - Accent6 3 5" xfId="1482" xr:uid="{00000000-0005-0000-0000-00008F030000}"/>
    <cellStyle name="20% - Accent6 3 5 2" xfId="3712" xr:uid="{00000000-0005-0000-0000-000090030000}"/>
    <cellStyle name="20% - Accent6 3 5 2 2" xfId="7934" xr:uid="{00000000-0005-0000-0000-000091030000}"/>
    <cellStyle name="20% - Accent6 3 5 2 2 2" xfId="24825" xr:uid="{F87A19F3-7D24-49B9-96B3-9214B18A6A30}"/>
    <cellStyle name="20% - Accent6 3 5 2 2 3" xfId="16384" xr:uid="{D03BD715-C9C3-42A7-8563-3AB5BA19398A}"/>
    <cellStyle name="20% - Accent6 3 5 2 3" xfId="20607" xr:uid="{2E4765ED-083D-4F5C-9E10-9F66EA9A9712}"/>
    <cellStyle name="20% - Accent6 3 5 2 4" xfId="12166" xr:uid="{C80E0C3D-1326-4834-9E0F-08E07506DAE8}"/>
    <cellStyle name="20% - Accent6 3 5 3" xfId="5789" xr:uid="{00000000-0005-0000-0000-000092030000}"/>
    <cellStyle name="20% - Accent6 3 5 3 2" xfId="22680" xr:uid="{F2D6DE88-9BB6-41CD-B8AF-72A5FEFC2770}"/>
    <cellStyle name="20% - Accent6 3 5 3 3" xfId="14239" xr:uid="{B22B4DBB-62E5-4DC9-AADA-22DF63FBE05E}"/>
    <cellStyle name="20% - Accent6 3 5 4" xfId="18462" xr:uid="{D7CC32B2-E856-41C4-AB82-E4D0A022AC43}"/>
    <cellStyle name="20% - Accent6 3 5 5" xfId="10021" xr:uid="{57B757E9-DADF-4F2F-A737-CA55C14B99B8}"/>
    <cellStyle name="20% - Accent6 3 6" xfId="1896" xr:uid="{00000000-0005-0000-0000-000093030000}"/>
    <cellStyle name="20% - Accent6 3 6 2" xfId="4125" xr:uid="{00000000-0005-0000-0000-000094030000}"/>
    <cellStyle name="20% - Accent6 3 6 2 2" xfId="8347" xr:uid="{00000000-0005-0000-0000-000095030000}"/>
    <cellStyle name="20% - Accent6 3 6 2 2 2" xfId="25238" xr:uid="{626BF979-3699-45E1-860A-E600CF3FDE45}"/>
    <cellStyle name="20% - Accent6 3 6 2 2 3" xfId="16797" xr:uid="{BD836BA3-1D6D-4D80-8D45-86F26162ADAA}"/>
    <cellStyle name="20% - Accent6 3 6 2 3" xfId="21020" xr:uid="{EE87E518-8807-4E63-A99E-8AF45F5669B5}"/>
    <cellStyle name="20% - Accent6 3 6 2 4" xfId="12579" xr:uid="{0A58C26B-FFFC-4841-91AC-FF70C84A418C}"/>
    <cellStyle name="20% - Accent6 3 6 3" xfId="6202" xr:uid="{00000000-0005-0000-0000-000096030000}"/>
    <cellStyle name="20% - Accent6 3 6 3 2" xfId="23093" xr:uid="{811FE32E-91EA-4432-9E54-D487D333FDC2}"/>
    <cellStyle name="20% - Accent6 3 6 3 3" xfId="14652" xr:uid="{21A6F066-9F11-4227-BC6C-9CD90B2E636F}"/>
    <cellStyle name="20% - Accent6 3 6 4" xfId="18875" xr:uid="{4E2B0419-E30D-425E-8611-6C0BAB8E7A5A}"/>
    <cellStyle name="20% - Accent6 3 6 5" xfId="10434" xr:uid="{948BC9CD-FCC1-432A-BEEE-F0841A8FC7CF}"/>
    <cellStyle name="20% - Accent6 3 7" xfId="2309" xr:uid="{00000000-0005-0000-0000-000097030000}"/>
    <cellStyle name="20% - Accent6 3 7 2" xfId="6615" xr:uid="{00000000-0005-0000-0000-000098030000}"/>
    <cellStyle name="20% - Accent6 3 7 2 2" xfId="23506" xr:uid="{FCB1D524-0196-4092-96EB-2543A3726AC5}"/>
    <cellStyle name="20% - Accent6 3 7 2 3" xfId="15065" xr:uid="{3E927372-0703-4597-8F07-ADD4B5C4CFF8}"/>
    <cellStyle name="20% - Accent6 3 7 3" xfId="19288" xr:uid="{AEF89F2F-A5DF-4EA4-BB32-9A6359E30125}"/>
    <cellStyle name="20% - Accent6 3 7 4" xfId="10847" xr:uid="{F8A87CD6-F8FE-4B67-931E-B2F5D23C4819}"/>
    <cellStyle name="20% - Accent6 3 8" xfId="4549" xr:uid="{00000000-0005-0000-0000-000099030000}"/>
    <cellStyle name="20% - Accent6 3 8 2" xfId="21440" xr:uid="{A1FD67E9-092B-491C-B9C2-5C9D69380490}"/>
    <cellStyle name="20% - Accent6 3 8 3" xfId="12999" xr:uid="{DC51275A-6099-4E15-8041-0362A876A4DE}"/>
    <cellStyle name="20% - Accent6 3 9" xfId="17222" xr:uid="{081291CA-BC7E-4910-AB16-9D2E0D5CC998}"/>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2 2 2" xfId="24001" xr:uid="{F8A43DC3-8926-41F8-BC6A-97119FED8CDD}"/>
    <cellStyle name="20% - Accent6 4 2 2 2 3" xfId="15560" xr:uid="{6432B950-32CD-46AC-A7B3-C5C82C530ADF}"/>
    <cellStyle name="20% - Accent6 4 2 2 3" xfId="19783" xr:uid="{B6DDC986-D469-40C7-9E4A-A8F3AC400B1B}"/>
    <cellStyle name="20% - Accent6 4 2 2 4" xfId="11342" xr:uid="{D718C121-FFD9-4F50-9880-C9CA0A938592}"/>
    <cellStyle name="20% - Accent6 4 2 3" xfId="4965" xr:uid="{00000000-0005-0000-0000-00009E030000}"/>
    <cellStyle name="20% - Accent6 4 2 3 2" xfId="21856" xr:uid="{36FDA423-99A4-4BE0-AA66-07AF8C9D610F}"/>
    <cellStyle name="20% - Accent6 4 2 3 3" xfId="13415" xr:uid="{5B1B270D-0044-46B6-A443-291274886461}"/>
    <cellStyle name="20% - Accent6 4 2 4" xfId="17638" xr:uid="{9F4AA129-2DC0-4BB3-AB02-82C79FC450FC}"/>
    <cellStyle name="20% - Accent6 4 2 5" xfId="9197" xr:uid="{3ABB9BC6-3637-425A-B1BD-C44398A4C705}"/>
    <cellStyle name="20% - Accent6 4 3" xfId="1070" xr:uid="{00000000-0005-0000-0000-00009F030000}"/>
    <cellStyle name="20% - Accent6 4 3 2" xfId="3301" xr:uid="{00000000-0005-0000-0000-0000A0030000}"/>
    <cellStyle name="20% - Accent6 4 3 2 2" xfId="7523" xr:uid="{00000000-0005-0000-0000-0000A1030000}"/>
    <cellStyle name="20% - Accent6 4 3 2 2 2" xfId="24414" xr:uid="{F7314E6C-B4A7-4144-8E21-5352D4627631}"/>
    <cellStyle name="20% - Accent6 4 3 2 2 3" xfId="15973" xr:uid="{C38E977E-F455-4A2C-808F-ACD55A32278B}"/>
    <cellStyle name="20% - Accent6 4 3 2 3" xfId="20196" xr:uid="{643B3E03-3C2F-4859-BD20-A2C6A210A688}"/>
    <cellStyle name="20% - Accent6 4 3 2 4" xfId="11755" xr:uid="{7B33D47B-EF41-452A-9F14-84D091418526}"/>
    <cellStyle name="20% - Accent6 4 3 3" xfId="5378" xr:uid="{00000000-0005-0000-0000-0000A2030000}"/>
    <cellStyle name="20% - Accent6 4 3 3 2" xfId="22269" xr:uid="{35B2D953-5B17-47E1-9413-4BCFB6D9EE07}"/>
    <cellStyle name="20% - Accent6 4 3 3 3" xfId="13828" xr:uid="{9E07E6DE-8F0C-443D-BED2-03698EBD66B9}"/>
    <cellStyle name="20% - Accent6 4 3 4" xfId="18051" xr:uid="{B11558C2-8155-4E31-8762-F17AFA8BBF13}"/>
    <cellStyle name="20% - Accent6 4 3 5" xfId="9610" xr:uid="{994A9FC8-E463-4721-B06D-F5BAC747FD74}"/>
    <cellStyle name="20% - Accent6 4 4" xfId="1484" xr:uid="{00000000-0005-0000-0000-0000A3030000}"/>
    <cellStyle name="20% - Accent6 4 4 2" xfId="3714" xr:uid="{00000000-0005-0000-0000-0000A4030000}"/>
    <cellStyle name="20% - Accent6 4 4 2 2" xfId="7936" xr:uid="{00000000-0005-0000-0000-0000A5030000}"/>
    <cellStyle name="20% - Accent6 4 4 2 2 2" xfId="24827" xr:uid="{F41FB5C1-DD83-4028-98DA-3309C9FE93A3}"/>
    <cellStyle name="20% - Accent6 4 4 2 2 3" xfId="16386" xr:uid="{34AD15B5-3F19-4B6B-B247-87FF3B947F62}"/>
    <cellStyle name="20% - Accent6 4 4 2 3" xfId="20609" xr:uid="{20441CD9-07BE-4833-AAC4-43E5DFBA8E58}"/>
    <cellStyle name="20% - Accent6 4 4 2 4" xfId="12168" xr:uid="{CC089ECC-FE20-44CB-B1A7-2AD066663616}"/>
    <cellStyle name="20% - Accent6 4 4 3" xfId="5791" xr:uid="{00000000-0005-0000-0000-0000A6030000}"/>
    <cellStyle name="20% - Accent6 4 4 3 2" xfId="22682" xr:uid="{2BF7442A-0066-49EB-B585-119A800329E4}"/>
    <cellStyle name="20% - Accent6 4 4 3 3" xfId="14241" xr:uid="{3C24C0B8-8D43-4089-BF59-A858C4AD097B}"/>
    <cellStyle name="20% - Accent6 4 4 4" xfId="18464" xr:uid="{EE38939C-FFEE-4AFA-A087-AB9C163A3169}"/>
    <cellStyle name="20% - Accent6 4 4 5" xfId="10023" xr:uid="{DBC775F6-A00C-43A0-8BC9-0E08AB2F5032}"/>
    <cellStyle name="20% - Accent6 4 5" xfId="1898" xr:uid="{00000000-0005-0000-0000-0000A7030000}"/>
    <cellStyle name="20% - Accent6 4 5 2" xfId="4127" xr:uid="{00000000-0005-0000-0000-0000A8030000}"/>
    <cellStyle name="20% - Accent6 4 5 2 2" xfId="8349" xr:uid="{00000000-0005-0000-0000-0000A9030000}"/>
    <cellStyle name="20% - Accent6 4 5 2 2 2" xfId="25240" xr:uid="{C220B4AB-46BB-46E4-9B4A-8068AB9CC21E}"/>
    <cellStyle name="20% - Accent6 4 5 2 2 3" xfId="16799" xr:uid="{98C77287-79E7-4DEB-884A-916657362AC9}"/>
    <cellStyle name="20% - Accent6 4 5 2 3" xfId="21022" xr:uid="{D193AFC7-7516-4967-9FF4-E999EBE19AA3}"/>
    <cellStyle name="20% - Accent6 4 5 2 4" xfId="12581" xr:uid="{5630CD3A-6AD9-45C6-8CB5-CFF95EE0B84B}"/>
    <cellStyle name="20% - Accent6 4 5 3" xfId="6204" xr:uid="{00000000-0005-0000-0000-0000AA030000}"/>
    <cellStyle name="20% - Accent6 4 5 3 2" xfId="23095" xr:uid="{9DD9EC71-34AA-4D62-A63C-79948FE016F5}"/>
    <cellStyle name="20% - Accent6 4 5 3 3" xfId="14654" xr:uid="{024C3735-F381-46B0-ABE1-490FEAFF1BD2}"/>
    <cellStyle name="20% - Accent6 4 5 4" xfId="18877" xr:uid="{9D46F9D2-FF24-4757-9A9F-21527F3D35A4}"/>
    <cellStyle name="20% - Accent6 4 5 5" xfId="10436" xr:uid="{16B44ACA-BA63-40FD-BB0E-6D614BB8217F}"/>
    <cellStyle name="20% - Accent6 4 6" xfId="2311" xr:uid="{00000000-0005-0000-0000-0000AB030000}"/>
    <cellStyle name="20% - Accent6 4 6 2" xfId="6617" xr:uid="{00000000-0005-0000-0000-0000AC030000}"/>
    <cellStyle name="20% - Accent6 4 6 2 2" xfId="23508" xr:uid="{FEA0A1A5-F89D-45B5-A6FB-72E7934F0C4B}"/>
    <cellStyle name="20% - Accent6 4 6 2 3" xfId="15067" xr:uid="{EBFA8B5A-FE5F-4DB5-9AF5-2786CF42F78E}"/>
    <cellStyle name="20% - Accent6 4 6 3" xfId="19290" xr:uid="{AEBB6200-5E4B-4AF4-8F97-08882F5B5203}"/>
    <cellStyle name="20% - Accent6 4 6 4" xfId="10849" xr:uid="{9C13E081-A431-4454-91FC-624C818FF7C1}"/>
    <cellStyle name="20% - Accent6 4 7" xfId="4551" xr:uid="{00000000-0005-0000-0000-0000AD030000}"/>
    <cellStyle name="20% - Accent6 4 7 2" xfId="21442" xr:uid="{BFA2A4C0-805B-475D-B162-15A0EBC93281}"/>
    <cellStyle name="20% - Accent6 4 7 3" xfId="13001" xr:uid="{E5C41ABE-7C63-4A4C-9FCE-926219C85D29}"/>
    <cellStyle name="20% - Accent6 4 8" xfId="17224" xr:uid="{81AC302B-8281-4C7D-9084-A90AFD9AC577}"/>
    <cellStyle name="20% - Accent6 4 9" xfId="8783" xr:uid="{524DDFF0-DF9D-4BC0-81D2-56956D53788E}"/>
    <cellStyle name="20% - Accent6 5" xfId="610" xr:uid="{00000000-0005-0000-0000-0000AE030000}"/>
    <cellStyle name="20% - Accent6 5 2" xfId="2881" xr:uid="{00000000-0005-0000-0000-0000AF030000}"/>
    <cellStyle name="20% - Accent6 5 2 2" xfId="7103" xr:uid="{00000000-0005-0000-0000-0000B0030000}"/>
    <cellStyle name="20% - Accent6 5 2 2 2" xfId="23994" xr:uid="{CA122E17-1442-4892-881D-9A7A626CB2BB}"/>
    <cellStyle name="20% - Accent6 5 2 2 3" xfId="15553" xr:uid="{25B812A8-52C0-4B2D-BC94-7B5A84D41A01}"/>
    <cellStyle name="20% - Accent6 5 2 3" xfId="19776" xr:uid="{AF6202E4-B037-4BE6-A1C8-71D445983485}"/>
    <cellStyle name="20% - Accent6 5 2 4" xfId="11335" xr:uid="{E4A78027-6CEF-4A9B-94BA-5D0ECD6A7A60}"/>
    <cellStyle name="20% - Accent6 5 3" xfId="4958" xr:uid="{00000000-0005-0000-0000-0000B1030000}"/>
    <cellStyle name="20% - Accent6 5 3 2" xfId="21849" xr:uid="{255468A2-E2DD-4757-81D3-56E07B9FECC7}"/>
    <cellStyle name="20% - Accent6 5 3 3" xfId="13408" xr:uid="{1934E84A-4DF8-4115-8BF6-07E288CDC6AE}"/>
    <cellStyle name="20% - Accent6 5 4" xfId="17631" xr:uid="{9F653BDB-B718-4D10-A284-A860114C6082}"/>
    <cellStyle name="20% - Accent6 5 5" xfId="9190" xr:uid="{8308A7BA-FD40-4514-855E-BABD3B313AB4}"/>
    <cellStyle name="20% - Accent6 6" xfId="1063" xr:uid="{00000000-0005-0000-0000-0000B2030000}"/>
    <cellStyle name="20% - Accent6 6 2" xfId="3294" xr:uid="{00000000-0005-0000-0000-0000B3030000}"/>
    <cellStyle name="20% - Accent6 6 2 2" xfId="7516" xr:uid="{00000000-0005-0000-0000-0000B4030000}"/>
    <cellStyle name="20% - Accent6 6 2 2 2" xfId="24407" xr:uid="{BCE2CB7D-D650-4A22-9D1A-4BBDE5FF1972}"/>
    <cellStyle name="20% - Accent6 6 2 2 3" xfId="15966" xr:uid="{9D901C50-C26D-43D9-B2C4-5A35050F9578}"/>
    <cellStyle name="20% - Accent6 6 2 3" xfId="20189" xr:uid="{E56EFAAC-7164-4159-8D9F-7AD76E668CE5}"/>
    <cellStyle name="20% - Accent6 6 2 4" xfId="11748" xr:uid="{58D62869-287E-4DEC-A6EF-3F5A84721F70}"/>
    <cellStyle name="20% - Accent6 6 3" xfId="5371" xr:uid="{00000000-0005-0000-0000-0000B5030000}"/>
    <cellStyle name="20% - Accent6 6 3 2" xfId="22262" xr:uid="{EDBF04C4-4C43-406A-B1B1-021197AF70BF}"/>
    <cellStyle name="20% - Accent6 6 3 3" xfId="13821" xr:uid="{47B3A3B7-FC6F-44A8-A147-0881CD37EBDA}"/>
    <cellStyle name="20% - Accent6 6 4" xfId="18044" xr:uid="{9B65B255-518E-4F2C-B48D-5EFA20676CE0}"/>
    <cellStyle name="20% - Accent6 6 5" xfId="9603" xr:uid="{BA0E5FB0-D0C7-4361-8C21-60D172244667}"/>
    <cellStyle name="20% - Accent6 7" xfId="1477" xr:uid="{00000000-0005-0000-0000-0000B6030000}"/>
    <cellStyle name="20% - Accent6 7 2" xfId="3707" xr:uid="{00000000-0005-0000-0000-0000B7030000}"/>
    <cellStyle name="20% - Accent6 7 2 2" xfId="7929" xr:uid="{00000000-0005-0000-0000-0000B8030000}"/>
    <cellStyle name="20% - Accent6 7 2 2 2" xfId="24820" xr:uid="{42380512-646E-4D5E-9C9B-02183E5F68C8}"/>
    <cellStyle name="20% - Accent6 7 2 2 3" xfId="16379" xr:uid="{3D4B5467-013A-4266-9D26-EB39D9234E19}"/>
    <cellStyle name="20% - Accent6 7 2 3" xfId="20602" xr:uid="{770F3DFD-E7B3-491E-B73C-2877497E3B63}"/>
    <cellStyle name="20% - Accent6 7 2 4" xfId="12161" xr:uid="{D9ABC56E-386C-4322-953F-808A52704575}"/>
    <cellStyle name="20% - Accent6 7 3" xfId="5784" xr:uid="{00000000-0005-0000-0000-0000B9030000}"/>
    <cellStyle name="20% - Accent6 7 3 2" xfId="22675" xr:uid="{55C7E620-FB87-42B8-94D3-0AD5D76C6306}"/>
    <cellStyle name="20% - Accent6 7 3 3" xfId="14234" xr:uid="{E3DCE028-72AC-4B75-98E7-4B53F0639E7A}"/>
    <cellStyle name="20% - Accent6 7 4" xfId="18457" xr:uid="{4205DE03-1881-4AEA-AA3E-DF109B249534}"/>
    <cellStyle name="20% - Accent6 7 5" xfId="10016" xr:uid="{65D4FDCD-1910-44CE-AA8D-E66FAE4C406E}"/>
    <cellStyle name="20% - Accent6 8" xfId="1891" xr:uid="{00000000-0005-0000-0000-0000BA030000}"/>
    <cellStyle name="20% - Accent6 8 2" xfId="4120" xr:uid="{00000000-0005-0000-0000-0000BB030000}"/>
    <cellStyle name="20% - Accent6 8 2 2" xfId="8342" xr:uid="{00000000-0005-0000-0000-0000BC030000}"/>
    <cellStyle name="20% - Accent6 8 2 2 2" xfId="25233" xr:uid="{EBDFBCEC-7204-49EB-A556-22B9C74970EB}"/>
    <cellStyle name="20% - Accent6 8 2 2 3" xfId="16792" xr:uid="{163138D5-52F8-419A-ACD6-3E76841E2D70}"/>
    <cellStyle name="20% - Accent6 8 2 3" xfId="21015" xr:uid="{120CC700-CFE1-4616-A57E-3DA5D51FD3B9}"/>
    <cellStyle name="20% - Accent6 8 2 4" xfId="12574" xr:uid="{A4E012EB-17F5-4439-98DD-16B217BF8B1B}"/>
    <cellStyle name="20% - Accent6 8 3" xfId="6197" xr:uid="{00000000-0005-0000-0000-0000BD030000}"/>
    <cellStyle name="20% - Accent6 8 3 2" xfId="23088" xr:uid="{7C847067-E02E-4672-9914-9F11CFC26BCE}"/>
    <cellStyle name="20% - Accent6 8 3 3" xfId="14647" xr:uid="{8A55ABFF-2679-45C1-939E-501F5756F126}"/>
    <cellStyle name="20% - Accent6 8 4" xfId="18870" xr:uid="{DCDE9403-734C-4AB0-9A27-92D2053FBC09}"/>
    <cellStyle name="20% - Accent6 8 5" xfId="10429" xr:uid="{7B543A60-C569-4025-8422-10D307E8F7CF}"/>
    <cellStyle name="20% - Accent6 9" xfId="2304" xr:uid="{00000000-0005-0000-0000-0000BE030000}"/>
    <cellStyle name="20% - Accent6 9 2" xfId="6610" xr:uid="{00000000-0005-0000-0000-0000BF030000}"/>
    <cellStyle name="20% - Accent6 9 2 2" xfId="23501" xr:uid="{C1A548A6-BABD-4337-9182-964D578C9858}"/>
    <cellStyle name="20% - Accent6 9 2 3" xfId="15060" xr:uid="{2BBA136E-DE12-4663-A3F3-EB14D00F3C74}"/>
    <cellStyle name="20% - Accent6 9 3" xfId="19283" xr:uid="{F749AC9E-BAC7-433D-A168-345EAB729CE7}"/>
    <cellStyle name="20% - Accent6 9 4" xfId="10842" xr:uid="{2D020518-4BFE-4FDA-A226-C76C3A0DEB8A}"/>
    <cellStyle name="40% - Accent1" xfId="49" builtinId="31" customBuiltin="1"/>
    <cellStyle name="40% - Accent1 10" xfId="4552" xr:uid="{00000000-0005-0000-0000-0000C1030000}"/>
    <cellStyle name="40% - Accent1 10 2" xfId="21443" xr:uid="{1E066469-2DC8-4C3D-8A3C-5DC7174F349E}"/>
    <cellStyle name="40% - Accent1 10 3" xfId="13002" xr:uid="{838D1657-AAF6-4997-862B-B2E65003600D}"/>
    <cellStyle name="40% - Accent1 11" xfId="17225" xr:uid="{ED2C2FAB-8176-4582-A7A6-4CB815D65D5C}"/>
    <cellStyle name="40% - Accent1 12" xfId="8784" xr:uid="{35FF98B7-5BC7-42BA-998E-15F95F367A70}"/>
    <cellStyle name="40% - Accent1 2" xfId="50" xr:uid="{00000000-0005-0000-0000-0000C2030000}"/>
    <cellStyle name="40% - Accent1 2 10" xfId="17226" xr:uid="{1E048488-2B0E-4BE3-830A-B47DE1AEE306}"/>
    <cellStyle name="40% - Accent1 2 11" xfId="8785" xr:uid="{F7D806F5-87A4-49A5-B752-81501913D8C3}"/>
    <cellStyle name="40% - Accent1 2 2" xfId="51" xr:uid="{00000000-0005-0000-0000-0000C3030000}"/>
    <cellStyle name="40% - Accent1 2 2 10" xfId="8786" xr:uid="{E98BCAE2-742A-4BDE-9CCA-6B981C15B392}"/>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2 2 2" xfId="24005" xr:uid="{181254FF-8FDE-4B29-8926-87714180AAD5}"/>
    <cellStyle name="40% - Accent1 2 2 2 2 2 2 3" xfId="15564" xr:uid="{1378E33D-7886-4154-9B8B-BF83F0BC74F8}"/>
    <cellStyle name="40% - Accent1 2 2 2 2 2 3" xfId="19787" xr:uid="{262676CF-7327-41FD-89B2-F6A914B1A195}"/>
    <cellStyle name="40% - Accent1 2 2 2 2 2 4" xfId="11346" xr:uid="{6859EB3C-A679-463A-8365-6BEB7635595C}"/>
    <cellStyle name="40% - Accent1 2 2 2 2 3" xfId="4969" xr:uid="{00000000-0005-0000-0000-0000C8030000}"/>
    <cellStyle name="40% - Accent1 2 2 2 2 3 2" xfId="21860" xr:uid="{F0BA9819-A28F-4C4B-BD42-635F41649410}"/>
    <cellStyle name="40% - Accent1 2 2 2 2 3 3" xfId="13419" xr:uid="{D1F39F85-62B4-48AD-B5CC-1A44222EA12F}"/>
    <cellStyle name="40% - Accent1 2 2 2 2 4" xfId="17642" xr:uid="{61807827-993E-4A5D-866F-8C9CA553FF41}"/>
    <cellStyle name="40% - Accent1 2 2 2 2 5" xfId="9201" xr:uid="{32EF47DD-C12A-4811-8794-942B8D6E4843}"/>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2 2 2" xfId="24418" xr:uid="{17560F54-3F25-455B-ABB5-6D2CBF854449}"/>
    <cellStyle name="40% - Accent1 2 2 2 3 2 2 3" xfId="15977" xr:uid="{149E76CD-D3FB-4779-93CA-B0406F27802F}"/>
    <cellStyle name="40% - Accent1 2 2 2 3 2 3" xfId="20200" xr:uid="{E863D23D-68F6-4C8F-B93C-86E9F687F3F1}"/>
    <cellStyle name="40% - Accent1 2 2 2 3 2 4" xfId="11759" xr:uid="{D5003AE3-5CF6-4A99-8F8D-A654E32438A4}"/>
    <cellStyle name="40% - Accent1 2 2 2 3 3" xfId="5382" xr:uid="{00000000-0005-0000-0000-0000CC030000}"/>
    <cellStyle name="40% - Accent1 2 2 2 3 3 2" xfId="22273" xr:uid="{2B29725C-6098-457F-AC13-BB88F8C7E171}"/>
    <cellStyle name="40% - Accent1 2 2 2 3 3 3" xfId="13832" xr:uid="{1E1A0653-17B3-42FC-A765-1C7AB65A7348}"/>
    <cellStyle name="40% - Accent1 2 2 2 3 4" xfId="18055" xr:uid="{2EE9FD6E-1E9C-4006-859E-6FACCB5554AC}"/>
    <cellStyle name="40% - Accent1 2 2 2 3 5" xfId="9614" xr:uid="{2D087EA4-338B-4910-8462-AF5211FF23FC}"/>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2 2 2" xfId="24831" xr:uid="{D9E627EC-8E35-4E73-BBF1-4284F84152E3}"/>
    <cellStyle name="40% - Accent1 2 2 2 4 2 2 3" xfId="16390" xr:uid="{9BDDBB2C-B021-4C38-9B77-4DD6F4AB3929}"/>
    <cellStyle name="40% - Accent1 2 2 2 4 2 3" xfId="20613" xr:uid="{08EF1161-F669-4BCC-8E61-25618DDDD84A}"/>
    <cellStyle name="40% - Accent1 2 2 2 4 2 4" xfId="12172" xr:uid="{314ADEA1-4404-45A0-A5F8-E3B4DA8C64BD}"/>
    <cellStyle name="40% - Accent1 2 2 2 4 3" xfId="5795" xr:uid="{00000000-0005-0000-0000-0000D0030000}"/>
    <cellStyle name="40% - Accent1 2 2 2 4 3 2" xfId="22686" xr:uid="{11B34F14-88EF-451E-8351-1D70862CC275}"/>
    <cellStyle name="40% - Accent1 2 2 2 4 3 3" xfId="14245" xr:uid="{45AC0100-CDD9-4BD3-8233-CD96621101EF}"/>
    <cellStyle name="40% - Accent1 2 2 2 4 4" xfId="18468" xr:uid="{106662BC-0528-4D59-B948-F87E840C7E5B}"/>
    <cellStyle name="40% - Accent1 2 2 2 4 5" xfId="10027" xr:uid="{F9E0F5A0-55D6-427E-9EF9-97C0AD3289F4}"/>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2 2 2" xfId="25244" xr:uid="{2AD9DC71-D5DC-4AE2-9AE4-7ABCEC07A8BD}"/>
    <cellStyle name="40% - Accent1 2 2 2 5 2 2 3" xfId="16803" xr:uid="{58FC343B-F06C-4F0F-A453-9B2D6A4A949D}"/>
    <cellStyle name="40% - Accent1 2 2 2 5 2 3" xfId="21026" xr:uid="{7AD1F9E3-FD34-4860-8817-2139ACC46B4A}"/>
    <cellStyle name="40% - Accent1 2 2 2 5 2 4" xfId="12585" xr:uid="{77D74929-0D31-4B2A-8AB5-31967E777F7C}"/>
    <cellStyle name="40% - Accent1 2 2 2 5 3" xfId="6208" xr:uid="{00000000-0005-0000-0000-0000D4030000}"/>
    <cellStyle name="40% - Accent1 2 2 2 5 3 2" xfId="23099" xr:uid="{646E833C-CE88-4B19-B34D-29DEBD13894B}"/>
    <cellStyle name="40% - Accent1 2 2 2 5 3 3" xfId="14658" xr:uid="{3F0DBFF9-8609-4A13-9552-4A269DD72EF6}"/>
    <cellStyle name="40% - Accent1 2 2 2 5 4" xfId="18881" xr:uid="{DF52B82C-AE21-414E-856D-F7616402902E}"/>
    <cellStyle name="40% - Accent1 2 2 2 5 5" xfId="10440" xr:uid="{7D470FC2-3509-4647-91D4-0F255599D82C}"/>
    <cellStyle name="40% - Accent1 2 2 2 6" xfId="2315" xr:uid="{00000000-0005-0000-0000-0000D5030000}"/>
    <cellStyle name="40% - Accent1 2 2 2 6 2" xfId="6621" xr:uid="{00000000-0005-0000-0000-0000D6030000}"/>
    <cellStyle name="40% - Accent1 2 2 2 6 2 2" xfId="23512" xr:uid="{AEC3B7EB-0EED-4AFF-AF34-872FA5128B1A}"/>
    <cellStyle name="40% - Accent1 2 2 2 6 2 3" xfId="15071" xr:uid="{DEA40D80-BE3F-4D3B-9722-DB054EA38347}"/>
    <cellStyle name="40% - Accent1 2 2 2 6 3" xfId="19294" xr:uid="{B8CDE48D-25EF-421A-BF07-D4820F89BF4F}"/>
    <cellStyle name="40% - Accent1 2 2 2 6 4" xfId="10853" xr:uid="{3D4B3252-FBD0-4E0C-B6DC-A1CCA79FE236}"/>
    <cellStyle name="40% - Accent1 2 2 2 7" xfId="4555" xr:uid="{00000000-0005-0000-0000-0000D7030000}"/>
    <cellStyle name="40% - Accent1 2 2 2 7 2" xfId="21446" xr:uid="{04462924-5970-4ECE-B90A-9FB415298CB9}"/>
    <cellStyle name="40% - Accent1 2 2 2 7 3" xfId="13005" xr:uid="{B3A800D6-519C-4B27-A98F-D800017C8817}"/>
    <cellStyle name="40% - Accent1 2 2 2 8" xfId="17228" xr:uid="{1CD21CE6-FD54-4F41-BA25-C760F442C7E6}"/>
    <cellStyle name="40% - Accent1 2 2 2 9" xfId="8787" xr:uid="{F8AAE263-89F5-4833-9CEF-1AD275CC3106}"/>
    <cellStyle name="40% - Accent1 2 2 3" xfId="620" xr:uid="{00000000-0005-0000-0000-0000D8030000}"/>
    <cellStyle name="40% - Accent1 2 2 3 2" xfId="2891" xr:uid="{00000000-0005-0000-0000-0000D9030000}"/>
    <cellStyle name="40% - Accent1 2 2 3 2 2" xfId="7113" xr:uid="{00000000-0005-0000-0000-0000DA030000}"/>
    <cellStyle name="40% - Accent1 2 2 3 2 2 2" xfId="24004" xr:uid="{CBB91896-7DF8-4034-93DB-E625E02422BE}"/>
    <cellStyle name="40% - Accent1 2 2 3 2 2 3" xfId="15563" xr:uid="{CA7A9128-8D51-4516-8CCF-5568AEBF8C01}"/>
    <cellStyle name="40% - Accent1 2 2 3 2 3" xfId="19786" xr:uid="{6CC53FC5-7BA6-4C48-9279-9AA6D28302FE}"/>
    <cellStyle name="40% - Accent1 2 2 3 2 4" xfId="11345" xr:uid="{37FB8AEB-57A6-4297-85FB-6C1EE1128EEB}"/>
    <cellStyle name="40% - Accent1 2 2 3 3" xfId="4968" xr:uid="{00000000-0005-0000-0000-0000DB030000}"/>
    <cellStyle name="40% - Accent1 2 2 3 3 2" xfId="21859" xr:uid="{5F710030-E23D-41DF-AB53-BBAB2BE908AC}"/>
    <cellStyle name="40% - Accent1 2 2 3 3 3" xfId="13418" xr:uid="{30862B60-7197-456B-B753-69F55B85AAEE}"/>
    <cellStyle name="40% - Accent1 2 2 3 4" xfId="17641" xr:uid="{48BE1AA1-C0DA-4EA5-8670-6473F9683DC6}"/>
    <cellStyle name="40% - Accent1 2 2 3 5" xfId="9200" xr:uid="{FAD5B7BF-4C59-4194-B1A0-4E2DE271BD06}"/>
    <cellStyle name="40% - Accent1 2 2 4" xfId="1073" xr:uid="{00000000-0005-0000-0000-0000DC030000}"/>
    <cellStyle name="40% - Accent1 2 2 4 2" xfId="3304" xr:uid="{00000000-0005-0000-0000-0000DD030000}"/>
    <cellStyle name="40% - Accent1 2 2 4 2 2" xfId="7526" xr:uid="{00000000-0005-0000-0000-0000DE030000}"/>
    <cellStyle name="40% - Accent1 2 2 4 2 2 2" xfId="24417" xr:uid="{950F4F57-48BF-4B98-A282-824E91A3A7ED}"/>
    <cellStyle name="40% - Accent1 2 2 4 2 2 3" xfId="15976" xr:uid="{5F67745A-79B3-481F-9368-F46A1CF2BB4A}"/>
    <cellStyle name="40% - Accent1 2 2 4 2 3" xfId="20199" xr:uid="{3813576A-8804-4DB2-94A7-BEDFEF1D1583}"/>
    <cellStyle name="40% - Accent1 2 2 4 2 4" xfId="11758" xr:uid="{1C22F428-A8BB-456E-9EB7-7E3A86F05FE5}"/>
    <cellStyle name="40% - Accent1 2 2 4 3" xfId="5381" xr:uid="{00000000-0005-0000-0000-0000DF030000}"/>
    <cellStyle name="40% - Accent1 2 2 4 3 2" xfId="22272" xr:uid="{A47AFB5E-FF65-4D66-9BA0-DA7DE0370835}"/>
    <cellStyle name="40% - Accent1 2 2 4 3 3" xfId="13831" xr:uid="{A6263B58-53D0-4F09-8318-4E7E2BD71580}"/>
    <cellStyle name="40% - Accent1 2 2 4 4" xfId="18054" xr:uid="{B83778DB-E7FB-4180-A87F-E9F7C21D85C9}"/>
    <cellStyle name="40% - Accent1 2 2 4 5" xfId="9613" xr:uid="{F79EE7BA-0477-4B67-895E-6DFB934801FE}"/>
    <cellStyle name="40% - Accent1 2 2 5" xfId="1487" xr:uid="{00000000-0005-0000-0000-0000E0030000}"/>
    <cellStyle name="40% - Accent1 2 2 5 2" xfId="3717" xr:uid="{00000000-0005-0000-0000-0000E1030000}"/>
    <cellStyle name="40% - Accent1 2 2 5 2 2" xfId="7939" xr:uid="{00000000-0005-0000-0000-0000E2030000}"/>
    <cellStyle name="40% - Accent1 2 2 5 2 2 2" xfId="24830" xr:uid="{3C9598ED-1F79-4C2B-A46F-15E422B0083E}"/>
    <cellStyle name="40% - Accent1 2 2 5 2 2 3" xfId="16389" xr:uid="{9DDB0E5E-960E-4FE6-97C8-2AD8352E97F6}"/>
    <cellStyle name="40% - Accent1 2 2 5 2 3" xfId="20612" xr:uid="{51EFC619-C4FE-4BF4-A7CC-455B22E417F1}"/>
    <cellStyle name="40% - Accent1 2 2 5 2 4" xfId="12171" xr:uid="{7E7DA0CE-1E8F-45F8-9F1C-C7F0D85818E9}"/>
    <cellStyle name="40% - Accent1 2 2 5 3" xfId="5794" xr:uid="{00000000-0005-0000-0000-0000E3030000}"/>
    <cellStyle name="40% - Accent1 2 2 5 3 2" xfId="22685" xr:uid="{FA9F0F81-C959-4F5A-8197-F230074CDC4C}"/>
    <cellStyle name="40% - Accent1 2 2 5 3 3" xfId="14244" xr:uid="{AA65B8FD-D2D0-4229-93CC-D8A68DB19604}"/>
    <cellStyle name="40% - Accent1 2 2 5 4" xfId="18467" xr:uid="{2841677B-D946-414C-9A07-24350534716A}"/>
    <cellStyle name="40% - Accent1 2 2 5 5" xfId="10026" xr:uid="{475E7B09-31CC-44BE-BD2B-500FB1BC2D2A}"/>
    <cellStyle name="40% - Accent1 2 2 6" xfId="1901" xr:uid="{00000000-0005-0000-0000-0000E4030000}"/>
    <cellStyle name="40% - Accent1 2 2 6 2" xfId="4130" xr:uid="{00000000-0005-0000-0000-0000E5030000}"/>
    <cellStyle name="40% - Accent1 2 2 6 2 2" xfId="8352" xr:uid="{00000000-0005-0000-0000-0000E6030000}"/>
    <cellStyle name="40% - Accent1 2 2 6 2 2 2" xfId="25243" xr:uid="{09289201-4EC6-4A94-974F-8AF1328C845E}"/>
    <cellStyle name="40% - Accent1 2 2 6 2 2 3" xfId="16802" xr:uid="{A01568B3-9B6F-416C-B471-4384D67B8F20}"/>
    <cellStyle name="40% - Accent1 2 2 6 2 3" xfId="21025" xr:uid="{13EE85C9-D67F-4A13-A16C-8E9CDFC4D1A0}"/>
    <cellStyle name="40% - Accent1 2 2 6 2 4" xfId="12584" xr:uid="{1F53273E-0674-4E86-A65E-020A769F15D1}"/>
    <cellStyle name="40% - Accent1 2 2 6 3" xfId="6207" xr:uid="{00000000-0005-0000-0000-0000E7030000}"/>
    <cellStyle name="40% - Accent1 2 2 6 3 2" xfId="23098" xr:uid="{EF7C4D4B-1705-4895-88FC-1B98D1D04948}"/>
    <cellStyle name="40% - Accent1 2 2 6 3 3" xfId="14657" xr:uid="{24478A3C-D8BA-4DC3-A677-73D014E3BDF0}"/>
    <cellStyle name="40% - Accent1 2 2 6 4" xfId="18880" xr:uid="{DBB2E70C-7ACA-4F9E-82AE-F492E0D42C10}"/>
    <cellStyle name="40% - Accent1 2 2 6 5" xfId="10439" xr:uid="{48C3BA6A-FE93-4D86-9722-EE2F5505AE6B}"/>
    <cellStyle name="40% - Accent1 2 2 7" xfId="2314" xr:uid="{00000000-0005-0000-0000-0000E8030000}"/>
    <cellStyle name="40% - Accent1 2 2 7 2" xfId="6620" xr:uid="{00000000-0005-0000-0000-0000E9030000}"/>
    <cellStyle name="40% - Accent1 2 2 7 2 2" xfId="23511" xr:uid="{8D1F25ED-A58D-459E-84AC-3F318C75B525}"/>
    <cellStyle name="40% - Accent1 2 2 7 2 3" xfId="15070" xr:uid="{CF2DF855-5057-4B75-8AC6-56F06B57A70F}"/>
    <cellStyle name="40% - Accent1 2 2 7 3" xfId="19293" xr:uid="{0CDC29A7-14CE-4FEA-A7CF-AAC99E7B6D17}"/>
    <cellStyle name="40% - Accent1 2 2 7 4" xfId="10852" xr:uid="{F29B812E-0A27-4C67-918D-E6ECBD21DD4F}"/>
    <cellStyle name="40% - Accent1 2 2 8" xfId="4554" xr:uid="{00000000-0005-0000-0000-0000EA030000}"/>
    <cellStyle name="40% - Accent1 2 2 8 2" xfId="21445" xr:uid="{F6EFFA3B-6C2E-4DC3-B938-43B9AD016693}"/>
    <cellStyle name="40% - Accent1 2 2 8 3" xfId="13004" xr:uid="{EE9DB64A-B120-4096-AC54-9CE3ED5FDA09}"/>
    <cellStyle name="40% - Accent1 2 2 9" xfId="17227" xr:uid="{AED92616-1E3D-4BD1-B6E2-229FA52F76F1}"/>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2 2 2" xfId="24006" xr:uid="{D57C73D6-5993-4B2D-A0E3-0AA822646ABD}"/>
    <cellStyle name="40% - Accent1 2 3 2 2 2 3" xfId="15565" xr:uid="{3FB9ECC6-60D2-4FC9-8DFF-894A93ED82AC}"/>
    <cellStyle name="40% - Accent1 2 3 2 2 3" xfId="19788" xr:uid="{08A8182B-793D-4FA6-B4ED-51B57D3FDEBE}"/>
    <cellStyle name="40% - Accent1 2 3 2 2 4" xfId="11347" xr:uid="{10D38D55-C737-44D7-9BF4-F9C87CDA8E96}"/>
    <cellStyle name="40% - Accent1 2 3 2 3" xfId="4970" xr:uid="{00000000-0005-0000-0000-0000EF030000}"/>
    <cellStyle name="40% - Accent1 2 3 2 3 2" xfId="21861" xr:uid="{5B8052A1-7DC7-4A42-AD6B-2D155179E673}"/>
    <cellStyle name="40% - Accent1 2 3 2 3 3" xfId="13420" xr:uid="{1EED6D5A-0659-47D8-A1C1-19D823EDA662}"/>
    <cellStyle name="40% - Accent1 2 3 2 4" xfId="17643" xr:uid="{469E5936-FE14-4D7D-90EE-8AC7B682C283}"/>
    <cellStyle name="40% - Accent1 2 3 2 5" xfId="9202" xr:uid="{9530959B-867C-451E-B60F-BA01D515AFAE}"/>
    <cellStyle name="40% - Accent1 2 3 3" xfId="1075" xr:uid="{00000000-0005-0000-0000-0000F0030000}"/>
    <cellStyle name="40% - Accent1 2 3 3 2" xfId="3306" xr:uid="{00000000-0005-0000-0000-0000F1030000}"/>
    <cellStyle name="40% - Accent1 2 3 3 2 2" xfId="7528" xr:uid="{00000000-0005-0000-0000-0000F2030000}"/>
    <cellStyle name="40% - Accent1 2 3 3 2 2 2" xfId="24419" xr:uid="{A8D209E8-2696-4531-A602-0CCE8F0AB9AA}"/>
    <cellStyle name="40% - Accent1 2 3 3 2 2 3" xfId="15978" xr:uid="{C9FC8A08-A6C2-473D-8528-4504B4B51F9F}"/>
    <cellStyle name="40% - Accent1 2 3 3 2 3" xfId="20201" xr:uid="{7A80A8F7-0E50-4CEF-8EB4-0C16CDB23647}"/>
    <cellStyle name="40% - Accent1 2 3 3 2 4" xfId="11760" xr:uid="{5C8C8555-33C1-4F28-9E8C-337F51891FC3}"/>
    <cellStyle name="40% - Accent1 2 3 3 3" xfId="5383" xr:uid="{00000000-0005-0000-0000-0000F3030000}"/>
    <cellStyle name="40% - Accent1 2 3 3 3 2" xfId="22274" xr:uid="{36CC7BFA-E024-41C8-9DAC-3B9DDC531958}"/>
    <cellStyle name="40% - Accent1 2 3 3 3 3" xfId="13833" xr:uid="{9266A4EF-0B7E-48D3-91FD-5F4B67A38B4B}"/>
    <cellStyle name="40% - Accent1 2 3 3 4" xfId="18056" xr:uid="{A39F8825-80BB-4E74-A759-A03916979023}"/>
    <cellStyle name="40% - Accent1 2 3 3 5" xfId="9615" xr:uid="{E0E5CEA6-314C-4FB3-8E08-237033E12704}"/>
    <cellStyle name="40% - Accent1 2 3 4" xfId="1489" xr:uid="{00000000-0005-0000-0000-0000F4030000}"/>
    <cellStyle name="40% - Accent1 2 3 4 2" xfId="3719" xr:uid="{00000000-0005-0000-0000-0000F5030000}"/>
    <cellStyle name="40% - Accent1 2 3 4 2 2" xfId="7941" xr:uid="{00000000-0005-0000-0000-0000F6030000}"/>
    <cellStyle name="40% - Accent1 2 3 4 2 2 2" xfId="24832" xr:uid="{60D25010-B975-41C6-9253-CEF22B8B5CCF}"/>
    <cellStyle name="40% - Accent1 2 3 4 2 2 3" xfId="16391" xr:uid="{8EAE0AC5-2098-438F-A5B4-D1E8F6DD71B4}"/>
    <cellStyle name="40% - Accent1 2 3 4 2 3" xfId="20614" xr:uid="{0F614354-C8B1-4991-828F-0985B32983CA}"/>
    <cellStyle name="40% - Accent1 2 3 4 2 4" xfId="12173" xr:uid="{80092F20-F7CE-4902-B2FB-0FD3390EFC3B}"/>
    <cellStyle name="40% - Accent1 2 3 4 3" xfId="5796" xr:uid="{00000000-0005-0000-0000-0000F7030000}"/>
    <cellStyle name="40% - Accent1 2 3 4 3 2" xfId="22687" xr:uid="{D8A165E4-2304-4FBE-985D-15B48E3F1593}"/>
    <cellStyle name="40% - Accent1 2 3 4 3 3" xfId="14246" xr:uid="{D338FCFC-1558-45B8-A190-F267068D1FB5}"/>
    <cellStyle name="40% - Accent1 2 3 4 4" xfId="18469" xr:uid="{2B8D9727-9B00-4D39-825A-75FC4E4E8CCD}"/>
    <cellStyle name="40% - Accent1 2 3 4 5" xfId="10028" xr:uid="{60469881-E516-4BEA-BE32-6C3B100FB128}"/>
    <cellStyle name="40% - Accent1 2 3 5" xfId="1903" xr:uid="{00000000-0005-0000-0000-0000F8030000}"/>
    <cellStyle name="40% - Accent1 2 3 5 2" xfId="4132" xr:uid="{00000000-0005-0000-0000-0000F9030000}"/>
    <cellStyle name="40% - Accent1 2 3 5 2 2" xfId="8354" xr:uid="{00000000-0005-0000-0000-0000FA030000}"/>
    <cellStyle name="40% - Accent1 2 3 5 2 2 2" xfId="25245" xr:uid="{5DA3D592-6B94-4213-AB3D-12D6CA6D5BB3}"/>
    <cellStyle name="40% - Accent1 2 3 5 2 2 3" xfId="16804" xr:uid="{6C1807F9-DBD0-4478-9D38-83CDB7B7D205}"/>
    <cellStyle name="40% - Accent1 2 3 5 2 3" xfId="21027" xr:uid="{BD07D076-2B3F-4353-A30C-A6AD123AD6D8}"/>
    <cellStyle name="40% - Accent1 2 3 5 2 4" xfId="12586" xr:uid="{6A6FC89A-157B-4B92-8C43-2E48300B5B90}"/>
    <cellStyle name="40% - Accent1 2 3 5 3" xfId="6209" xr:uid="{00000000-0005-0000-0000-0000FB030000}"/>
    <cellStyle name="40% - Accent1 2 3 5 3 2" xfId="23100" xr:uid="{C052A3F2-1C1E-4DEF-8C2D-62A3FF8B9570}"/>
    <cellStyle name="40% - Accent1 2 3 5 3 3" xfId="14659" xr:uid="{2E1A2077-866B-411C-A2A0-71DCE2C1ACFC}"/>
    <cellStyle name="40% - Accent1 2 3 5 4" xfId="18882" xr:uid="{63559E4B-4FDE-4D21-BB2D-8B4E5A1ED3DB}"/>
    <cellStyle name="40% - Accent1 2 3 5 5" xfId="10441" xr:uid="{61E433A4-D69A-42D2-A61B-1583437E2B05}"/>
    <cellStyle name="40% - Accent1 2 3 6" xfId="2316" xr:uid="{00000000-0005-0000-0000-0000FC030000}"/>
    <cellStyle name="40% - Accent1 2 3 6 2" xfId="6622" xr:uid="{00000000-0005-0000-0000-0000FD030000}"/>
    <cellStyle name="40% - Accent1 2 3 6 2 2" xfId="23513" xr:uid="{6A5F0652-F87B-484F-884F-2CC4F2C70432}"/>
    <cellStyle name="40% - Accent1 2 3 6 2 3" xfId="15072" xr:uid="{C4104217-2B87-489D-BBD7-584946E9152B}"/>
    <cellStyle name="40% - Accent1 2 3 6 3" xfId="19295" xr:uid="{23A11D3B-9EE8-4E07-8B12-87EC4D23EEFA}"/>
    <cellStyle name="40% - Accent1 2 3 6 4" xfId="10854" xr:uid="{92A08828-4419-405A-81FF-518389354A8C}"/>
    <cellStyle name="40% - Accent1 2 3 7" xfId="4556" xr:uid="{00000000-0005-0000-0000-0000FE030000}"/>
    <cellStyle name="40% - Accent1 2 3 7 2" xfId="21447" xr:uid="{BBEE17A1-8A7F-4C07-8FAE-295596E4B9F9}"/>
    <cellStyle name="40% - Accent1 2 3 7 3" xfId="13006" xr:uid="{BB13E44E-FFED-4645-9792-8F3ED3C7A696}"/>
    <cellStyle name="40% - Accent1 2 3 8" xfId="17229" xr:uid="{1390BAB1-0CC3-4F80-AEE4-E6F7FBDE8631}"/>
    <cellStyle name="40% - Accent1 2 3 9" xfId="8788" xr:uid="{29B75B44-EA44-4851-8275-9CD77F099A7D}"/>
    <cellStyle name="40% - Accent1 2 4" xfId="619" xr:uid="{00000000-0005-0000-0000-0000FF030000}"/>
    <cellStyle name="40% - Accent1 2 4 2" xfId="2890" xr:uid="{00000000-0005-0000-0000-000000040000}"/>
    <cellStyle name="40% - Accent1 2 4 2 2" xfId="7112" xr:uid="{00000000-0005-0000-0000-000001040000}"/>
    <cellStyle name="40% - Accent1 2 4 2 2 2" xfId="24003" xr:uid="{95E549D9-7875-40D0-8336-542845D44D68}"/>
    <cellStyle name="40% - Accent1 2 4 2 2 3" xfId="15562" xr:uid="{345DFA6B-C95E-4EAD-95B2-AB4785695C82}"/>
    <cellStyle name="40% - Accent1 2 4 2 3" xfId="19785" xr:uid="{DB7FD97E-14ED-4697-A765-0C0764BA0632}"/>
    <cellStyle name="40% - Accent1 2 4 2 4" xfId="11344" xr:uid="{9F1B13C1-D16D-4E51-99C9-A4A22B468351}"/>
    <cellStyle name="40% - Accent1 2 4 3" xfId="4967" xr:uid="{00000000-0005-0000-0000-000002040000}"/>
    <cellStyle name="40% - Accent1 2 4 3 2" xfId="21858" xr:uid="{4E3F0450-1D32-481D-B5DF-A1F8484507FF}"/>
    <cellStyle name="40% - Accent1 2 4 3 3" xfId="13417" xr:uid="{8B1BAB47-1FF6-4C20-B5FC-1A499B98C884}"/>
    <cellStyle name="40% - Accent1 2 4 4" xfId="17640" xr:uid="{51C705F2-1F01-4BFF-AF9A-48E37654DBE2}"/>
    <cellStyle name="40% - Accent1 2 4 5" xfId="9199" xr:uid="{C2BB2C2F-0AE6-4B5C-8AD0-13A7FBD17C3A}"/>
    <cellStyle name="40% - Accent1 2 5" xfId="1072" xr:uid="{00000000-0005-0000-0000-000003040000}"/>
    <cellStyle name="40% - Accent1 2 5 2" xfId="3303" xr:uid="{00000000-0005-0000-0000-000004040000}"/>
    <cellStyle name="40% - Accent1 2 5 2 2" xfId="7525" xr:uid="{00000000-0005-0000-0000-000005040000}"/>
    <cellStyle name="40% - Accent1 2 5 2 2 2" xfId="24416" xr:uid="{C7CA3997-831A-4D04-8059-09F0F0419B0E}"/>
    <cellStyle name="40% - Accent1 2 5 2 2 3" xfId="15975" xr:uid="{461F6A01-E201-4FAD-BF4B-AD5690203CFC}"/>
    <cellStyle name="40% - Accent1 2 5 2 3" xfId="20198" xr:uid="{235C4BF9-B797-4DF6-8F24-81E7670D3076}"/>
    <cellStyle name="40% - Accent1 2 5 2 4" xfId="11757" xr:uid="{B7070581-2E56-4F0C-AC13-7B5B43E2FA01}"/>
    <cellStyle name="40% - Accent1 2 5 3" xfId="5380" xr:uid="{00000000-0005-0000-0000-000006040000}"/>
    <cellStyle name="40% - Accent1 2 5 3 2" xfId="22271" xr:uid="{7388F00A-30F0-46B3-A1C8-E173F43E5A39}"/>
    <cellStyle name="40% - Accent1 2 5 3 3" xfId="13830" xr:uid="{1B2EF4E0-1D28-4D0C-A8A4-2944165F01FD}"/>
    <cellStyle name="40% - Accent1 2 5 4" xfId="18053" xr:uid="{6F10BD26-AD56-43AA-A3E4-E98B9EDB7CB9}"/>
    <cellStyle name="40% - Accent1 2 5 5" xfId="9612" xr:uid="{F26A7244-F1FE-4180-A92C-AC30889D72AD}"/>
    <cellStyle name="40% - Accent1 2 6" xfId="1486" xr:uid="{00000000-0005-0000-0000-000007040000}"/>
    <cellStyle name="40% - Accent1 2 6 2" xfId="3716" xr:uid="{00000000-0005-0000-0000-000008040000}"/>
    <cellStyle name="40% - Accent1 2 6 2 2" xfId="7938" xr:uid="{00000000-0005-0000-0000-000009040000}"/>
    <cellStyle name="40% - Accent1 2 6 2 2 2" xfId="24829" xr:uid="{F2093402-7D22-4FB2-9FC0-C3B4F751B0F5}"/>
    <cellStyle name="40% - Accent1 2 6 2 2 3" xfId="16388" xr:uid="{353AD721-7284-43FC-9B50-85DFBC685A13}"/>
    <cellStyle name="40% - Accent1 2 6 2 3" xfId="20611" xr:uid="{94CFC643-BF6F-4DE3-B170-D5DB2214A786}"/>
    <cellStyle name="40% - Accent1 2 6 2 4" xfId="12170" xr:uid="{E28D1A08-6274-4972-BA30-9D51CF467F8A}"/>
    <cellStyle name="40% - Accent1 2 6 3" xfId="5793" xr:uid="{00000000-0005-0000-0000-00000A040000}"/>
    <cellStyle name="40% - Accent1 2 6 3 2" xfId="22684" xr:uid="{7B966800-E097-4477-8162-07ED109EC828}"/>
    <cellStyle name="40% - Accent1 2 6 3 3" xfId="14243" xr:uid="{A5E2849C-1EAA-48A2-8DD7-DD16B7E251FA}"/>
    <cellStyle name="40% - Accent1 2 6 4" xfId="18466" xr:uid="{5731F6FB-DA43-4C63-ADFA-BFE48D328E17}"/>
    <cellStyle name="40% - Accent1 2 6 5" xfId="10025" xr:uid="{EFA332B1-9B34-42BC-9701-8E0420FEE99A}"/>
    <cellStyle name="40% - Accent1 2 7" xfId="1900" xr:uid="{00000000-0005-0000-0000-00000B040000}"/>
    <cellStyle name="40% - Accent1 2 7 2" xfId="4129" xr:uid="{00000000-0005-0000-0000-00000C040000}"/>
    <cellStyle name="40% - Accent1 2 7 2 2" xfId="8351" xr:uid="{00000000-0005-0000-0000-00000D040000}"/>
    <cellStyle name="40% - Accent1 2 7 2 2 2" xfId="25242" xr:uid="{D5DB1BE1-537A-43EA-AD89-CD99F0EB8029}"/>
    <cellStyle name="40% - Accent1 2 7 2 2 3" xfId="16801" xr:uid="{8AB0D87A-89EB-4C4D-9E57-6A2CB8AB0DF6}"/>
    <cellStyle name="40% - Accent1 2 7 2 3" xfId="21024" xr:uid="{F7E1AEFF-A2D2-40EF-8D7B-7ADADECEC8E1}"/>
    <cellStyle name="40% - Accent1 2 7 2 4" xfId="12583" xr:uid="{8BF46B43-0031-46A1-8CE6-96154797794D}"/>
    <cellStyle name="40% - Accent1 2 7 3" xfId="6206" xr:uid="{00000000-0005-0000-0000-00000E040000}"/>
    <cellStyle name="40% - Accent1 2 7 3 2" xfId="23097" xr:uid="{F10B4CF9-F07A-40E6-A497-CD8DFC017AA9}"/>
    <cellStyle name="40% - Accent1 2 7 3 3" xfId="14656" xr:uid="{3DC2B8CD-3DCF-4DC5-B310-6D5E2DFB03E9}"/>
    <cellStyle name="40% - Accent1 2 7 4" xfId="18879" xr:uid="{C82EAA95-3110-409F-A93D-3C716677A37F}"/>
    <cellStyle name="40% - Accent1 2 7 5" xfId="10438" xr:uid="{4D265039-893E-4963-A831-487C02D4D033}"/>
    <cellStyle name="40% - Accent1 2 8" xfId="2313" xr:uid="{00000000-0005-0000-0000-00000F040000}"/>
    <cellStyle name="40% - Accent1 2 8 2" xfId="6619" xr:uid="{00000000-0005-0000-0000-000010040000}"/>
    <cellStyle name="40% - Accent1 2 8 2 2" xfId="23510" xr:uid="{E1B69F17-9516-46CF-A413-3B75B3322A22}"/>
    <cellStyle name="40% - Accent1 2 8 2 3" xfId="15069" xr:uid="{A681FA0F-FD78-487B-8923-96E787D5D51F}"/>
    <cellStyle name="40% - Accent1 2 8 3" xfId="19292" xr:uid="{53B06DB5-436B-4C54-9F6F-1A9A20307EFF}"/>
    <cellStyle name="40% - Accent1 2 8 4" xfId="10851" xr:uid="{8BB8E8AC-1A60-4E21-9C7C-357AD923EB1C}"/>
    <cellStyle name="40% - Accent1 2 9" xfId="4553" xr:uid="{00000000-0005-0000-0000-000011040000}"/>
    <cellStyle name="40% - Accent1 2 9 2" xfId="21444" xr:uid="{0889695A-4406-445A-8EAC-7B313CF7D31C}"/>
    <cellStyle name="40% - Accent1 2 9 3" xfId="13003" xr:uid="{B855B48D-A995-4CAF-9C24-96BA083A5B24}"/>
    <cellStyle name="40% - Accent1 3" xfId="54" xr:uid="{00000000-0005-0000-0000-000012040000}"/>
    <cellStyle name="40% - Accent1 3 10" xfId="8789" xr:uid="{E7E50C5D-E6E3-49F0-961C-A4A7FE606EFD}"/>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2 2 2" xfId="24008" xr:uid="{5C60023A-CC8F-4F52-BAE3-85F98D31B501}"/>
    <cellStyle name="40% - Accent1 3 2 2 2 2 3" xfId="15567" xr:uid="{18374935-4FE8-40E3-9138-5DAE746AE350}"/>
    <cellStyle name="40% - Accent1 3 2 2 2 3" xfId="19790" xr:uid="{D200B53D-7AB4-499E-B522-BAFB421AC815}"/>
    <cellStyle name="40% - Accent1 3 2 2 2 4" xfId="11349" xr:uid="{FE5F558E-C7B3-4DC3-A750-64E7C1D21CA4}"/>
    <cellStyle name="40% - Accent1 3 2 2 3" xfId="4972" xr:uid="{00000000-0005-0000-0000-000017040000}"/>
    <cellStyle name="40% - Accent1 3 2 2 3 2" xfId="21863" xr:uid="{DA927941-937A-46CB-A629-534DC8EAE2AA}"/>
    <cellStyle name="40% - Accent1 3 2 2 3 3" xfId="13422" xr:uid="{B33084DB-4FD8-4EFC-9DDC-342E3F285424}"/>
    <cellStyle name="40% - Accent1 3 2 2 4" xfId="17645" xr:uid="{95B99306-60E3-46D6-B9A1-B7667FA61C95}"/>
    <cellStyle name="40% - Accent1 3 2 2 5" xfId="9204" xr:uid="{0A82344B-4CB3-47DC-848D-4C3E305AA52C}"/>
    <cellStyle name="40% - Accent1 3 2 3" xfId="1077" xr:uid="{00000000-0005-0000-0000-000018040000}"/>
    <cellStyle name="40% - Accent1 3 2 3 2" xfId="3308" xr:uid="{00000000-0005-0000-0000-000019040000}"/>
    <cellStyle name="40% - Accent1 3 2 3 2 2" xfId="7530" xr:uid="{00000000-0005-0000-0000-00001A040000}"/>
    <cellStyle name="40% - Accent1 3 2 3 2 2 2" xfId="24421" xr:uid="{C230AA34-65D1-4780-8E6F-5551EAA907BA}"/>
    <cellStyle name="40% - Accent1 3 2 3 2 2 3" xfId="15980" xr:uid="{E0CABF07-F89D-4FF7-B64A-9073994F2AC3}"/>
    <cellStyle name="40% - Accent1 3 2 3 2 3" xfId="20203" xr:uid="{E30B737C-36F0-45EA-A33E-3C1A66C7EFC3}"/>
    <cellStyle name="40% - Accent1 3 2 3 2 4" xfId="11762" xr:uid="{445F09B8-3F6E-4CD8-9DBC-0B40555DF0BE}"/>
    <cellStyle name="40% - Accent1 3 2 3 3" xfId="5385" xr:uid="{00000000-0005-0000-0000-00001B040000}"/>
    <cellStyle name="40% - Accent1 3 2 3 3 2" xfId="22276" xr:uid="{A85E25DE-6B1C-4529-BBCB-732B0C0D42FD}"/>
    <cellStyle name="40% - Accent1 3 2 3 3 3" xfId="13835" xr:uid="{C5E41AF9-486A-4A54-80BC-5BF4825C29A2}"/>
    <cellStyle name="40% - Accent1 3 2 3 4" xfId="18058" xr:uid="{0DCDE3D2-0353-4629-A84D-44F4406B28A3}"/>
    <cellStyle name="40% - Accent1 3 2 3 5" xfId="9617" xr:uid="{14E53497-401C-46FF-8743-D3E2388021BC}"/>
    <cellStyle name="40% - Accent1 3 2 4" xfId="1491" xr:uid="{00000000-0005-0000-0000-00001C040000}"/>
    <cellStyle name="40% - Accent1 3 2 4 2" xfId="3721" xr:uid="{00000000-0005-0000-0000-00001D040000}"/>
    <cellStyle name="40% - Accent1 3 2 4 2 2" xfId="7943" xr:uid="{00000000-0005-0000-0000-00001E040000}"/>
    <cellStyle name="40% - Accent1 3 2 4 2 2 2" xfId="24834" xr:uid="{FBA797CE-0873-4A97-9704-164C18C29268}"/>
    <cellStyle name="40% - Accent1 3 2 4 2 2 3" xfId="16393" xr:uid="{471F3FB8-B59A-4661-B457-B0C8D90A1A44}"/>
    <cellStyle name="40% - Accent1 3 2 4 2 3" xfId="20616" xr:uid="{378D4554-673B-4178-B48E-E30DCA10AA83}"/>
    <cellStyle name="40% - Accent1 3 2 4 2 4" xfId="12175" xr:uid="{6A62D636-314B-4EA4-B591-F658178B7223}"/>
    <cellStyle name="40% - Accent1 3 2 4 3" xfId="5798" xr:uid="{00000000-0005-0000-0000-00001F040000}"/>
    <cellStyle name="40% - Accent1 3 2 4 3 2" xfId="22689" xr:uid="{0CE3B77E-3BB7-43EF-93C8-AE9624F55971}"/>
    <cellStyle name="40% - Accent1 3 2 4 3 3" xfId="14248" xr:uid="{BB1ED4E7-AF1B-446B-AE7F-D64EE48FDBFB}"/>
    <cellStyle name="40% - Accent1 3 2 4 4" xfId="18471" xr:uid="{FFB99C78-28FC-47FF-910B-CA6E0C171A1B}"/>
    <cellStyle name="40% - Accent1 3 2 4 5" xfId="10030" xr:uid="{378BD1AD-A30D-412E-B9E1-8632F86D4782}"/>
    <cellStyle name="40% - Accent1 3 2 5" xfId="1905" xr:uid="{00000000-0005-0000-0000-000020040000}"/>
    <cellStyle name="40% - Accent1 3 2 5 2" xfId="4134" xr:uid="{00000000-0005-0000-0000-000021040000}"/>
    <cellStyle name="40% - Accent1 3 2 5 2 2" xfId="8356" xr:uid="{00000000-0005-0000-0000-000022040000}"/>
    <cellStyle name="40% - Accent1 3 2 5 2 2 2" xfId="25247" xr:uid="{DB072B08-029F-4083-9455-31AD77D9CD82}"/>
    <cellStyle name="40% - Accent1 3 2 5 2 2 3" xfId="16806" xr:uid="{0606CDBD-261D-49C0-8A94-E66D10765300}"/>
    <cellStyle name="40% - Accent1 3 2 5 2 3" xfId="21029" xr:uid="{787C7D3A-B725-4A71-8EE0-325304FD5B35}"/>
    <cellStyle name="40% - Accent1 3 2 5 2 4" xfId="12588" xr:uid="{A1AC4677-7480-4DC4-99F1-8A12B372D51F}"/>
    <cellStyle name="40% - Accent1 3 2 5 3" xfId="6211" xr:uid="{00000000-0005-0000-0000-000023040000}"/>
    <cellStyle name="40% - Accent1 3 2 5 3 2" xfId="23102" xr:uid="{B681F12F-233A-4C5B-8E5F-D99179EB322D}"/>
    <cellStyle name="40% - Accent1 3 2 5 3 3" xfId="14661" xr:uid="{1F2ABEFB-46D0-4D83-9267-1921DF51F88C}"/>
    <cellStyle name="40% - Accent1 3 2 5 4" xfId="18884" xr:uid="{10D97B01-E580-411A-AE50-8FE312ED0E55}"/>
    <cellStyle name="40% - Accent1 3 2 5 5" xfId="10443" xr:uid="{BE1B8823-E035-463A-9905-0AE7DC5E8B64}"/>
    <cellStyle name="40% - Accent1 3 2 6" xfId="2318" xr:uid="{00000000-0005-0000-0000-000024040000}"/>
    <cellStyle name="40% - Accent1 3 2 6 2" xfId="6624" xr:uid="{00000000-0005-0000-0000-000025040000}"/>
    <cellStyle name="40% - Accent1 3 2 6 2 2" xfId="23515" xr:uid="{E5EA3469-47DB-459E-AA32-B3CD0504DA69}"/>
    <cellStyle name="40% - Accent1 3 2 6 2 3" xfId="15074" xr:uid="{C6BCC113-D49C-4579-A79E-228274029299}"/>
    <cellStyle name="40% - Accent1 3 2 6 3" xfId="19297" xr:uid="{ED6FABDB-34F0-4282-AD35-1D783041824A}"/>
    <cellStyle name="40% - Accent1 3 2 6 4" xfId="10856" xr:uid="{930FAF9E-C602-4D47-B5BF-3C1BA71C1A1C}"/>
    <cellStyle name="40% - Accent1 3 2 7" xfId="4558" xr:uid="{00000000-0005-0000-0000-000026040000}"/>
    <cellStyle name="40% - Accent1 3 2 7 2" xfId="21449" xr:uid="{C56EC93E-2B53-4E61-830F-547CEE044703}"/>
    <cellStyle name="40% - Accent1 3 2 7 3" xfId="13008" xr:uid="{CD898F05-7D71-421F-A932-904D7AB30AE3}"/>
    <cellStyle name="40% - Accent1 3 2 8" xfId="17231" xr:uid="{B0E1CE88-8CFD-472D-86CD-562D1C99C1FA}"/>
    <cellStyle name="40% - Accent1 3 2 9" xfId="8790" xr:uid="{3223B988-1551-4D0C-A6D2-A652E91720C7}"/>
    <cellStyle name="40% - Accent1 3 3" xfId="623" xr:uid="{00000000-0005-0000-0000-000027040000}"/>
    <cellStyle name="40% - Accent1 3 3 2" xfId="2894" xr:uid="{00000000-0005-0000-0000-000028040000}"/>
    <cellStyle name="40% - Accent1 3 3 2 2" xfId="7116" xr:uid="{00000000-0005-0000-0000-000029040000}"/>
    <cellStyle name="40% - Accent1 3 3 2 2 2" xfId="24007" xr:uid="{091FD055-F40F-4E2B-8C6E-07395D985366}"/>
    <cellStyle name="40% - Accent1 3 3 2 2 3" xfId="15566" xr:uid="{1C3D3A6F-1341-468E-AFE5-F8CD5513AED2}"/>
    <cellStyle name="40% - Accent1 3 3 2 3" xfId="19789" xr:uid="{01AAE9E8-ED42-4863-BD21-F0490A931B03}"/>
    <cellStyle name="40% - Accent1 3 3 2 4" xfId="11348" xr:uid="{29AB46B7-458F-40FB-92C4-0C246804DEF0}"/>
    <cellStyle name="40% - Accent1 3 3 3" xfId="4971" xr:uid="{00000000-0005-0000-0000-00002A040000}"/>
    <cellStyle name="40% - Accent1 3 3 3 2" xfId="21862" xr:uid="{6555E13C-BA62-48EE-A49D-57A270CF2805}"/>
    <cellStyle name="40% - Accent1 3 3 3 3" xfId="13421" xr:uid="{64178637-5BC1-4F96-B909-06C53E87EE58}"/>
    <cellStyle name="40% - Accent1 3 3 4" xfId="17644" xr:uid="{6834DC74-ABC4-49CF-B93A-BAC1D290FF33}"/>
    <cellStyle name="40% - Accent1 3 3 5" xfId="9203" xr:uid="{05109AB3-FD97-4F21-8664-FDA95A4E90F5}"/>
    <cellStyle name="40% - Accent1 3 4" xfId="1076" xr:uid="{00000000-0005-0000-0000-00002B040000}"/>
    <cellStyle name="40% - Accent1 3 4 2" xfId="3307" xr:uid="{00000000-0005-0000-0000-00002C040000}"/>
    <cellStyle name="40% - Accent1 3 4 2 2" xfId="7529" xr:uid="{00000000-0005-0000-0000-00002D040000}"/>
    <cellStyle name="40% - Accent1 3 4 2 2 2" xfId="24420" xr:uid="{5D415F47-AB3A-4528-8031-39AABA1A0F55}"/>
    <cellStyle name="40% - Accent1 3 4 2 2 3" xfId="15979" xr:uid="{AA0293DC-0F28-4C5A-81F4-457EC7862493}"/>
    <cellStyle name="40% - Accent1 3 4 2 3" xfId="20202" xr:uid="{512B101E-56F0-4D3A-8E3F-193BF9AB8296}"/>
    <cellStyle name="40% - Accent1 3 4 2 4" xfId="11761" xr:uid="{D9082458-AC90-4A19-909C-4CBF06581A95}"/>
    <cellStyle name="40% - Accent1 3 4 3" xfId="5384" xr:uid="{00000000-0005-0000-0000-00002E040000}"/>
    <cellStyle name="40% - Accent1 3 4 3 2" xfId="22275" xr:uid="{C84ED857-17AA-4422-B474-40A5C43A6DE5}"/>
    <cellStyle name="40% - Accent1 3 4 3 3" xfId="13834" xr:uid="{09618BA2-A179-403F-8CB8-59D6E91699A3}"/>
    <cellStyle name="40% - Accent1 3 4 4" xfId="18057" xr:uid="{9AB585A7-D515-43C8-BB08-9BAA0CF46AE0}"/>
    <cellStyle name="40% - Accent1 3 4 5" xfId="9616" xr:uid="{7BA686C4-C041-43E7-A404-FB4545076AC5}"/>
    <cellStyle name="40% - Accent1 3 5" xfId="1490" xr:uid="{00000000-0005-0000-0000-00002F040000}"/>
    <cellStyle name="40% - Accent1 3 5 2" xfId="3720" xr:uid="{00000000-0005-0000-0000-000030040000}"/>
    <cellStyle name="40% - Accent1 3 5 2 2" xfId="7942" xr:uid="{00000000-0005-0000-0000-000031040000}"/>
    <cellStyle name="40% - Accent1 3 5 2 2 2" xfId="24833" xr:uid="{BFDA2027-1D22-4EB7-AF26-6F3B0F759CAA}"/>
    <cellStyle name="40% - Accent1 3 5 2 2 3" xfId="16392" xr:uid="{041385E1-C1AB-4808-9B6A-546132BA3F1D}"/>
    <cellStyle name="40% - Accent1 3 5 2 3" xfId="20615" xr:uid="{AB1B3DB2-4E4D-4045-AB18-F1EFD41B7743}"/>
    <cellStyle name="40% - Accent1 3 5 2 4" xfId="12174" xr:uid="{108E229B-AC0E-49AF-B5B7-68D49700CA54}"/>
    <cellStyle name="40% - Accent1 3 5 3" xfId="5797" xr:uid="{00000000-0005-0000-0000-000032040000}"/>
    <cellStyle name="40% - Accent1 3 5 3 2" xfId="22688" xr:uid="{96A32D79-4DEC-45BF-938D-EA7DBC8E3409}"/>
    <cellStyle name="40% - Accent1 3 5 3 3" xfId="14247" xr:uid="{DE2FD569-9907-43A4-8CAE-3B05145E9931}"/>
    <cellStyle name="40% - Accent1 3 5 4" xfId="18470" xr:uid="{D8FD690B-946C-4A72-951B-A9EB7BF4CF54}"/>
    <cellStyle name="40% - Accent1 3 5 5" xfId="10029" xr:uid="{3A85E2A8-FAB8-4C80-BC45-D7A4F86A6437}"/>
    <cellStyle name="40% - Accent1 3 6" xfId="1904" xr:uid="{00000000-0005-0000-0000-000033040000}"/>
    <cellStyle name="40% - Accent1 3 6 2" xfId="4133" xr:uid="{00000000-0005-0000-0000-000034040000}"/>
    <cellStyle name="40% - Accent1 3 6 2 2" xfId="8355" xr:uid="{00000000-0005-0000-0000-000035040000}"/>
    <cellStyle name="40% - Accent1 3 6 2 2 2" xfId="25246" xr:uid="{6953AE75-8C02-4DD1-ACA4-8A10CFF9D4F7}"/>
    <cellStyle name="40% - Accent1 3 6 2 2 3" xfId="16805" xr:uid="{4B4CE8EB-1031-4D35-8BEA-7029C9E93EB9}"/>
    <cellStyle name="40% - Accent1 3 6 2 3" xfId="21028" xr:uid="{585BE568-44E7-48B0-A44A-E08CE1E3D9C0}"/>
    <cellStyle name="40% - Accent1 3 6 2 4" xfId="12587" xr:uid="{1C9EA4B3-3585-4A30-A584-42292E377DB3}"/>
    <cellStyle name="40% - Accent1 3 6 3" xfId="6210" xr:uid="{00000000-0005-0000-0000-000036040000}"/>
    <cellStyle name="40% - Accent1 3 6 3 2" xfId="23101" xr:uid="{08D53110-1834-410A-9E2A-CB04A5B686B1}"/>
    <cellStyle name="40% - Accent1 3 6 3 3" xfId="14660" xr:uid="{502F85A8-F564-4E22-8EF0-EE255B590175}"/>
    <cellStyle name="40% - Accent1 3 6 4" xfId="18883" xr:uid="{88BC6FBC-F8F0-4105-BE77-90DA473F181F}"/>
    <cellStyle name="40% - Accent1 3 6 5" xfId="10442" xr:uid="{E005072F-653C-4D50-A20B-7ADD0636B9C3}"/>
    <cellStyle name="40% - Accent1 3 7" xfId="2317" xr:uid="{00000000-0005-0000-0000-000037040000}"/>
    <cellStyle name="40% - Accent1 3 7 2" xfId="6623" xr:uid="{00000000-0005-0000-0000-000038040000}"/>
    <cellStyle name="40% - Accent1 3 7 2 2" xfId="23514" xr:uid="{A9CBE28C-9B21-49E7-9D90-F0033D1BAB73}"/>
    <cellStyle name="40% - Accent1 3 7 2 3" xfId="15073" xr:uid="{4E08BC0E-1686-4053-850D-C4F0208D6DB3}"/>
    <cellStyle name="40% - Accent1 3 7 3" xfId="19296" xr:uid="{46240939-2289-4CAF-B062-F020D3F24744}"/>
    <cellStyle name="40% - Accent1 3 7 4" xfId="10855" xr:uid="{172F03DB-598F-45D5-AB82-F7C3649355BD}"/>
    <cellStyle name="40% - Accent1 3 8" xfId="4557" xr:uid="{00000000-0005-0000-0000-000039040000}"/>
    <cellStyle name="40% - Accent1 3 8 2" xfId="21448" xr:uid="{7BD3EE0F-0790-40C9-B350-C2D75FB61BEB}"/>
    <cellStyle name="40% - Accent1 3 8 3" xfId="13007" xr:uid="{CD89469B-7787-4C43-9DE6-77FECA171B7A}"/>
    <cellStyle name="40% - Accent1 3 9" xfId="17230" xr:uid="{50DFDA7D-B569-4FC5-B85C-65D14368F449}"/>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2 2 2" xfId="24009" xr:uid="{E148BD91-5753-45C7-A24E-FF5247459EE9}"/>
    <cellStyle name="40% - Accent1 4 2 2 2 3" xfId="15568" xr:uid="{24823AB4-641F-4F27-8D8F-8DC2E0470EC2}"/>
    <cellStyle name="40% - Accent1 4 2 2 3" xfId="19791" xr:uid="{B8A62CCD-937C-4425-A5E5-916AFE8A0E7A}"/>
    <cellStyle name="40% - Accent1 4 2 2 4" xfId="11350" xr:uid="{031006B5-D08D-4BED-A83D-0878B086B601}"/>
    <cellStyle name="40% - Accent1 4 2 3" xfId="4973" xr:uid="{00000000-0005-0000-0000-00003E040000}"/>
    <cellStyle name="40% - Accent1 4 2 3 2" xfId="21864" xr:uid="{8ECD8CC0-AE57-4136-80D2-751618FAD389}"/>
    <cellStyle name="40% - Accent1 4 2 3 3" xfId="13423" xr:uid="{CCE0633B-9E1E-44AB-8DC5-DBAD1DCA5E02}"/>
    <cellStyle name="40% - Accent1 4 2 4" xfId="17646" xr:uid="{62076CFA-EF6A-408E-9DD1-89FC603B2BD5}"/>
    <cellStyle name="40% - Accent1 4 2 5" xfId="9205" xr:uid="{9205DDFD-85A2-493F-B928-F0F42DF679A5}"/>
    <cellStyle name="40% - Accent1 4 3" xfId="1078" xr:uid="{00000000-0005-0000-0000-00003F040000}"/>
    <cellStyle name="40% - Accent1 4 3 2" xfId="3309" xr:uid="{00000000-0005-0000-0000-000040040000}"/>
    <cellStyle name="40% - Accent1 4 3 2 2" xfId="7531" xr:uid="{00000000-0005-0000-0000-000041040000}"/>
    <cellStyle name="40% - Accent1 4 3 2 2 2" xfId="24422" xr:uid="{213CABCE-1F25-46B6-9C46-0A1181E83563}"/>
    <cellStyle name="40% - Accent1 4 3 2 2 3" xfId="15981" xr:uid="{8FD0F0A0-0030-45F6-9885-00836CC43899}"/>
    <cellStyle name="40% - Accent1 4 3 2 3" xfId="20204" xr:uid="{5297FD4B-352A-44C5-9E93-61FC28FCE328}"/>
    <cellStyle name="40% - Accent1 4 3 2 4" xfId="11763" xr:uid="{F575726E-B4BD-4349-87CB-A36541CCA1D8}"/>
    <cellStyle name="40% - Accent1 4 3 3" xfId="5386" xr:uid="{00000000-0005-0000-0000-000042040000}"/>
    <cellStyle name="40% - Accent1 4 3 3 2" xfId="22277" xr:uid="{4C8B1442-9914-4E8B-86E9-80B21041DB80}"/>
    <cellStyle name="40% - Accent1 4 3 3 3" xfId="13836" xr:uid="{6DDA4DDA-9529-466A-B3E7-0BFB6A5309EE}"/>
    <cellStyle name="40% - Accent1 4 3 4" xfId="18059" xr:uid="{C7EB355E-2815-45E6-B37E-65BC9E97361C}"/>
    <cellStyle name="40% - Accent1 4 3 5" xfId="9618" xr:uid="{63881534-D46A-4C84-9339-9AC41A107426}"/>
    <cellStyle name="40% - Accent1 4 4" xfId="1492" xr:uid="{00000000-0005-0000-0000-000043040000}"/>
    <cellStyle name="40% - Accent1 4 4 2" xfId="3722" xr:uid="{00000000-0005-0000-0000-000044040000}"/>
    <cellStyle name="40% - Accent1 4 4 2 2" xfId="7944" xr:uid="{00000000-0005-0000-0000-000045040000}"/>
    <cellStyle name="40% - Accent1 4 4 2 2 2" xfId="24835" xr:uid="{169BDF07-710A-4100-8506-09A97D34BAFD}"/>
    <cellStyle name="40% - Accent1 4 4 2 2 3" xfId="16394" xr:uid="{C61B8A6D-7618-47CD-B6F4-0961D549F9D4}"/>
    <cellStyle name="40% - Accent1 4 4 2 3" xfId="20617" xr:uid="{B165596B-DF12-4A2B-A7E8-DF114FFD1BCA}"/>
    <cellStyle name="40% - Accent1 4 4 2 4" xfId="12176" xr:uid="{014F9ED9-BDD1-4FDC-8FD4-AE1BE582E889}"/>
    <cellStyle name="40% - Accent1 4 4 3" xfId="5799" xr:uid="{00000000-0005-0000-0000-000046040000}"/>
    <cellStyle name="40% - Accent1 4 4 3 2" xfId="22690" xr:uid="{C3243152-05F7-49F1-82DA-43364BECBDCA}"/>
    <cellStyle name="40% - Accent1 4 4 3 3" xfId="14249" xr:uid="{3E7C4AE8-350B-4B36-B24A-4FE87EA67C51}"/>
    <cellStyle name="40% - Accent1 4 4 4" xfId="18472" xr:uid="{D814870C-5AC8-492F-BA5D-B43A9D44973F}"/>
    <cellStyle name="40% - Accent1 4 4 5" xfId="10031" xr:uid="{7AC09381-352A-4E78-8F80-D5A2463F153D}"/>
    <cellStyle name="40% - Accent1 4 5" xfId="1906" xr:uid="{00000000-0005-0000-0000-000047040000}"/>
    <cellStyle name="40% - Accent1 4 5 2" xfId="4135" xr:uid="{00000000-0005-0000-0000-000048040000}"/>
    <cellStyle name="40% - Accent1 4 5 2 2" xfId="8357" xr:uid="{00000000-0005-0000-0000-000049040000}"/>
    <cellStyle name="40% - Accent1 4 5 2 2 2" xfId="25248" xr:uid="{B007D159-844B-491B-811C-464FE255AB60}"/>
    <cellStyle name="40% - Accent1 4 5 2 2 3" xfId="16807" xr:uid="{4F6426B2-4B8E-4B6A-AACE-3E91671F58AF}"/>
    <cellStyle name="40% - Accent1 4 5 2 3" xfId="21030" xr:uid="{98D04F31-0D89-478A-935B-4C83357773E5}"/>
    <cellStyle name="40% - Accent1 4 5 2 4" xfId="12589" xr:uid="{DDF1F45D-F99B-4D74-BE7E-A09C6A96A829}"/>
    <cellStyle name="40% - Accent1 4 5 3" xfId="6212" xr:uid="{00000000-0005-0000-0000-00004A040000}"/>
    <cellStyle name="40% - Accent1 4 5 3 2" xfId="23103" xr:uid="{A2A714D1-B7DB-4FA7-A086-FD6280625BB1}"/>
    <cellStyle name="40% - Accent1 4 5 3 3" xfId="14662" xr:uid="{2194AD4C-2088-4100-9077-E3FDD69A8FE3}"/>
    <cellStyle name="40% - Accent1 4 5 4" xfId="18885" xr:uid="{5D89E858-80A5-471F-952F-6129036706EA}"/>
    <cellStyle name="40% - Accent1 4 5 5" xfId="10444" xr:uid="{BAB2C776-D3D1-45DD-8B56-DFAC5423982A}"/>
    <cellStyle name="40% - Accent1 4 6" xfId="2319" xr:uid="{00000000-0005-0000-0000-00004B040000}"/>
    <cellStyle name="40% - Accent1 4 6 2" xfId="6625" xr:uid="{00000000-0005-0000-0000-00004C040000}"/>
    <cellStyle name="40% - Accent1 4 6 2 2" xfId="23516" xr:uid="{D3DA6F49-8928-4547-AFD9-C80F44C452CF}"/>
    <cellStyle name="40% - Accent1 4 6 2 3" xfId="15075" xr:uid="{E1D1BFA5-22AB-4FB1-861D-C3505B6FEC69}"/>
    <cellStyle name="40% - Accent1 4 6 3" xfId="19298" xr:uid="{5FEB105E-E1EA-441F-A6E4-04E9E299FEAC}"/>
    <cellStyle name="40% - Accent1 4 6 4" xfId="10857" xr:uid="{F58F1EC8-36FF-4221-A1B4-BD6774764696}"/>
    <cellStyle name="40% - Accent1 4 7" xfId="4559" xr:uid="{00000000-0005-0000-0000-00004D040000}"/>
    <cellStyle name="40% - Accent1 4 7 2" xfId="21450" xr:uid="{0F6D070E-1CC2-49B7-A9BD-7765121B1627}"/>
    <cellStyle name="40% - Accent1 4 7 3" xfId="13009" xr:uid="{344999E2-2206-48D8-956C-70E1A83B36BF}"/>
    <cellStyle name="40% - Accent1 4 8" xfId="17232" xr:uid="{89E77ACD-B7EC-4F59-A183-2AE425C18400}"/>
    <cellStyle name="40% - Accent1 4 9" xfId="8791" xr:uid="{2622A4F6-3E9C-472F-86D1-F11DE40C0DC7}"/>
    <cellStyle name="40% - Accent1 5" xfId="618" xr:uid="{00000000-0005-0000-0000-00004E040000}"/>
    <cellStyle name="40% - Accent1 5 2" xfId="2889" xr:uid="{00000000-0005-0000-0000-00004F040000}"/>
    <cellStyle name="40% - Accent1 5 2 2" xfId="7111" xr:uid="{00000000-0005-0000-0000-000050040000}"/>
    <cellStyle name="40% - Accent1 5 2 2 2" xfId="24002" xr:uid="{7ABF2F18-58B4-4B35-A6EE-44964A5E2A52}"/>
    <cellStyle name="40% - Accent1 5 2 2 3" xfId="15561" xr:uid="{F3079A23-8E4F-41DC-B8B1-9C8F89F0C049}"/>
    <cellStyle name="40% - Accent1 5 2 3" xfId="19784" xr:uid="{2FDC025F-B8C2-467C-A6A2-DC1C1CB2D457}"/>
    <cellStyle name="40% - Accent1 5 2 4" xfId="11343" xr:uid="{C4BD94E2-6A3C-4D12-BD9D-AD400E0423DE}"/>
    <cellStyle name="40% - Accent1 5 3" xfId="4966" xr:uid="{00000000-0005-0000-0000-000051040000}"/>
    <cellStyle name="40% - Accent1 5 3 2" xfId="21857" xr:uid="{DF1B28FB-D8E7-4B06-84D2-D84C964B3035}"/>
    <cellStyle name="40% - Accent1 5 3 3" xfId="13416" xr:uid="{6E90611E-ADA3-4E2E-9F03-D81EA62565EC}"/>
    <cellStyle name="40% - Accent1 5 4" xfId="17639" xr:uid="{1831B76F-70A6-4EB5-B0A3-B868E3290CB0}"/>
    <cellStyle name="40% - Accent1 5 5" xfId="9198" xr:uid="{071E8F90-3547-4249-B281-103C9A77D811}"/>
    <cellStyle name="40% - Accent1 6" xfId="1071" xr:uid="{00000000-0005-0000-0000-000052040000}"/>
    <cellStyle name="40% - Accent1 6 2" xfId="3302" xr:uid="{00000000-0005-0000-0000-000053040000}"/>
    <cellStyle name="40% - Accent1 6 2 2" xfId="7524" xr:uid="{00000000-0005-0000-0000-000054040000}"/>
    <cellStyle name="40% - Accent1 6 2 2 2" xfId="24415" xr:uid="{10D53AA5-0A76-4F5D-9134-73026859DFD1}"/>
    <cellStyle name="40% - Accent1 6 2 2 3" xfId="15974" xr:uid="{A6F5A43C-1CDA-493E-ACAB-A742AB13AA47}"/>
    <cellStyle name="40% - Accent1 6 2 3" xfId="20197" xr:uid="{74A55F1E-E9F1-49A8-AB9F-583C33F48386}"/>
    <cellStyle name="40% - Accent1 6 2 4" xfId="11756" xr:uid="{BD04D28D-1FDC-4110-8A8C-38D220FC454B}"/>
    <cellStyle name="40% - Accent1 6 3" xfId="5379" xr:uid="{00000000-0005-0000-0000-000055040000}"/>
    <cellStyle name="40% - Accent1 6 3 2" xfId="22270" xr:uid="{3BC5CF15-1A1C-481A-AA96-F66CA38DCE2F}"/>
    <cellStyle name="40% - Accent1 6 3 3" xfId="13829" xr:uid="{6B82F0EF-E6CF-432B-8AF7-E3BACD18D902}"/>
    <cellStyle name="40% - Accent1 6 4" xfId="18052" xr:uid="{756E0314-BD6F-4157-8C1E-8F7C02E4CA74}"/>
    <cellStyle name="40% - Accent1 6 5" xfId="9611" xr:uid="{DF87729E-7ECF-4A3C-8ACF-63375D8EEDFF}"/>
    <cellStyle name="40% - Accent1 7" xfId="1485" xr:uid="{00000000-0005-0000-0000-000056040000}"/>
    <cellStyle name="40% - Accent1 7 2" xfId="3715" xr:uid="{00000000-0005-0000-0000-000057040000}"/>
    <cellStyle name="40% - Accent1 7 2 2" xfId="7937" xr:uid="{00000000-0005-0000-0000-000058040000}"/>
    <cellStyle name="40% - Accent1 7 2 2 2" xfId="24828" xr:uid="{105283CA-909F-44F2-ACB8-6488605D0C26}"/>
    <cellStyle name="40% - Accent1 7 2 2 3" xfId="16387" xr:uid="{06DFB449-A036-4D4E-936B-FA367FD0E22D}"/>
    <cellStyle name="40% - Accent1 7 2 3" xfId="20610" xr:uid="{A1813128-5FB4-4370-BE9A-115D68F4D474}"/>
    <cellStyle name="40% - Accent1 7 2 4" xfId="12169" xr:uid="{16E98F51-F426-45A5-BB16-AD316C372234}"/>
    <cellStyle name="40% - Accent1 7 3" xfId="5792" xr:uid="{00000000-0005-0000-0000-000059040000}"/>
    <cellStyle name="40% - Accent1 7 3 2" xfId="22683" xr:uid="{F63B848A-F36E-4E76-80E8-6ACB90A0B68A}"/>
    <cellStyle name="40% - Accent1 7 3 3" xfId="14242" xr:uid="{BD8D0B87-9539-4AA6-A4A9-FCBA9E4615B3}"/>
    <cellStyle name="40% - Accent1 7 4" xfId="18465" xr:uid="{653BD7E4-C235-4CE7-B0DB-FFF870C17763}"/>
    <cellStyle name="40% - Accent1 7 5" xfId="10024" xr:uid="{AFD732F4-C147-4B87-9D35-BE664F3C92E3}"/>
    <cellStyle name="40% - Accent1 8" xfId="1899" xr:uid="{00000000-0005-0000-0000-00005A040000}"/>
    <cellStyle name="40% - Accent1 8 2" xfId="4128" xr:uid="{00000000-0005-0000-0000-00005B040000}"/>
    <cellStyle name="40% - Accent1 8 2 2" xfId="8350" xr:uid="{00000000-0005-0000-0000-00005C040000}"/>
    <cellStyle name="40% - Accent1 8 2 2 2" xfId="25241" xr:uid="{ECBA9C57-BAF4-4110-B044-DE113067ED81}"/>
    <cellStyle name="40% - Accent1 8 2 2 3" xfId="16800" xr:uid="{07A78335-61A3-4979-B115-4320E5DC4C36}"/>
    <cellStyle name="40% - Accent1 8 2 3" xfId="21023" xr:uid="{42B44319-DAF4-4A2D-9B56-A958A6525E54}"/>
    <cellStyle name="40% - Accent1 8 2 4" xfId="12582" xr:uid="{B66F1090-5F91-4550-B3FD-B6A240565F58}"/>
    <cellStyle name="40% - Accent1 8 3" xfId="6205" xr:uid="{00000000-0005-0000-0000-00005D040000}"/>
    <cellStyle name="40% - Accent1 8 3 2" xfId="23096" xr:uid="{F248558C-6A18-4ED5-B6BC-47D4DEFCDF7C}"/>
    <cellStyle name="40% - Accent1 8 3 3" xfId="14655" xr:uid="{4AE28813-E542-417E-81A9-2E6428731B65}"/>
    <cellStyle name="40% - Accent1 8 4" xfId="18878" xr:uid="{991842B0-62EF-40B0-95D2-6B754615D787}"/>
    <cellStyle name="40% - Accent1 8 5" xfId="10437" xr:uid="{D212F95F-E2B5-4922-8896-532A26EE4892}"/>
    <cellStyle name="40% - Accent1 9" xfId="2312" xr:uid="{00000000-0005-0000-0000-00005E040000}"/>
    <cellStyle name="40% - Accent1 9 2" xfId="6618" xr:uid="{00000000-0005-0000-0000-00005F040000}"/>
    <cellStyle name="40% - Accent1 9 2 2" xfId="23509" xr:uid="{091BC896-9865-4A6A-93CB-FFD09F106E9C}"/>
    <cellStyle name="40% - Accent1 9 2 3" xfId="15068" xr:uid="{9DB57231-B695-406C-9BBD-4327F0FBA9AA}"/>
    <cellStyle name="40% - Accent1 9 3" xfId="19291" xr:uid="{0BC72309-C4A0-4866-92BA-FE3D96FFA375}"/>
    <cellStyle name="40% - Accent1 9 4" xfId="10850" xr:uid="{65A0F8DA-9EE7-4EA8-83A0-5DADD1C7BADE}"/>
    <cellStyle name="40% - Accent2" xfId="57" builtinId="35" customBuiltin="1"/>
    <cellStyle name="40% - Accent2 10" xfId="4560" xr:uid="{00000000-0005-0000-0000-000061040000}"/>
    <cellStyle name="40% - Accent2 10 2" xfId="21451" xr:uid="{8CE8DC35-DA58-42E9-833C-1EC1C8AD845A}"/>
    <cellStyle name="40% - Accent2 10 3" xfId="13010" xr:uid="{D22A29A3-F19F-497A-9EB7-214799AA9FCB}"/>
    <cellStyle name="40% - Accent2 11" xfId="17233" xr:uid="{A2B10119-C463-4C93-ABC0-F069E6C0DDE8}"/>
    <cellStyle name="40% - Accent2 12" xfId="8792" xr:uid="{E57FE9F9-B26B-4C59-9055-8D0D3738CF2C}"/>
    <cellStyle name="40% - Accent2 2" xfId="58" xr:uid="{00000000-0005-0000-0000-000062040000}"/>
    <cellStyle name="40% - Accent2 2 10" xfId="17234" xr:uid="{1B958508-F4DA-4F3A-93E8-3DABB4270C12}"/>
    <cellStyle name="40% - Accent2 2 11" xfId="8793" xr:uid="{4DB58235-B728-4754-A146-FC5860803AAE}"/>
    <cellStyle name="40% - Accent2 2 2" xfId="59" xr:uid="{00000000-0005-0000-0000-000063040000}"/>
    <cellStyle name="40% - Accent2 2 2 10" xfId="8794" xr:uid="{F8CD6E63-AD9B-4685-93E9-FD132E2018C1}"/>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2 2 2" xfId="24013" xr:uid="{34786F4B-3D2B-4D33-836B-79F5BC4CE0C4}"/>
    <cellStyle name="40% - Accent2 2 2 2 2 2 2 3" xfId="15572" xr:uid="{8348F13D-CB33-42D7-9F1E-40916CAF733F}"/>
    <cellStyle name="40% - Accent2 2 2 2 2 2 3" xfId="19795" xr:uid="{26A3A13D-898E-4349-B0BB-2D86DF97AE67}"/>
    <cellStyle name="40% - Accent2 2 2 2 2 2 4" xfId="11354" xr:uid="{0C632531-EF54-4EDD-9235-7B7CA484742B}"/>
    <cellStyle name="40% - Accent2 2 2 2 2 3" xfId="4977" xr:uid="{00000000-0005-0000-0000-000068040000}"/>
    <cellStyle name="40% - Accent2 2 2 2 2 3 2" xfId="21868" xr:uid="{25BAAD90-47F9-43FD-B3BF-4B94F8F7A648}"/>
    <cellStyle name="40% - Accent2 2 2 2 2 3 3" xfId="13427" xr:uid="{3D1D47C5-AAC9-4628-82AF-1C36F27BA1DB}"/>
    <cellStyle name="40% - Accent2 2 2 2 2 4" xfId="17650" xr:uid="{E4BCF3AB-3AD0-48F7-AD04-A442F8113950}"/>
    <cellStyle name="40% - Accent2 2 2 2 2 5" xfId="9209" xr:uid="{A642AEBB-5A8C-4824-B561-B9006AC80901}"/>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2 2 2" xfId="24426" xr:uid="{CAE75DF4-FF6E-4500-B01A-E7BD176546B6}"/>
    <cellStyle name="40% - Accent2 2 2 2 3 2 2 3" xfId="15985" xr:uid="{B50BEC57-8B5A-41BD-88F3-38F6BA4EB2E0}"/>
    <cellStyle name="40% - Accent2 2 2 2 3 2 3" xfId="20208" xr:uid="{6E2F6D88-A26F-419F-A809-B840D01CDFC3}"/>
    <cellStyle name="40% - Accent2 2 2 2 3 2 4" xfId="11767" xr:uid="{9CD027C9-7B47-40F9-911C-5C9D4524CDC5}"/>
    <cellStyle name="40% - Accent2 2 2 2 3 3" xfId="5390" xr:uid="{00000000-0005-0000-0000-00006C040000}"/>
    <cellStyle name="40% - Accent2 2 2 2 3 3 2" xfId="22281" xr:uid="{8E46C0A6-84F4-4273-A3D3-7D541F456DAE}"/>
    <cellStyle name="40% - Accent2 2 2 2 3 3 3" xfId="13840" xr:uid="{C5E00316-61C7-426D-9FFB-EA901EB4001A}"/>
    <cellStyle name="40% - Accent2 2 2 2 3 4" xfId="18063" xr:uid="{E8251A39-2187-430C-B177-B5CD5D8E8291}"/>
    <cellStyle name="40% - Accent2 2 2 2 3 5" xfId="9622" xr:uid="{82E01B13-8A2C-4D29-866E-98D1E3A8E21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2 2 2" xfId="24839" xr:uid="{730C48D4-1180-46EC-8BC9-435AE968ED0E}"/>
    <cellStyle name="40% - Accent2 2 2 2 4 2 2 3" xfId="16398" xr:uid="{9C2C1E2B-EAC1-4B82-A3B2-3E3937EC6999}"/>
    <cellStyle name="40% - Accent2 2 2 2 4 2 3" xfId="20621" xr:uid="{8C2DAD56-2B3F-4F6C-BAC1-CCED0EC1CF04}"/>
    <cellStyle name="40% - Accent2 2 2 2 4 2 4" xfId="12180" xr:uid="{866386A1-49A1-45EF-B9AC-06E14C93CBF3}"/>
    <cellStyle name="40% - Accent2 2 2 2 4 3" xfId="5803" xr:uid="{00000000-0005-0000-0000-000070040000}"/>
    <cellStyle name="40% - Accent2 2 2 2 4 3 2" xfId="22694" xr:uid="{B672E6AD-E252-49F9-BD63-4045D6536EFD}"/>
    <cellStyle name="40% - Accent2 2 2 2 4 3 3" xfId="14253" xr:uid="{ED599EDC-D1A5-4B3F-8638-1F6F9BD92735}"/>
    <cellStyle name="40% - Accent2 2 2 2 4 4" xfId="18476" xr:uid="{AD4969C7-2A53-4F0B-AF59-DFFEA9790FDC}"/>
    <cellStyle name="40% - Accent2 2 2 2 4 5" xfId="10035" xr:uid="{32ABF392-AD13-4105-9647-70A2862D1464}"/>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2 2 2" xfId="25252" xr:uid="{8334CD02-3216-418C-A13D-8158BBC3A6B4}"/>
    <cellStyle name="40% - Accent2 2 2 2 5 2 2 3" xfId="16811" xr:uid="{DA17DB5D-41D5-4370-A6A3-4E51936E054A}"/>
    <cellStyle name="40% - Accent2 2 2 2 5 2 3" xfId="21034" xr:uid="{16B6FFEA-7F8D-4841-8DF3-7FA6AB8B15C0}"/>
    <cellStyle name="40% - Accent2 2 2 2 5 2 4" xfId="12593" xr:uid="{19B8A732-6735-4493-9FAB-0810461EB5E9}"/>
    <cellStyle name="40% - Accent2 2 2 2 5 3" xfId="6216" xr:uid="{00000000-0005-0000-0000-000074040000}"/>
    <cellStyle name="40% - Accent2 2 2 2 5 3 2" xfId="23107" xr:uid="{D941A13F-C5BE-4829-8DAA-2109D650FA31}"/>
    <cellStyle name="40% - Accent2 2 2 2 5 3 3" xfId="14666" xr:uid="{466E0971-7102-42E5-9E3F-FFCDB460D419}"/>
    <cellStyle name="40% - Accent2 2 2 2 5 4" xfId="18889" xr:uid="{344E406F-F2E4-44A1-8655-D9D5F6F90305}"/>
    <cellStyle name="40% - Accent2 2 2 2 5 5" xfId="10448" xr:uid="{EF28CD83-3F82-4430-B34D-4F94B4FDB66B}"/>
    <cellStyle name="40% - Accent2 2 2 2 6" xfId="2323" xr:uid="{00000000-0005-0000-0000-000075040000}"/>
    <cellStyle name="40% - Accent2 2 2 2 6 2" xfId="6629" xr:uid="{00000000-0005-0000-0000-000076040000}"/>
    <cellStyle name="40% - Accent2 2 2 2 6 2 2" xfId="23520" xr:uid="{B954B18D-19F4-40A3-A24E-28F3E101A7E2}"/>
    <cellStyle name="40% - Accent2 2 2 2 6 2 3" xfId="15079" xr:uid="{667742ED-77FF-445C-AD0E-49F1103080C8}"/>
    <cellStyle name="40% - Accent2 2 2 2 6 3" xfId="19302" xr:uid="{68935F4B-D14D-4429-8F1C-4F7BE4CFDE07}"/>
    <cellStyle name="40% - Accent2 2 2 2 6 4" xfId="10861" xr:uid="{ECFD9B9B-63FA-43B7-9FDE-8D81BCBF15BD}"/>
    <cellStyle name="40% - Accent2 2 2 2 7" xfId="4563" xr:uid="{00000000-0005-0000-0000-000077040000}"/>
    <cellStyle name="40% - Accent2 2 2 2 7 2" xfId="21454" xr:uid="{72CFBA1B-1538-4931-9F18-24800D68FE82}"/>
    <cellStyle name="40% - Accent2 2 2 2 7 3" xfId="13013" xr:uid="{B0329B4E-1C08-417E-9DE1-932DBC9CC062}"/>
    <cellStyle name="40% - Accent2 2 2 2 8" xfId="17236" xr:uid="{494EBFB1-BF62-4350-B7A2-642ECEFBED7B}"/>
    <cellStyle name="40% - Accent2 2 2 2 9" xfId="8795" xr:uid="{1F65BC05-C411-4381-9D7F-4E7BCBF46876}"/>
    <cellStyle name="40% - Accent2 2 2 3" xfId="628" xr:uid="{00000000-0005-0000-0000-000078040000}"/>
    <cellStyle name="40% - Accent2 2 2 3 2" xfId="2899" xr:uid="{00000000-0005-0000-0000-000079040000}"/>
    <cellStyle name="40% - Accent2 2 2 3 2 2" xfId="7121" xr:uid="{00000000-0005-0000-0000-00007A040000}"/>
    <cellStyle name="40% - Accent2 2 2 3 2 2 2" xfId="24012" xr:uid="{C156C7ED-A67B-4F25-A697-28BE87959B17}"/>
    <cellStyle name="40% - Accent2 2 2 3 2 2 3" xfId="15571" xr:uid="{3D57D4DE-A4E4-492E-B646-B8DFE89B9086}"/>
    <cellStyle name="40% - Accent2 2 2 3 2 3" xfId="19794" xr:uid="{7D138BCF-2255-42BC-A35A-B5889A60278D}"/>
    <cellStyle name="40% - Accent2 2 2 3 2 4" xfId="11353" xr:uid="{3ABA4245-DF51-446B-B8E4-CD4B2FF48A36}"/>
    <cellStyle name="40% - Accent2 2 2 3 3" xfId="4976" xr:uid="{00000000-0005-0000-0000-00007B040000}"/>
    <cellStyle name="40% - Accent2 2 2 3 3 2" xfId="21867" xr:uid="{CE8E1BA8-9054-463D-ACE0-14F35388401B}"/>
    <cellStyle name="40% - Accent2 2 2 3 3 3" xfId="13426" xr:uid="{7D223C32-BFA3-418F-9640-EEBB81EB0C5D}"/>
    <cellStyle name="40% - Accent2 2 2 3 4" xfId="17649" xr:uid="{A05023F5-1637-4049-848E-3E3AFA5194EE}"/>
    <cellStyle name="40% - Accent2 2 2 3 5" xfId="9208" xr:uid="{5E6E6788-7762-4B1D-B3A4-49838A0B2559}"/>
    <cellStyle name="40% - Accent2 2 2 4" xfId="1081" xr:uid="{00000000-0005-0000-0000-00007C040000}"/>
    <cellStyle name="40% - Accent2 2 2 4 2" xfId="3312" xr:uid="{00000000-0005-0000-0000-00007D040000}"/>
    <cellStyle name="40% - Accent2 2 2 4 2 2" xfId="7534" xr:uid="{00000000-0005-0000-0000-00007E040000}"/>
    <cellStyle name="40% - Accent2 2 2 4 2 2 2" xfId="24425" xr:uid="{AAEFA504-6EA2-46CF-A0FA-06D61B6886D0}"/>
    <cellStyle name="40% - Accent2 2 2 4 2 2 3" xfId="15984" xr:uid="{BDC0E088-6EEA-4332-9B7B-573B3E28D4CE}"/>
    <cellStyle name="40% - Accent2 2 2 4 2 3" xfId="20207" xr:uid="{ADF73002-74E6-4AE8-A3D3-A06E72A206AB}"/>
    <cellStyle name="40% - Accent2 2 2 4 2 4" xfId="11766" xr:uid="{A149FB85-7318-49FE-A2F8-DC4A75520A52}"/>
    <cellStyle name="40% - Accent2 2 2 4 3" xfId="5389" xr:uid="{00000000-0005-0000-0000-00007F040000}"/>
    <cellStyle name="40% - Accent2 2 2 4 3 2" xfId="22280" xr:uid="{D697B634-684B-4035-9179-52569DB39257}"/>
    <cellStyle name="40% - Accent2 2 2 4 3 3" xfId="13839" xr:uid="{CF2D7A62-0A15-430F-936C-7C7FCBE14D0F}"/>
    <cellStyle name="40% - Accent2 2 2 4 4" xfId="18062" xr:uid="{AA0B9541-8259-496B-953D-14A5D81E5908}"/>
    <cellStyle name="40% - Accent2 2 2 4 5" xfId="9621" xr:uid="{3CBC68E9-2B2E-4606-BBF5-26D6249C2AD5}"/>
    <cellStyle name="40% - Accent2 2 2 5" xfId="1495" xr:uid="{00000000-0005-0000-0000-000080040000}"/>
    <cellStyle name="40% - Accent2 2 2 5 2" xfId="3725" xr:uid="{00000000-0005-0000-0000-000081040000}"/>
    <cellStyle name="40% - Accent2 2 2 5 2 2" xfId="7947" xr:uid="{00000000-0005-0000-0000-000082040000}"/>
    <cellStyle name="40% - Accent2 2 2 5 2 2 2" xfId="24838" xr:uid="{A1FC6F50-6DE3-4164-A073-C36427610A0E}"/>
    <cellStyle name="40% - Accent2 2 2 5 2 2 3" xfId="16397" xr:uid="{D6D4F8B8-205F-4D1A-94CB-D8134528D04A}"/>
    <cellStyle name="40% - Accent2 2 2 5 2 3" xfId="20620" xr:uid="{4365DBA5-092C-4DDD-8011-76B3E17BBE7F}"/>
    <cellStyle name="40% - Accent2 2 2 5 2 4" xfId="12179" xr:uid="{1E4002DB-CFE0-4683-9F7F-C0867658AE90}"/>
    <cellStyle name="40% - Accent2 2 2 5 3" xfId="5802" xr:uid="{00000000-0005-0000-0000-000083040000}"/>
    <cellStyle name="40% - Accent2 2 2 5 3 2" xfId="22693" xr:uid="{CEC8D5EC-188D-4E0F-A2F7-5C30F0FD0ABD}"/>
    <cellStyle name="40% - Accent2 2 2 5 3 3" xfId="14252" xr:uid="{71ED0083-EC19-433A-B113-A6E1C654CAB1}"/>
    <cellStyle name="40% - Accent2 2 2 5 4" xfId="18475" xr:uid="{0825DA3E-242A-43FB-8F73-919741B0A173}"/>
    <cellStyle name="40% - Accent2 2 2 5 5" xfId="10034" xr:uid="{B1D21326-2506-4FEA-ADB8-916D60C35803}"/>
    <cellStyle name="40% - Accent2 2 2 6" xfId="1909" xr:uid="{00000000-0005-0000-0000-000084040000}"/>
    <cellStyle name="40% - Accent2 2 2 6 2" xfId="4138" xr:uid="{00000000-0005-0000-0000-000085040000}"/>
    <cellStyle name="40% - Accent2 2 2 6 2 2" xfId="8360" xr:uid="{00000000-0005-0000-0000-000086040000}"/>
    <cellStyle name="40% - Accent2 2 2 6 2 2 2" xfId="25251" xr:uid="{961C62BA-C378-4D24-8335-15F6B70AA890}"/>
    <cellStyle name="40% - Accent2 2 2 6 2 2 3" xfId="16810" xr:uid="{18D9A810-7095-4683-9BEA-B306BF7E3466}"/>
    <cellStyle name="40% - Accent2 2 2 6 2 3" xfId="21033" xr:uid="{AE956460-58B8-4425-8149-1964934EFDB4}"/>
    <cellStyle name="40% - Accent2 2 2 6 2 4" xfId="12592" xr:uid="{1B47C971-FA13-47B3-9D0D-53B926C52E62}"/>
    <cellStyle name="40% - Accent2 2 2 6 3" xfId="6215" xr:uid="{00000000-0005-0000-0000-000087040000}"/>
    <cellStyle name="40% - Accent2 2 2 6 3 2" xfId="23106" xr:uid="{4BB3B606-36B0-4077-BA4A-EB5859AFCC60}"/>
    <cellStyle name="40% - Accent2 2 2 6 3 3" xfId="14665" xr:uid="{22CE094C-210D-412D-8D73-8A7AD1DE226B}"/>
    <cellStyle name="40% - Accent2 2 2 6 4" xfId="18888" xr:uid="{04A3C88A-FA71-47CC-A2FC-BED6EA705F14}"/>
    <cellStyle name="40% - Accent2 2 2 6 5" xfId="10447" xr:uid="{2DF892F2-11CA-40B9-AEFA-C6790364976F}"/>
    <cellStyle name="40% - Accent2 2 2 7" xfId="2322" xr:uid="{00000000-0005-0000-0000-000088040000}"/>
    <cellStyle name="40% - Accent2 2 2 7 2" xfId="6628" xr:uid="{00000000-0005-0000-0000-000089040000}"/>
    <cellStyle name="40% - Accent2 2 2 7 2 2" xfId="23519" xr:uid="{84ACB093-18B1-4C3B-B1E4-F146BB0508F9}"/>
    <cellStyle name="40% - Accent2 2 2 7 2 3" xfId="15078" xr:uid="{F03AEAB1-E47A-4A86-9CDA-A340160E9D6C}"/>
    <cellStyle name="40% - Accent2 2 2 7 3" xfId="19301" xr:uid="{8992CB55-131E-42B2-AAFF-7B5691FA00C6}"/>
    <cellStyle name="40% - Accent2 2 2 7 4" xfId="10860" xr:uid="{1CBFE517-D0FF-489D-AEE5-53D3FBB31F52}"/>
    <cellStyle name="40% - Accent2 2 2 8" xfId="4562" xr:uid="{00000000-0005-0000-0000-00008A040000}"/>
    <cellStyle name="40% - Accent2 2 2 8 2" xfId="21453" xr:uid="{F74C423C-A821-4C99-A93F-D592DA093215}"/>
    <cellStyle name="40% - Accent2 2 2 8 3" xfId="13012" xr:uid="{30CF2427-89F4-4A34-9714-C9A088C9EDE7}"/>
    <cellStyle name="40% - Accent2 2 2 9" xfId="17235" xr:uid="{D9FE318C-18E0-4D19-B000-95E08CAE0F56}"/>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2 2 2" xfId="24014" xr:uid="{321FFCE8-4458-44CA-B2C8-59E32D3AE06A}"/>
    <cellStyle name="40% - Accent2 2 3 2 2 2 3" xfId="15573" xr:uid="{747AC5D7-B18D-4CB7-AD8B-0B80D639640E}"/>
    <cellStyle name="40% - Accent2 2 3 2 2 3" xfId="19796" xr:uid="{115AAF01-5143-4A6A-B970-C12A5F067E20}"/>
    <cellStyle name="40% - Accent2 2 3 2 2 4" xfId="11355" xr:uid="{7C1F2466-1B2B-4002-BF5C-567A1DFA3D6D}"/>
    <cellStyle name="40% - Accent2 2 3 2 3" xfId="4978" xr:uid="{00000000-0005-0000-0000-00008F040000}"/>
    <cellStyle name="40% - Accent2 2 3 2 3 2" xfId="21869" xr:uid="{C190B14F-95B4-4287-8446-428B9899DC57}"/>
    <cellStyle name="40% - Accent2 2 3 2 3 3" xfId="13428" xr:uid="{72867F20-B799-4F4D-81D6-0C1A7558D0F2}"/>
    <cellStyle name="40% - Accent2 2 3 2 4" xfId="17651" xr:uid="{F59CB9D8-00F7-439A-B28C-7D31A8C5F078}"/>
    <cellStyle name="40% - Accent2 2 3 2 5" xfId="9210" xr:uid="{A9524B8A-96A1-46E1-ADF0-8C70BA49D0E0}"/>
    <cellStyle name="40% - Accent2 2 3 3" xfId="1083" xr:uid="{00000000-0005-0000-0000-000090040000}"/>
    <cellStyle name="40% - Accent2 2 3 3 2" xfId="3314" xr:uid="{00000000-0005-0000-0000-000091040000}"/>
    <cellStyle name="40% - Accent2 2 3 3 2 2" xfId="7536" xr:uid="{00000000-0005-0000-0000-000092040000}"/>
    <cellStyle name="40% - Accent2 2 3 3 2 2 2" xfId="24427" xr:uid="{AA6450F2-A68B-4E05-B0D8-04899AB9FC8E}"/>
    <cellStyle name="40% - Accent2 2 3 3 2 2 3" xfId="15986" xr:uid="{0F452CC9-C546-45D9-9CCD-5E2DD2C3F79A}"/>
    <cellStyle name="40% - Accent2 2 3 3 2 3" xfId="20209" xr:uid="{48170677-1D87-4E8A-A7DE-4B85EFE4BE80}"/>
    <cellStyle name="40% - Accent2 2 3 3 2 4" xfId="11768" xr:uid="{F00502E5-4254-44E7-B914-3B3235EB9D99}"/>
    <cellStyle name="40% - Accent2 2 3 3 3" xfId="5391" xr:uid="{00000000-0005-0000-0000-000093040000}"/>
    <cellStyle name="40% - Accent2 2 3 3 3 2" xfId="22282" xr:uid="{FC6D28E3-040E-4C78-82F7-B4D8AEDF65AF}"/>
    <cellStyle name="40% - Accent2 2 3 3 3 3" xfId="13841" xr:uid="{C0DCC944-F914-47C2-B4BA-38CF8D2BA4EF}"/>
    <cellStyle name="40% - Accent2 2 3 3 4" xfId="18064" xr:uid="{E2043C7B-EC57-46A9-92DA-8EA3367E4D77}"/>
    <cellStyle name="40% - Accent2 2 3 3 5" xfId="9623" xr:uid="{4C15CB39-D90F-46D3-925A-C494300A8788}"/>
    <cellStyle name="40% - Accent2 2 3 4" xfId="1497" xr:uid="{00000000-0005-0000-0000-000094040000}"/>
    <cellStyle name="40% - Accent2 2 3 4 2" xfId="3727" xr:uid="{00000000-0005-0000-0000-000095040000}"/>
    <cellStyle name="40% - Accent2 2 3 4 2 2" xfId="7949" xr:uid="{00000000-0005-0000-0000-000096040000}"/>
    <cellStyle name="40% - Accent2 2 3 4 2 2 2" xfId="24840" xr:uid="{68D09561-3685-414E-B1AE-A498EC8C794C}"/>
    <cellStyle name="40% - Accent2 2 3 4 2 2 3" xfId="16399" xr:uid="{34BA7570-D916-4C5E-ADFD-38A4574DAC58}"/>
    <cellStyle name="40% - Accent2 2 3 4 2 3" xfId="20622" xr:uid="{B740417B-45D3-48F7-8B9F-BC1CB327AFA6}"/>
    <cellStyle name="40% - Accent2 2 3 4 2 4" xfId="12181" xr:uid="{BE1AA582-8A65-4D3A-A2E1-C76FF9D36C0F}"/>
    <cellStyle name="40% - Accent2 2 3 4 3" xfId="5804" xr:uid="{00000000-0005-0000-0000-000097040000}"/>
    <cellStyle name="40% - Accent2 2 3 4 3 2" xfId="22695" xr:uid="{B33E56D4-E734-4B18-93FD-AB1DFBE5DDD0}"/>
    <cellStyle name="40% - Accent2 2 3 4 3 3" xfId="14254" xr:uid="{9646E043-770E-422C-849F-2BBB17FC0E7D}"/>
    <cellStyle name="40% - Accent2 2 3 4 4" xfId="18477" xr:uid="{7DD5B11F-2320-4DA7-927F-F44CF86C1FFD}"/>
    <cellStyle name="40% - Accent2 2 3 4 5" xfId="10036" xr:uid="{94160D8D-3EEF-41FF-A474-D3C67A4C98B1}"/>
    <cellStyle name="40% - Accent2 2 3 5" xfId="1911" xr:uid="{00000000-0005-0000-0000-000098040000}"/>
    <cellStyle name="40% - Accent2 2 3 5 2" xfId="4140" xr:uid="{00000000-0005-0000-0000-000099040000}"/>
    <cellStyle name="40% - Accent2 2 3 5 2 2" xfId="8362" xr:uid="{00000000-0005-0000-0000-00009A040000}"/>
    <cellStyle name="40% - Accent2 2 3 5 2 2 2" xfId="25253" xr:uid="{2BFF56C3-02CF-4E26-BB47-A933511CFEAB}"/>
    <cellStyle name="40% - Accent2 2 3 5 2 2 3" xfId="16812" xr:uid="{1F3327EA-5352-49F9-ADC1-AC13F5DB20CB}"/>
    <cellStyle name="40% - Accent2 2 3 5 2 3" xfId="21035" xr:uid="{9186A109-8E8D-44F0-A3F2-45065DEF4A4B}"/>
    <cellStyle name="40% - Accent2 2 3 5 2 4" xfId="12594" xr:uid="{2B0B9B01-9C51-4B54-9777-5D25E1B6EC19}"/>
    <cellStyle name="40% - Accent2 2 3 5 3" xfId="6217" xr:uid="{00000000-0005-0000-0000-00009B040000}"/>
    <cellStyle name="40% - Accent2 2 3 5 3 2" xfId="23108" xr:uid="{032FDD34-EB56-4089-BD12-E4918EB50E3D}"/>
    <cellStyle name="40% - Accent2 2 3 5 3 3" xfId="14667" xr:uid="{09850833-891B-4000-B2D7-99BB8A975C32}"/>
    <cellStyle name="40% - Accent2 2 3 5 4" xfId="18890" xr:uid="{04D91C44-CBF5-4BC0-85CD-075189D54556}"/>
    <cellStyle name="40% - Accent2 2 3 5 5" xfId="10449" xr:uid="{5477F95B-8C44-48FF-84EA-ED435A952A1E}"/>
    <cellStyle name="40% - Accent2 2 3 6" xfId="2324" xr:uid="{00000000-0005-0000-0000-00009C040000}"/>
    <cellStyle name="40% - Accent2 2 3 6 2" xfId="6630" xr:uid="{00000000-0005-0000-0000-00009D040000}"/>
    <cellStyle name="40% - Accent2 2 3 6 2 2" xfId="23521" xr:uid="{02B34EE0-D39E-40B8-9C09-DC93801B2F8B}"/>
    <cellStyle name="40% - Accent2 2 3 6 2 3" xfId="15080" xr:uid="{4A4D5065-1B83-451D-9D1D-20D3E39125BF}"/>
    <cellStyle name="40% - Accent2 2 3 6 3" xfId="19303" xr:uid="{67BF24E1-DFC5-442E-A8E9-96708319556D}"/>
    <cellStyle name="40% - Accent2 2 3 6 4" xfId="10862" xr:uid="{388C6F16-234F-476B-B677-4E9EDF94F83C}"/>
    <cellStyle name="40% - Accent2 2 3 7" xfId="4564" xr:uid="{00000000-0005-0000-0000-00009E040000}"/>
    <cellStyle name="40% - Accent2 2 3 7 2" xfId="21455" xr:uid="{D9F116E6-BEDC-4E57-85D8-7C6A7AB65ABF}"/>
    <cellStyle name="40% - Accent2 2 3 7 3" xfId="13014" xr:uid="{3E979984-5B84-46F7-B2BB-936D892AFBB6}"/>
    <cellStyle name="40% - Accent2 2 3 8" xfId="17237" xr:uid="{91F45121-F7DF-46DB-8C16-BA1859F8B197}"/>
    <cellStyle name="40% - Accent2 2 3 9" xfId="8796" xr:uid="{2C511D31-78B9-494B-8B12-227158BB2680}"/>
    <cellStyle name="40% - Accent2 2 4" xfId="627" xr:uid="{00000000-0005-0000-0000-00009F040000}"/>
    <cellStyle name="40% - Accent2 2 4 2" xfId="2898" xr:uid="{00000000-0005-0000-0000-0000A0040000}"/>
    <cellStyle name="40% - Accent2 2 4 2 2" xfId="7120" xr:uid="{00000000-0005-0000-0000-0000A1040000}"/>
    <cellStyle name="40% - Accent2 2 4 2 2 2" xfId="24011" xr:uid="{0950D9D2-E5DA-4AB2-8954-D9BB5E35EFC2}"/>
    <cellStyle name="40% - Accent2 2 4 2 2 3" xfId="15570" xr:uid="{182165FE-BFA3-4111-8B40-0C25245124C6}"/>
    <cellStyle name="40% - Accent2 2 4 2 3" xfId="19793" xr:uid="{0596E53E-1F2C-4A9B-ADD9-C1F184D94062}"/>
    <cellStyle name="40% - Accent2 2 4 2 4" xfId="11352" xr:uid="{60E7083C-65F2-4D9B-BDEC-D1B495FB2E35}"/>
    <cellStyle name="40% - Accent2 2 4 3" xfId="4975" xr:uid="{00000000-0005-0000-0000-0000A2040000}"/>
    <cellStyle name="40% - Accent2 2 4 3 2" xfId="21866" xr:uid="{A3A0C955-0E95-4F92-81DC-D8CB271C07FD}"/>
    <cellStyle name="40% - Accent2 2 4 3 3" xfId="13425" xr:uid="{119DD269-626F-468D-9853-61B8F24B2229}"/>
    <cellStyle name="40% - Accent2 2 4 4" xfId="17648" xr:uid="{97B1A06F-B2CC-4139-A098-4B1939545B36}"/>
    <cellStyle name="40% - Accent2 2 4 5" xfId="9207" xr:uid="{6BD4BEB6-AFE3-4DA6-BC1F-6983E53438EA}"/>
    <cellStyle name="40% - Accent2 2 5" xfId="1080" xr:uid="{00000000-0005-0000-0000-0000A3040000}"/>
    <cellStyle name="40% - Accent2 2 5 2" xfId="3311" xr:uid="{00000000-0005-0000-0000-0000A4040000}"/>
    <cellStyle name="40% - Accent2 2 5 2 2" xfId="7533" xr:uid="{00000000-0005-0000-0000-0000A5040000}"/>
    <cellStyle name="40% - Accent2 2 5 2 2 2" xfId="24424" xr:uid="{BFBC1F16-FDD7-4A74-823C-8D75C9CBE535}"/>
    <cellStyle name="40% - Accent2 2 5 2 2 3" xfId="15983" xr:uid="{4DDF2FB2-769E-45B8-AEE8-191FD16F8707}"/>
    <cellStyle name="40% - Accent2 2 5 2 3" xfId="20206" xr:uid="{EA5204A4-859B-4E98-8144-81C69E576830}"/>
    <cellStyle name="40% - Accent2 2 5 2 4" xfId="11765" xr:uid="{5EC48406-2E4D-4940-9961-67230E3B498E}"/>
    <cellStyle name="40% - Accent2 2 5 3" xfId="5388" xr:uid="{00000000-0005-0000-0000-0000A6040000}"/>
    <cellStyle name="40% - Accent2 2 5 3 2" xfId="22279" xr:uid="{1CE3A5BA-DB59-4891-A6C9-1EE0DC029701}"/>
    <cellStyle name="40% - Accent2 2 5 3 3" xfId="13838" xr:uid="{7786A239-BE13-4386-B358-2DB4DE90E846}"/>
    <cellStyle name="40% - Accent2 2 5 4" xfId="18061" xr:uid="{991BCDB6-147B-42F7-AC69-568C4488D6C9}"/>
    <cellStyle name="40% - Accent2 2 5 5" xfId="9620" xr:uid="{7EC38823-FCF8-486D-89A5-F22B59F222D1}"/>
    <cellStyle name="40% - Accent2 2 6" xfId="1494" xr:uid="{00000000-0005-0000-0000-0000A7040000}"/>
    <cellStyle name="40% - Accent2 2 6 2" xfId="3724" xr:uid="{00000000-0005-0000-0000-0000A8040000}"/>
    <cellStyle name="40% - Accent2 2 6 2 2" xfId="7946" xr:uid="{00000000-0005-0000-0000-0000A9040000}"/>
    <cellStyle name="40% - Accent2 2 6 2 2 2" xfId="24837" xr:uid="{8B5C6DAC-FCC4-46F3-A4DA-67878CE5120D}"/>
    <cellStyle name="40% - Accent2 2 6 2 2 3" xfId="16396" xr:uid="{FBB396EF-AC83-4940-96FE-9BBBCD664CB1}"/>
    <cellStyle name="40% - Accent2 2 6 2 3" xfId="20619" xr:uid="{915EEA2F-9843-4BC1-B1E8-F59FD6876A85}"/>
    <cellStyle name="40% - Accent2 2 6 2 4" xfId="12178" xr:uid="{3C2F574F-FEFA-46F8-A9BF-074DD141BF3D}"/>
    <cellStyle name="40% - Accent2 2 6 3" xfId="5801" xr:uid="{00000000-0005-0000-0000-0000AA040000}"/>
    <cellStyle name="40% - Accent2 2 6 3 2" xfId="22692" xr:uid="{71B5BD16-0E78-4F18-AA41-116434B58CE0}"/>
    <cellStyle name="40% - Accent2 2 6 3 3" xfId="14251" xr:uid="{72A1D1B5-2D48-4E36-964E-418EF0651D82}"/>
    <cellStyle name="40% - Accent2 2 6 4" xfId="18474" xr:uid="{997417DB-1DCF-409B-B8DC-E02134D9EF5E}"/>
    <cellStyle name="40% - Accent2 2 6 5" xfId="10033" xr:uid="{F506050D-25C5-4D06-887F-D9F87B559CB9}"/>
    <cellStyle name="40% - Accent2 2 7" xfId="1908" xr:uid="{00000000-0005-0000-0000-0000AB040000}"/>
    <cellStyle name="40% - Accent2 2 7 2" xfId="4137" xr:uid="{00000000-0005-0000-0000-0000AC040000}"/>
    <cellStyle name="40% - Accent2 2 7 2 2" xfId="8359" xr:uid="{00000000-0005-0000-0000-0000AD040000}"/>
    <cellStyle name="40% - Accent2 2 7 2 2 2" xfId="25250" xr:uid="{113DA3E7-DE81-4491-9190-DF48E66EA347}"/>
    <cellStyle name="40% - Accent2 2 7 2 2 3" xfId="16809" xr:uid="{12AF7386-A859-4C7C-9F4C-09D0F3C846C4}"/>
    <cellStyle name="40% - Accent2 2 7 2 3" xfId="21032" xr:uid="{CC56774A-F391-4003-8445-6B0C748C29A2}"/>
    <cellStyle name="40% - Accent2 2 7 2 4" xfId="12591" xr:uid="{8D1EBD5F-C1C3-40AD-A99A-5BEC6225AC9B}"/>
    <cellStyle name="40% - Accent2 2 7 3" xfId="6214" xr:uid="{00000000-0005-0000-0000-0000AE040000}"/>
    <cellStyle name="40% - Accent2 2 7 3 2" xfId="23105" xr:uid="{DEB577A9-D049-40B3-B428-03272D71E033}"/>
    <cellStyle name="40% - Accent2 2 7 3 3" xfId="14664" xr:uid="{0B6D46E8-A35F-4698-B181-724B0FAEB47E}"/>
    <cellStyle name="40% - Accent2 2 7 4" xfId="18887" xr:uid="{CC4B595C-B17B-4D59-AE28-282CA88940A7}"/>
    <cellStyle name="40% - Accent2 2 7 5" xfId="10446" xr:uid="{0E22D4E2-3F12-47B6-95A8-5D370B16A58E}"/>
    <cellStyle name="40% - Accent2 2 8" xfId="2321" xr:uid="{00000000-0005-0000-0000-0000AF040000}"/>
    <cellStyle name="40% - Accent2 2 8 2" xfId="6627" xr:uid="{00000000-0005-0000-0000-0000B0040000}"/>
    <cellStyle name="40% - Accent2 2 8 2 2" xfId="23518" xr:uid="{10324310-F10A-454B-AC56-98CF59A66E62}"/>
    <cellStyle name="40% - Accent2 2 8 2 3" xfId="15077" xr:uid="{F362562F-F95D-4E52-BE24-34B909A7DC53}"/>
    <cellStyle name="40% - Accent2 2 8 3" xfId="19300" xr:uid="{71264F48-E003-4274-93B6-D050623236D1}"/>
    <cellStyle name="40% - Accent2 2 8 4" xfId="10859" xr:uid="{3DB04EE8-ABC7-4434-862E-78550D54E7D6}"/>
    <cellStyle name="40% - Accent2 2 9" xfId="4561" xr:uid="{00000000-0005-0000-0000-0000B1040000}"/>
    <cellStyle name="40% - Accent2 2 9 2" xfId="21452" xr:uid="{CCFE904A-8807-48A2-A03E-6EF4E45E46F0}"/>
    <cellStyle name="40% - Accent2 2 9 3" xfId="13011" xr:uid="{247C0816-29CA-4109-8022-295AA09ECDB8}"/>
    <cellStyle name="40% - Accent2 3" xfId="62" xr:uid="{00000000-0005-0000-0000-0000B2040000}"/>
    <cellStyle name="40% - Accent2 3 10" xfId="8797" xr:uid="{C70E7BDD-F174-4707-9095-E36CB292C0C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2 2 2" xfId="24016" xr:uid="{866CC782-FFF4-4570-A759-39069C61CB9D}"/>
    <cellStyle name="40% - Accent2 3 2 2 2 2 3" xfId="15575" xr:uid="{3D80D3BF-725C-433F-99A7-F39EFCA09A98}"/>
    <cellStyle name="40% - Accent2 3 2 2 2 3" xfId="19798" xr:uid="{FE2D65B1-4E9E-4BBE-AEE1-B4B28EBFFECA}"/>
    <cellStyle name="40% - Accent2 3 2 2 2 4" xfId="11357" xr:uid="{667A7913-2A02-4AD8-9675-D149F39E53EF}"/>
    <cellStyle name="40% - Accent2 3 2 2 3" xfId="4980" xr:uid="{00000000-0005-0000-0000-0000B7040000}"/>
    <cellStyle name="40% - Accent2 3 2 2 3 2" xfId="21871" xr:uid="{C7DB2ADE-C41A-4775-A581-E1721DC6603E}"/>
    <cellStyle name="40% - Accent2 3 2 2 3 3" xfId="13430" xr:uid="{33C0A17A-85CC-4709-B3F9-E932B90C842D}"/>
    <cellStyle name="40% - Accent2 3 2 2 4" xfId="17653" xr:uid="{DB8E2219-FC8B-4225-8954-24AAF6A31900}"/>
    <cellStyle name="40% - Accent2 3 2 2 5" xfId="9212" xr:uid="{00EE43AF-C276-4752-9482-03028C9CE455}"/>
    <cellStyle name="40% - Accent2 3 2 3" xfId="1085" xr:uid="{00000000-0005-0000-0000-0000B8040000}"/>
    <cellStyle name="40% - Accent2 3 2 3 2" xfId="3316" xr:uid="{00000000-0005-0000-0000-0000B9040000}"/>
    <cellStyle name="40% - Accent2 3 2 3 2 2" xfId="7538" xr:uid="{00000000-0005-0000-0000-0000BA040000}"/>
    <cellStyle name="40% - Accent2 3 2 3 2 2 2" xfId="24429" xr:uid="{031A44C3-CD28-4DA7-BD77-D60988622ECD}"/>
    <cellStyle name="40% - Accent2 3 2 3 2 2 3" xfId="15988" xr:uid="{EE3D598F-3693-47C9-8FA2-2AE655D54752}"/>
    <cellStyle name="40% - Accent2 3 2 3 2 3" xfId="20211" xr:uid="{299BF0AC-0853-4963-A940-B5F4B8AB36FE}"/>
    <cellStyle name="40% - Accent2 3 2 3 2 4" xfId="11770" xr:uid="{95B8C007-FC38-4FF3-9DCD-24FD9C9E1B74}"/>
    <cellStyle name="40% - Accent2 3 2 3 3" xfId="5393" xr:uid="{00000000-0005-0000-0000-0000BB040000}"/>
    <cellStyle name="40% - Accent2 3 2 3 3 2" xfId="22284" xr:uid="{CD7423C1-2B7C-4C4C-9F21-35B92CC986A9}"/>
    <cellStyle name="40% - Accent2 3 2 3 3 3" xfId="13843" xr:uid="{8227C036-82FE-4344-9099-45BD41A5C84B}"/>
    <cellStyle name="40% - Accent2 3 2 3 4" xfId="18066" xr:uid="{75AC139C-C8C0-4459-B88E-191ED094BC39}"/>
    <cellStyle name="40% - Accent2 3 2 3 5" xfId="9625" xr:uid="{5E248FE4-6FAD-4A8E-9D74-985F524E78E7}"/>
    <cellStyle name="40% - Accent2 3 2 4" xfId="1499" xr:uid="{00000000-0005-0000-0000-0000BC040000}"/>
    <cellStyle name="40% - Accent2 3 2 4 2" xfId="3729" xr:uid="{00000000-0005-0000-0000-0000BD040000}"/>
    <cellStyle name="40% - Accent2 3 2 4 2 2" xfId="7951" xr:uid="{00000000-0005-0000-0000-0000BE040000}"/>
    <cellStyle name="40% - Accent2 3 2 4 2 2 2" xfId="24842" xr:uid="{EA50F1A5-C871-46F1-937B-D57FD97537CD}"/>
    <cellStyle name="40% - Accent2 3 2 4 2 2 3" xfId="16401" xr:uid="{62BDC3A8-B431-43D8-966F-83E7982FADF3}"/>
    <cellStyle name="40% - Accent2 3 2 4 2 3" xfId="20624" xr:uid="{86665E6C-343E-4C88-B442-6475ED965AE9}"/>
    <cellStyle name="40% - Accent2 3 2 4 2 4" xfId="12183" xr:uid="{2DF7D7ED-B2B5-451E-B47A-F6B720A8E915}"/>
    <cellStyle name="40% - Accent2 3 2 4 3" xfId="5806" xr:uid="{00000000-0005-0000-0000-0000BF040000}"/>
    <cellStyle name="40% - Accent2 3 2 4 3 2" xfId="22697" xr:uid="{C982E509-C28D-4514-8D53-E2F6FD396C8F}"/>
    <cellStyle name="40% - Accent2 3 2 4 3 3" xfId="14256" xr:uid="{518F95E1-3460-4D09-833A-EB7FF67190A0}"/>
    <cellStyle name="40% - Accent2 3 2 4 4" xfId="18479" xr:uid="{707182E8-3409-4A56-B69E-379F7AE952E2}"/>
    <cellStyle name="40% - Accent2 3 2 4 5" xfId="10038" xr:uid="{5368F916-490B-4D2A-90F9-CE9173D5B0AF}"/>
    <cellStyle name="40% - Accent2 3 2 5" xfId="1913" xr:uid="{00000000-0005-0000-0000-0000C0040000}"/>
    <cellStyle name="40% - Accent2 3 2 5 2" xfId="4142" xr:uid="{00000000-0005-0000-0000-0000C1040000}"/>
    <cellStyle name="40% - Accent2 3 2 5 2 2" xfId="8364" xr:uid="{00000000-0005-0000-0000-0000C2040000}"/>
    <cellStyle name="40% - Accent2 3 2 5 2 2 2" xfId="25255" xr:uid="{F3B36EA0-F111-4ACC-B98C-9BC0F73F6FD4}"/>
    <cellStyle name="40% - Accent2 3 2 5 2 2 3" xfId="16814" xr:uid="{37643FEA-CA4B-4538-82EB-852422E70C23}"/>
    <cellStyle name="40% - Accent2 3 2 5 2 3" xfId="21037" xr:uid="{6CB2D8B5-8335-49BD-8573-A3804A201521}"/>
    <cellStyle name="40% - Accent2 3 2 5 2 4" xfId="12596" xr:uid="{E5C1C749-939D-4520-B152-8D9396D4E539}"/>
    <cellStyle name="40% - Accent2 3 2 5 3" xfId="6219" xr:uid="{00000000-0005-0000-0000-0000C3040000}"/>
    <cellStyle name="40% - Accent2 3 2 5 3 2" xfId="23110" xr:uid="{869EBC3D-C96E-421F-AC9C-D48793058294}"/>
    <cellStyle name="40% - Accent2 3 2 5 3 3" xfId="14669" xr:uid="{5DA0F5D3-9388-4355-B77A-ED6E9BA8E498}"/>
    <cellStyle name="40% - Accent2 3 2 5 4" xfId="18892" xr:uid="{315D1848-5C59-45A5-AE36-60C06A8FA25B}"/>
    <cellStyle name="40% - Accent2 3 2 5 5" xfId="10451" xr:uid="{051F6599-B4EE-4C4A-9798-1A657A29AFB0}"/>
    <cellStyle name="40% - Accent2 3 2 6" xfId="2326" xr:uid="{00000000-0005-0000-0000-0000C4040000}"/>
    <cellStyle name="40% - Accent2 3 2 6 2" xfId="6632" xr:uid="{00000000-0005-0000-0000-0000C5040000}"/>
    <cellStyle name="40% - Accent2 3 2 6 2 2" xfId="23523" xr:uid="{87DF18F4-5F7A-4A5C-A767-DB4D7A3FE02F}"/>
    <cellStyle name="40% - Accent2 3 2 6 2 3" xfId="15082" xr:uid="{A396059E-22EF-4D9C-80E7-EB09DE341DA8}"/>
    <cellStyle name="40% - Accent2 3 2 6 3" xfId="19305" xr:uid="{C6ED3A26-DF20-4DD8-B58C-AFA507E7ECD0}"/>
    <cellStyle name="40% - Accent2 3 2 6 4" xfId="10864" xr:uid="{34FB9717-FD64-4137-B4D7-787D3F4B6554}"/>
    <cellStyle name="40% - Accent2 3 2 7" xfId="4566" xr:uid="{00000000-0005-0000-0000-0000C6040000}"/>
    <cellStyle name="40% - Accent2 3 2 7 2" xfId="21457" xr:uid="{F1E183D7-EEB2-4638-8C31-C000BF1D557B}"/>
    <cellStyle name="40% - Accent2 3 2 7 3" xfId="13016" xr:uid="{77F8302A-BE9A-4204-9F6E-202D92937CB3}"/>
    <cellStyle name="40% - Accent2 3 2 8" xfId="17239" xr:uid="{374F9ABD-75A3-4180-91D8-AC541AAF059B}"/>
    <cellStyle name="40% - Accent2 3 2 9" xfId="8798" xr:uid="{8D20C8CF-0813-43C0-AE1B-DC35386AE72D}"/>
    <cellStyle name="40% - Accent2 3 3" xfId="631" xr:uid="{00000000-0005-0000-0000-0000C7040000}"/>
    <cellStyle name="40% - Accent2 3 3 2" xfId="2902" xr:uid="{00000000-0005-0000-0000-0000C8040000}"/>
    <cellStyle name="40% - Accent2 3 3 2 2" xfId="7124" xr:uid="{00000000-0005-0000-0000-0000C9040000}"/>
    <cellStyle name="40% - Accent2 3 3 2 2 2" xfId="24015" xr:uid="{F6ED083A-9459-417E-A423-29C384BC2E1A}"/>
    <cellStyle name="40% - Accent2 3 3 2 2 3" xfId="15574" xr:uid="{05D83A39-C2B0-4A43-A62D-4AE6964A9907}"/>
    <cellStyle name="40% - Accent2 3 3 2 3" xfId="19797" xr:uid="{1D27B907-719D-4F36-BBEC-F2B17C39C083}"/>
    <cellStyle name="40% - Accent2 3 3 2 4" xfId="11356" xr:uid="{F8F7A3F9-E4F2-4326-95B2-3FB40A254419}"/>
    <cellStyle name="40% - Accent2 3 3 3" xfId="4979" xr:uid="{00000000-0005-0000-0000-0000CA040000}"/>
    <cellStyle name="40% - Accent2 3 3 3 2" xfId="21870" xr:uid="{6A1C5F45-B0C8-4CE0-AD9B-E81085504FF1}"/>
    <cellStyle name="40% - Accent2 3 3 3 3" xfId="13429" xr:uid="{B3A2AC88-4889-4A7A-971C-41300FA75833}"/>
    <cellStyle name="40% - Accent2 3 3 4" xfId="17652" xr:uid="{9D930DF5-0035-420F-954D-069C0944B4BC}"/>
    <cellStyle name="40% - Accent2 3 3 5" xfId="9211" xr:uid="{0F3B5388-000A-4362-B0FE-5F561D4D1B87}"/>
    <cellStyle name="40% - Accent2 3 4" xfId="1084" xr:uid="{00000000-0005-0000-0000-0000CB040000}"/>
    <cellStyle name="40% - Accent2 3 4 2" xfId="3315" xr:uid="{00000000-0005-0000-0000-0000CC040000}"/>
    <cellStyle name="40% - Accent2 3 4 2 2" xfId="7537" xr:uid="{00000000-0005-0000-0000-0000CD040000}"/>
    <cellStyle name="40% - Accent2 3 4 2 2 2" xfId="24428" xr:uid="{038303B3-C0D1-486D-B549-442BCCE4008E}"/>
    <cellStyle name="40% - Accent2 3 4 2 2 3" xfId="15987" xr:uid="{3348D841-2E50-403B-84CB-B471AE60A200}"/>
    <cellStyle name="40% - Accent2 3 4 2 3" xfId="20210" xr:uid="{EF5FCCDF-2B6D-4564-963C-5982EEBDC18E}"/>
    <cellStyle name="40% - Accent2 3 4 2 4" xfId="11769" xr:uid="{FDBC2D22-9016-4D98-B629-512DFF303B5A}"/>
    <cellStyle name="40% - Accent2 3 4 3" xfId="5392" xr:uid="{00000000-0005-0000-0000-0000CE040000}"/>
    <cellStyle name="40% - Accent2 3 4 3 2" xfId="22283" xr:uid="{450E10E8-4E9E-4462-AC60-16BB444B0637}"/>
    <cellStyle name="40% - Accent2 3 4 3 3" xfId="13842" xr:uid="{500FEE8A-EC6D-4205-AA90-8D921BA41C07}"/>
    <cellStyle name="40% - Accent2 3 4 4" xfId="18065" xr:uid="{A6691CD9-56EB-4454-A3E9-0A767FAFFAC9}"/>
    <cellStyle name="40% - Accent2 3 4 5" xfId="9624" xr:uid="{C8E2E058-1271-46AA-AE57-9220F2C40791}"/>
    <cellStyle name="40% - Accent2 3 5" xfId="1498" xr:uid="{00000000-0005-0000-0000-0000CF040000}"/>
    <cellStyle name="40% - Accent2 3 5 2" xfId="3728" xr:uid="{00000000-0005-0000-0000-0000D0040000}"/>
    <cellStyle name="40% - Accent2 3 5 2 2" xfId="7950" xr:uid="{00000000-0005-0000-0000-0000D1040000}"/>
    <cellStyle name="40% - Accent2 3 5 2 2 2" xfId="24841" xr:uid="{076D87B8-64A9-4883-9165-84783A024193}"/>
    <cellStyle name="40% - Accent2 3 5 2 2 3" xfId="16400" xr:uid="{27B1794F-034E-4D2C-932D-43CD127CD9C0}"/>
    <cellStyle name="40% - Accent2 3 5 2 3" xfId="20623" xr:uid="{448A1C58-FA48-4DDA-84DA-7D644CEC3DA3}"/>
    <cellStyle name="40% - Accent2 3 5 2 4" xfId="12182" xr:uid="{38566702-0CD6-43B6-9BCD-D60783D4C890}"/>
    <cellStyle name="40% - Accent2 3 5 3" xfId="5805" xr:uid="{00000000-0005-0000-0000-0000D2040000}"/>
    <cellStyle name="40% - Accent2 3 5 3 2" xfId="22696" xr:uid="{71420CA3-1DB4-4A1C-B883-8F2DCD80D12B}"/>
    <cellStyle name="40% - Accent2 3 5 3 3" xfId="14255" xr:uid="{02B46127-9FE5-49C9-9D73-218CF23B629F}"/>
    <cellStyle name="40% - Accent2 3 5 4" xfId="18478" xr:uid="{5593CE45-9F64-49E8-9211-B0BAA8228BD9}"/>
    <cellStyle name="40% - Accent2 3 5 5" xfId="10037" xr:uid="{8B4FF8C7-C582-4E0E-9E2D-4202AF19CAE9}"/>
    <cellStyle name="40% - Accent2 3 6" xfId="1912" xr:uid="{00000000-0005-0000-0000-0000D3040000}"/>
    <cellStyle name="40% - Accent2 3 6 2" xfId="4141" xr:uid="{00000000-0005-0000-0000-0000D4040000}"/>
    <cellStyle name="40% - Accent2 3 6 2 2" xfId="8363" xr:uid="{00000000-0005-0000-0000-0000D5040000}"/>
    <cellStyle name="40% - Accent2 3 6 2 2 2" xfId="25254" xr:uid="{DF9E30CF-97F0-4607-93EF-F48DC14CA4BD}"/>
    <cellStyle name="40% - Accent2 3 6 2 2 3" xfId="16813" xr:uid="{234591F6-33B8-4824-92BD-100B8E890BDC}"/>
    <cellStyle name="40% - Accent2 3 6 2 3" xfId="21036" xr:uid="{3DBCC074-CC21-480A-9EA8-C79997ADD71B}"/>
    <cellStyle name="40% - Accent2 3 6 2 4" xfId="12595" xr:uid="{63D5C32A-88FE-4959-9844-6232871A258D}"/>
    <cellStyle name="40% - Accent2 3 6 3" xfId="6218" xr:uid="{00000000-0005-0000-0000-0000D6040000}"/>
    <cellStyle name="40% - Accent2 3 6 3 2" xfId="23109" xr:uid="{F5546D1E-5863-48E7-B435-1D983DB3B6A6}"/>
    <cellStyle name="40% - Accent2 3 6 3 3" xfId="14668" xr:uid="{EB376236-078E-42E8-BCC2-EE6352365BFA}"/>
    <cellStyle name="40% - Accent2 3 6 4" xfId="18891" xr:uid="{BB976CD0-E0AB-474F-97B1-89661EACB566}"/>
    <cellStyle name="40% - Accent2 3 6 5" xfId="10450" xr:uid="{E2E9CF2E-FF72-4181-A4B2-51E14A75844A}"/>
    <cellStyle name="40% - Accent2 3 7" xfId="2325" xr:uid="{00000000-0005-0000-0000-0000D7040000}"/>
    <cellStyle name="40% - Accent2 3 7 2" xfId="6631" xr:uid="{00000000-0005-0000-0000-0000D8040000}"/>
    <cellStyle name="40% - Accent2 3 7 2 2" xfId="23522" xr:uid="{2BF47BA4-EEFE-4332-AB3D-41CB5CA0524C}"/>
    <cellStyle name="40% - Accent2 3 7 2 3" xfId="15081" xr:uid="{C5FD68D1-2C59-485B-8043-8C1EB5482367}"/>
    <cellStyle name="40% - Accent2 3 7 3" xfId="19304" xr:uid="{FDC135B7-55AE-4352-9223-B61E48B00429}"/>
    <cellStyle name="40% - Accent2 3 7 4" xfId="10863" xr:uid="{A7D42AD6-52A5-48FA-B616-78ACD0F17A3B}"/>
    <cellStyle name="40% - Accent2 3 8" xfId="4565" xr:uid="{00000000-0005-0000-0000-0000D9040000}"/>
    <cellStyle name="40% - Accent2 3 8 2" xfId="21456" xr:uid="{6A376206-2F3E-4CBC-910E-E6F4644CD083}"/>
    <cellStyle name="40% - Accent2 3 8 3" xfId="13015" xr:uid="{FF8832B3-830A-4DAD-B49B-50EB4FC38D2C}"/>
    <cellStyle name="40% - Accent2 3 9" xfId="17238" xr:uid="{D86C7CC8-0601-4F65-82E0-DC39EB169A2E}"/>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2 2 2" xfId="24017" xr:uid="{4CF69079-561F-4350-8FE0-5F08AA9B914E}"/>
    <cellStyle name="40% - Accent2 4 2 2 2 3" xfId="15576" xr:uid="{7AA58481-998C-4059-9561-6BD11DC1A645}"/>
    <cellStyle name="40% - Accent2 4 2 2 3" xfId="19799" xr:uid="{001EF440-8DFC-4E26-95D6-ABAB32BA2D70}"/>
    <cellStyle name="40% - Accent2 4 2 2 4" xfId="11358" xr:uid="{5A0F5AA0-1568-40C0-B44B-F927D37FFACF}"/>
    <cellStyle name="40% - Accent2 4 2 3" xfId="4981" xr:uid="{00000000-0005-0000-0000-0000DE040000}"/>
    <cellStyle name="40% - Accent2 4 2 3 2" xfId="21872" xr:uid="{155DE2BF-20A5-4EB4-BBF2-F5A6364B575B}"/>
    <cellStyle name="40% - Accent2 4 2 3 3" xfId="13431" xr:uid="{CD5BA792-8EB0-4778-B214-5C26E68FF152}"/>
    <cellStyle name="40% - Accent2 4 2 4" xfId="17654" xr:uid="{DD78E436-9139-4DB8-88E6-FCE7DBD5A227}"/>
    <cellStyle name="40% - Accent2 4 2 5" xfId="9213" xr:uid="{E11F8879-4BF9-48F8-85CB-217B27785A1D}"/>
    <cellStyle name="40% - Accent2 4 3" xfId="1086" xr:uid="{00000000-0005-0000-0000-0000DF040000}"/>
    <cellStyle name="40% - Accent2 4 3 2" xfId="3317" xr:uid="{00000000-0005-0000-0000-0000E0040000}"/>
    <cellStyle name="40% - Accent2 4 3 2 2" xfId="7539" xr:uid="{00000000-0005-0000-0000-0000E1040000}"/>
    <cellStyle name="40% - Accent2 4 3 2 2 2" xfId="24430" xr:uid="{88F9ED7B-334F-4C72-9CAE-C5B04371082A}"/>
    <cellStyle name="40% - Accent2 4 3 2 2 3" xfId="15989" xr:uid="{009B01F4-EB81-4FC5-9787-EB6362E3A7E1}"/>
    <cellStyle name="40% - Accent2 4 3 2 3" xfId="20212" xr:uid="{61D3FA2D-7AD0-408F-9690-B294798EDA39}"/>
    <cellStyle name="40% - Accent2 4 3 2 4" xfId="11771" xr:uid="{5437EDB9-27AA-4135-A6C7-7E303E0E97B2}"/>
    <cellStyle name="40% - Accent2 4 3 3" xfId="5394" xr:uid="{00000000-0005-0000-0000-0000E2040000}"/>
    <cellStyle name="40% - Accent2 4 3 3 2" xfId="22285" xr:uid="{7B57715B-B524-49EA-BB65-4EE0AE206263}"/>
    <cellStyle name="40% - Accent2 4 3 3 3" xfId="13844" xr:uid="{533586DE-5D4D-4CC6-B45D-92522634A72A}"/>
    <cellStyle name="40% - Accent2 4 3 4" xfId="18067" xr:uid="{CE28E616-119C-40A0-8629-034F82F84B49}"/>
    <cellStyle name="40% - Accent2 4 3 5" xfId="9626" xr:uid="{EE1088A8-CC06-42F8-9B1E-768CFEBCDCC2}"/>
    <cellStyle name="40% - Accent2 4 4" xfId="1500" xr:uid="{00000000-0005-0000-0000-0000E3040000}"/>
    <cellStyle name="40% - Accent2 4 4 2" xfId="3730" xr:uid="{00000000-0005-0000-0000-0000E4040000}"/>
    <cellStyle name="40% - Accent2 4 4 2 2" xfId="7952" xr:uid="{00000000-0005-0000-0000-0000E5040000}"/>
    <cellStyle name="40% - Accent2 4 4 2 2 2" xfId="24843" xr:uid="{73028D97-C50D-4CC2-AB32-54A89F405C54}"/>
    <cellStyle name="40% - Accent2 4 4 2 2 3" xfId="16402" xr:uid="{CA563A21-8364-43F8-BB05-EE861EED0B24}"/>
    <cellStyle name="40% - Accent2 4 4 2 3" xfId="20625" xr:uid="{2178DDBF-011A-45C5-B50A-09BCDC0CD77A}"/>
    <cellStyle name="40% - Accent2 4 4 2 4" xfId="12184" xr:uid="{DA0FDC70-A9B1-4EEE-AB9E-1C782F046020}"/>
    <cellStyle name="40% - Accent2 4 4 3" xfId="5807" xr:uid="{00000000-0005-0000-0000-0000E6040000}"/>
    <cellStyle name="40% - Accent2 4 4 3 2" xfId="22698" xr:uid="{9216A784-6B3E-411F-B7F5-CFA587D0382F}"/>
    <cellStyle name="40% - Accent2 4 4 3 3" xfId="14257" xr:uid="{F9493EA3-9E7E-47F4-8C61-CEDDE2D34548}"/>
    <cellStyle name="40% - Accent2 4 4 4" xfId="18480" xr:uid="{AD408EBE-4B50-4BC6-8825-9552E0DAC393}"/>
    <cellStyle name="40% - Accent2 4 4 5" xfId="10039" xr:uid="{A3A75F08-B5D9-435D-8739-A9AAE15D726F}"/>
    <cellStyle name="40% - Accent2 4 5" xfId="1914" xr:uid="{00000000-0005-0000-0000-0000E7040000}"/>
    <cellStyle name="40% - Accent2 4 5 2" xfId="4143" xr:uid="{00000000-0005-0000-0000-0000E8040000}"/>
    <cellStyle name="40% - Accent2 4 5 2 2" xfId="8365" xr:uid="{00000000-0005-0000-0000-0000E9040000}"/>
    <cellStyle name="40% - Accent2 4 5 2 2 2" xfId="25256" xr:uid="{8D916384-874C-4BE9-9E4F-2FBAEE37982A}"/>
    <cellStyle name="40% - Accent2 4 5 2 2 3" xfId="16815" xr:uid="{43FAE288-960B-40C3-BE00-706F8D5FD698}"/>
    <cellStyle name="40% - Accent2 4 5 2 3" xfId="21038" xr:uid="{FD4E7BB1-5C9C-4C04-A174-9392EA82BD2D}"/>
    <cellStyle name="40% - Accent2 4 5 2 4" xfId="12597" xr:uid="{06975594-AB64-4097-A4AF-1C24F3DF55CB}"/>
    <cellStyle name="40% - Accent2 4 5 3" xfId="6220" xr:uid="{00000000-0005-0000-0000-0000EA040000}"/>
    <cellStyle name="40% - Accent2 4 5 3 2" xfId="23111" xr:uid="{641132DC-0588-42A4-8390-E1FDB8AAC889}"/>
    <cellStyle name="40% - Accent2 4 5 3 3" xfId="14670" xr:uid="{41700A2A-83C3-4AE8-8B09-BE6AAB88C55B}"/>
    <cellStyle name="40% - Accent2 4 5 4" xfId="18893" xr:uid="{9684287D-FF9E-40AA-B208-A9C1C913E324}"/>
    <cellStyle name="40% - Accent2 4 5 5" xfId="10452" xr:uid="{FA8172E4-9044-43A8-9653-41265F7B3B1E}"/>
    <cellStyle name="40% - Accent2 4 6" xfId="2327" xr:uid="{00000000-0005-0000-0000-0000EB040000}"/>
    <cellStyle name="40% - Accent2 4 6 2" xfId="6633" xr:uid="{00000000-0005-0000-0000-0000EC040000}"/>
    <cellStyle name="40% - Accent2 4 6 2 2" xfId="23524" xr:uid="{411D62B5-5F9A-42C7-BAB0-6920C3E42AA0}"/>
    <cellStyle name="40% - Accent2 4 6 2 3" xfId="15083" xr:uid="{7E80B74E-C917-4C3D-9C0D-A639649EE5BC}"/>
    <cellStyle name="40% - Accent2 4 6 3" xfId="19306" xr:uid="{EC577EDD-C534-4EC0-A1D6-B3D168F5FE2A}"/>
    <cellStyle name="40% - Accent2 4 6 4" xfId="10865" xr:uid="{1CBAEC7F-E81A-4D89-8ADD-D39268884E92}"/>
    <cellStyle name="40% - Accent2 4 7" xfId="4567" xr:uid="{00000000-0005-0000-0000-0000ED040000}"/>
    <cellStyle name="40% - Accent2 4 7 2" xfId="21458" xr:uid="{C9A86652-93EA-4D1C-BB8D-184892D18D6E}"/>
    <cellStyle name="40% - Accent2 4 7 3" xfId="13017" xr:uid="{C0B39C80-A3E9-4C13-95C8-D7FB008B7678}"/>
    <cellStyle name="40% - Accent2 4 8" xfId="17240" xr:uid="{3CE14639-D50E-4105-816D-B21F47E830AF}"/>
    <cellStyle name="40% - Accent2 4 9" xfId="8799" xr:uid="{F195ECA6-BB88-45BA-8C88-092FE99CBA0D}"/>
    <cellStyle name="40% - Accent2 5" xfId="626" xr:uid="{00000000-0005-0000-0000-0000EE040000}"/>
    <cellStyle name="40% - Accent2 5 2" xfId="2897" xr:uid="{00000000-0005-0000-0000-0000EF040000}"/>
    <cellStyle name="40% - Accent2 5 2 2" xfId="7119" xr:uid="{00000000-0005-0000-0000-0000F0040000}"/>
    <cellStyle name="40% - Accent2 5 2 2 2" xfId="24010" xr:uid="{872ECF97-3A77-481E-ADDA-159CCBE862E7}"/>
    <cellStyle name="40% - Accent2 5 2 2 3" xfId="15569" xr:uid="{6D68B907-8962-478E-B08C-927D953F802D}"/>
    <cellStyle name="40% - Accent2 5 2 3" xfId="19792" xr:uid="{D383A15E-E853-4CED-B384-7AEECB597590}"/>
    <cellStyle name="40% - Accent2 5 2 4" xfId="11351" xr:uid="{7540A1D1-4CC2-4A9E-9111-8D873AC6D110}"/>
    <cellStyle name="40% - Accent2 5 3" xfId="4974" xr:uid="{00000000-0005-0000-0000-0000F1040000}"/>
    <cellStyle name="40% - Accent2 5 3 2" xfId="21865" xr:uid="{1C455072-75AC-497D-BA61-8E93CBD64410}"/>
    <cellStyle name="40% - Accent2 5 3 3" xfId="13424" xr:uid="{E685142C-2EB8-4C58-812B-1BF48185B192}"/>
    <cellStyle name="40% - Accent2 5 4" xfId="17647" xr:uid="{2B989459-D7D7-45DB-934F-E5E70D2C40E4}"/>
    <cellStyle name="40% - Accent2 5 5" xfId="9206" xr:uid="{B0578A33-0A5B-4612-9B05-60C22EDD2240}"/>
    <cellStyle name="40% - Accent2 6" xfId="1079" xr:uid="{00000000-0005-0000-0000-0000F2040000}"/>
    <cellStyle name="40% - Accent2 6 2" xfId="3310" xr:uid="{00000000-0005-0000-0000-0000F3040000}"/>
    <cellStyle name="40% - Accent2 6 2 2" xfId="7532" xr:uid="{00000000-0005-0000-0000-0000F4040000}"/>
    <cellStyle name="40% - Accent2 6 2 2 2" xfId="24423" xr:uid="{90D8A18E-EF0A-43E8-AFDA-61C3E0857FB5}"/>
    <cellStyle name="40% - Accent2 6 2 2 3" xfId="15982" xr:uid="{D04F21CD-6FA9-4D50-8726-E66918CC64E6}"/>
    <cellStyle name="40% - Accent2 6 2 3" xfId="20205" xr:uid="{CA3E2D0D-EB9B-4176-8459-D7B0294F0784}"/>
    <cellStyle name="40% - Accent2 6 2 4" xfId="11764" xr:uid="{E2C5042F-FDCE-43C3-8714-78B362819ACB}"/>
    <cellStyle name="40% - Accent2 6 3" xfId="5387" xr:uid="{00000000-0005-0000-0000-0000F5040000}"/>
    <cellStyle name="40% - Accent2 6 3 2" xfId="22278" xr:uid="{F25361FC-6821-4162-84ED-BA55A690E1B7}"/>
    <cellStyle name="40% - Accent2 6 3 3" xfId="13837" xr:uid="{A2DF84D9-AB8F-45DB-B4E3-D0A9312FC82A}"/>
    <cellStyle name="40% - Accent2 6 4" xfId="18060" xr:uid="{DE8EBC35-B16E-439E-84B4-4EB79C444535}"/>
    <cellStyle name="40% - Accent2 6 5" xfId="9619" xr:uid="{CEB1F568-E841-46FF-9CBA-CF0249A2BED2}"/>
    <cellStyle name="40% - Accent2 7" xfId="1493" xr:uid="{00000000-0005-0000-0000-0000F6040000}"/>
    <cellStyle name="40% - Accent2 7 2" xfId="3723" xr:uid="{00000000-0005-0000-0000-0000F7040000}"/>
    <cellStyle name="40% - Accent2 7 2 2" xfId="7945" xr:uid="{00000000-0005-0000-0000-0000F8040000}"/>
    <cellStyle name="40% - Accent2 7 2 2 2" xfId="24836" xr:uid="{37514CCB-1FFD-4F0E-80D5-57FEE9EBD5D9}"/>
    <cellStyle name="40% - Accent2 7 2 2 3" xfId="16395" xr:uid="{DEE97574-3257-4BD8-BB97-1B6FFE7B00B2}"/>
    <cellStyle name="40% - Accent2 7 2 3" xfId="20618" xr:uid="{EF37E493-C5CA-4DF2-A302-DF29AC3A1A6A}"/>
    <cellStyle name="40% - Accent2 7 2 4" xfId="12177" xr:uid="{32D66A9D-5964-43E2-9F65-51E11082DD58}"/>
    <cellStyle name="40% - Accent2 7 3" xfId="5800" xr:uid="{00000000-0005-0000-0000-0000F9040000}"/>
    <cellStyle name="40% - Accent2 7 3 2" xfId="22691" xr:uid="{8FC01DA6-05D9-4272-984C-EE9161F0C85F}"/>
    <cellStyle name="40% - Accent2 7 3 3" xfId="14250" xr:uid="{5A0C2D35-4D27-4CAC-9DE2-0A5C656A95CD}"/>
    <cellStyle name="40% - Accent2 7 4" xfId="18473" xr:uid="{C2A6B7AC-4DCE-4476-B815-62FEE2E52D81}"/>
    <cellStyle name="40% - Accent2 7 5" xfId="10032" xr:uid="{0AC161BF-BA59-468A-ACAC-F179FBE699B4}"/>
    <cellStyle name="40% - Accent2 8" xfId="1907" xr:uid="{00000000-0005-0000-0000-0000FA040000}"/>
    <cellStyle name="40% - Accent2 8 2" xfId="4136" xr:uid="{00000000-0005-0000-0000-0000FB040000}"/>
    <cellStyle name="40% - Accent2 8 2 2" xfId="8358" xr:uid="{00000000-0005-0000-0000-0000FC040000}"/>
    <cellStyle name="40% - Accent2 8 2 2 2" xfId="25249" xr:uid="{E27AC6F9-0DE0-4974-AE46-6D9069EFDAB5}"/>
    <cellStyle name="40% - Accent2 8 2 2 3" xfId="16808" xr:uid="{FB80C231-51B9-4B5E-A9F5-8DD4E78F6C3E}"/>
    <cellStyle name="40% - Accent2 8 2 3" xfId="21031" xr:uid="{DE9DE5E0-1CF3-47B6-A6DF-82E70ADDECE4}"/>
    <cellStyle name="40% - Accent2 8 2 4" xfId="12590" xr:uid="{636BB645-0B3A-40C3-9A86-4A7440DA3425}"/>
    <cellStyle name="40% - Accent2 8 3" xfId="6213" xr:uid="{00000000-0005-0000-0000-0000FD040000}"/>
    <cellStyle name="40% - Accent2 8 3 2" xfId="23104" xr:uid="{4436FD46-0714-4F2B-8B15-4A2AA33DF1EF}"/>
    <cellStyle name="40% - Accent2 8 3 3" xfId="14663" xr:uid="{2863E0D9-7203-43DE-9F8D-C282565BAEFB}"/>
    <cellStyle name="40% - Accent2 8 4" xfId="18886" xr:uid="{8D71AE94-8424-4B0D-BD65-F3EACA44252B}"/>
    <cellStyle name="40% - Accent2 8 5" xfId="10445" xr:uid="{096ABAC7-0A33-4397-8A6A-2200611EC09D}"/>
    <cellStyle name="40% - Accent2 9" xfId="2320" xr:uid="{00000000-0005-0000-0000-0000FE040000}"/>
    <cellStyle name="40% - Accent2 9 2" xfId="6626" xr:uid="{00000000-0005-0000-0000-0000FF040000}"/>
    <cellStyle name="40% - Accent2 9 2 2" xfId="23517" xr:uid="{8B4D833C-28B9-443F-9C38-3C274D101F20}"/>
    <cellStyle name="40% - Accent2 9 2 3" xfId="15076" xr:uid="{2790B608-ED40-4298-A10A-C1A9AFF7A22E}"/>
    <cellStyle name="40% - Accent2 9 3" xfId="19299" xr:uid="{E83A0CCF-97C9-4A6B-9D00-E9AB61ED3C38}"/>
    <cellStyle name="40% - Accent2 9 4" xfId="10858" xr:uid="{9D92CC5E-DF74-4B1A-B0F5-1F9E31E20C08}"/>
    <cellStyle name="40% - Accent3" xfId="65" builtinId="39" customBuiltin="1"/>
    <cellStyle name="40% - Accent3 10" xfId="4568" xr:uid="{00000000-0005-0000-0000-000001050000}"/>
    <cellStyle name="40% - Accent3 10 2" xfId="21459" xr:uid="{BF36BF71-1604-473E-B3B7-6A58682EEF54}"/>
    <cellStyle name="40% - Accent3 10 3" xfId="13018" xr:uid="{4710EF51-84C8-4E6C-828D-7623C62A5709}"/>
    <cellStyle name="40% - Accent3 11" xfId="17241" xr:uid="{C4B28800-39AD-4F36-AA1B-6A2742F4C5F5}"/>
    <cellStyle name="40% - Accent3 12" xfId="8800" xr:uid="{0481AE3E-8FA2-4699-BDE2-3AB6A83680F5}"/>
    <cellStyle name="40% - Accent3 2" xfId="66" xr:uid="{00000000-0005-0000-0000-000002050000}"/>
    <cellStyle name="40% - Accent3 2 10" xfId="17242" xr:uid="{36D8FF75-89A4-461B-B8D0-554FD205CA90}"/>
    <cellStyle name="40% - Accent3 2 11" xfId="8801" xr:uid="{1351D41C-747E-4BE2-A516-A7AEE13BC909}"/>
    <cellStyle name="40% - Accent3 2 2" xfId="67" xr:uid="{00000000-0005-0000-0000-000003050000}"/>
    <cellStyle name="40% - Accent3 2 2 10" xfId="8802" xr:uid="{EBDE2726-79F3-4B32-A613-9FF879202F86}"/>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2 2 2" xfId="24021" xr:uid="{BBC0E01D-1E37-4E67-8287-F5DB8A8E0467}"/>
    <cellStyle name="40% - Accent3 2 2 2 2 2 2 3" xfId="15580" xr:uid="{73F781DA-9B0B-4A31-8399-EE52030BB815}"/>
    <cellStyle name="40% - Accent3 2 2 2 2 2 3" xfId="19803" xr:uid="{C96665F2-6C19-4C48-B344-D572240EDD24}"/>
    <cellStyle name="40% - Accent3 2 2 2 2 2 4" xfId="11362" xr:uid="{A82EBD1A-35AC-4777-B248-DA055C9E8FB9}"/>
    <cellStyle name="40% - Accent3 2 2 2 2 3" xfId="4985" xr:uid="{00000000-0005-0000-0000-000008050000}"/>
    <cellStyle name="40% - Accent3 2 2 2 2 3 2" xfId="21876" xr:uid="{F1D301E9-27D7-4984-8BE5-E9703A5A8B5C}"/>
    <cellStyle name="40% - Accent3 2 2 2 2 3 3" xfId="13435" xr:uid="{19A3599E-C61D-4401-9A7F-1BB85D1D98A5}"/>
    <cellStyle name="40% - Accent3 2 2 2 2 4" xfId="17658" xr:uid="{EE26BF13-0517-43AA-8D3A-10C32ABA604B}"/>
    <cellStyle name="40% - Accent3 2 2 2 2 5" xfId="9217" xr:uid="{F4E79277-5369-4A16-973F-AD9E9E6B55E7}"/>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2 2 2" xfId="24434" xr:uid="{40F07F3A-FD95-47FC-A6F6-B24458C1BE8D}"/>
    <cellStyle name="40% - Accent3 2 2 2 3 2 2 3" xfId="15993" xr:uid="{F5B08F57-5255-4DAE-AFBF-A334208F2447}"/>
    <cellStyle name="40% - Accent3 2 2 2 3 2 3" xfId="20216" xr:uid="{DDDB3D30-6223-4F3D-A005-4DE71B145CD7}"/>
    <cellStyle name="40% - Accent3 2 2 2 3 2 4" xfId="11775" xr:uid="{C53A437D-DDA1-4B0A-A717-26CDD9FF0EA2}"/>
    <cellStyle name="40% - Accent3 2 2 2 3 3" xfId="5398" xr:uid="{00000000-0005-0000-0000-00000C050000}"/>
    <cellStyle name="40% - Accent3 2 2 2 3 3 2" xfId="22289" xr:uid="{FF194FE5-ED78-434D-B8C7-607DB919215A}"/>
    <cellStyle name="40% - Accent3 2 2 2 3 3 3" xfId="13848" xr:uid="{1BD49D4B-ED42-45B7-AD10-EBB7A0E73D26}"/>
    <cellStyle name="40% - Accent3 2 2 2 3 4" xfId="18071" xr:uid="{5196E593-8463-444B-A2EE-BB4D5D0947D1}"/>
    <cellStyle name="40% - Accent3 2 2 2 3 5" xfId="9630" xr:uid="{62C37114-1805-4851-B06C-D27168A19458}"/>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2 2 2" xfId="24847" xr:uid="{EA671134-6BB5-4CA3-90D2-16AFE5D5C704}"/>
    <cellStyle name="40% - Accent3 2 2 2 4 2 2 3" xfId="16406" xr:uid="{F6E9903D-CBC9-4FEC-96B5-79296095CAA5}"/>
    <cellStyle name="40% - Accent3 2 2 2 4 2 3" xfId="20629" xr:uid="{81D1D933-906A-4A6B-947B-418090870A92}"/>
    <cellStyle name="40% - Accent3 2 2 2 4 2 4" xfId="12188" xr:uid="{412C3716-7707-4C5B-8F42-522AD7D6ED60}"/>
    <cellStyle name="40% - Accent3 2 2 2 4 3" xfId="5811" xr:uid="{00000000-0005-0000-0000-000010050000}"/>
    <cellStyle name="40% - Accent3 2 2 2 4 3 2" xfId="22702" xr:uid="{50338D54-CC84-43BC-AAC2-85F6292C9ED4}"/>
    <cellStyle name="40% - Accent3 2 2 2 4 3 3" xfId="14261" xr:uid="{5E80FE30-4821-4E4B-9AE1-98C32C04B36A}"/>
    <cellStyle name="40% - Accent3 2 2 2 4 4" xfId="18484" xr:uid="{908E0A30-F3F0-4D6D-A15B-3946EFEBF460}"/>
    <cellStyle name="40% - Accent3 2 2 2 4 5" xfId="10043" xr:uid="{3D4452D4-8043-45F6-924E-A35A25E17404}"/>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2 2 2" xfId="25260" xr:uid="{91F7D444-B234-49B8-A153-5A6254C9FED0}"/>
    <cellStyle name="40% - Accent3 2 2 2 5 2 2 3" xfId="16819" xr:uid="{7C3215DC-C618-4A9D-8E14-B6FAE5C86D10}"/>
    <cellStyle name="40% - Accent3 2 2 2 5 2 3" xfId="21042" xr:uid="{76F0BAAD-275D-4063-B4CE-0AB8A08162FE}"/>
    <cellStyle name="40% - Accent3 2 2 2 5 2 4" xfId="12601" xr:uid="{6E97E423-A8BF-4FE6-AABE-FEA45655CBFF}"/>
    <cellStyle name="40% - Accent3 2 2 2 5 3" xfId="6224" xr:uid="{00000000-0005-0000-0000-000014050000}"/>
    <cellStyle name="40% - Accent3 2 2 2 5 3 2" xfId="23115" xr:uid="{22851797-610A-4483-9B3A-41A35E59A8D4}"/>
    <cellStyle name="40% - Accent3 2 2 2 5 3 3" xfId="14674" xr:uid="{3924F32E-F5C8-447A-97A0-BB9406FDB5A4}"/>
    <cellStyle name="40% - Accent3 2 2 2 5 4" xfId="18897" xr:uid="{8400C264-5E6C-4A68-85D0-F5B2FFEC6558}"/>
    <cellStyle name="40% - Accent3 2 2 2 5 5" xfId="10456" xr:uid="{8DB45114-6F27-42FE-834D-E2A67D856F5E}"/>
    <cellStyle name="40% - Accent3 2 2 2 6" xfId="2331" xr:uid="{00000000-0005-0000-0000-000015050000}"/>
    <cellStyle name="40% - Accent3 2 2 2 6 2" xfId="6637" xr:uid="{00000000-0005-0000-0000-000016050000}"/>
    <cellStyle name="40% - Accent3 2 2 2 6 2 2" xfId="23528" xr:uid="{38E45C6B-47FE-4A41-9F2E-CE6501EE9921}"/>
    <cellStyle name="40% - Accent3 2 2 2 6 2 3" xfId="15087" xr:uid="{4A69F5A4-F3C2-462E-A7D1-7B59ED610500}"/>
    <cellStyle name="40% - Accent3 2 2 2 6 3" xfId="19310" xr:uid="{E4FAEFC4-D7A3-4C67-B5B2-35B48547B636}"/>
    <cellStyle name="40% - Accent3 2 2 2 6 4" xfId="10869" xr:uid="{E0B06DA4-3CD8-418B-93E0-7C43B7A6B900}"/>
    <cellStyle name="40% - Accent3 2 2 2 7" xfId="4571" xr:uid="{00000000-0005-0000-0000-000017050000}"/>
    <cellStyle name="40% - Accent3 2 2 2 7 2" xfId="21462" xr:uid="{D71A4B94-400A-4AE3-9569-C09947BB8DF5}"/>
    <cellStyle name="40% - Accent3 2 2 2 7 3" xfId="13021" xr:uid="{4AB1AA6A-43FF-46FE-98BD-70F019C24ADC}"/>
    <cellStyle name="40% - Accent3 2 2 2 8" xfId="17244" xr:uid="{45E68328-0585-45A2-A976-5A7855E8AC12}"/>
    <cellStyle name="40% - Accent3 2 2 2 9" xfId="8803" xr:uid="{9F39505E-FD56-4983-A618-3517A48E2C2C}"/>
    <cellStyle name="40% - Accent3 2 2 3" xfId="636" xr:uid="{00000000-0005-0000-0000-000018050000}"/>
    <cellStyle name="40% - Accent3 2 2 3 2" xfId="2907" xr:uid="{00000000-0005-0000-0000-000019050000}"/>
    <cellStyle name="40% - Accent3 2 2 3 2 2" xfId="7129" xr:uid="{00000000-0005-0000-0000-00001A050000}"/>
    <cellStyle name="40% - Accent3 2 2 3 2 2 2" xfId="24020" xr:uid="{C74BE1EE-107D-46C8-8803-CD4897DB7C4F}"/>
    <cellStyle name="40% - Accent3 2 2 3 2 2 3" xfId="15579" xr:uid="{9D2F72F5-F692-4BDF-946D-C098ED4B22F7}"/>
    <cellStyle name="40% - Accent3 2 2 3 2 3" xfId="19802" xr:uid="{816459D0-1B85-46F2-A5E8-9CEDB4BE006C}"/>
    <cellStyle name="40% - Accent3 2 2 3 2 4" xfId="11361" xr:uid="{D6A4139F-C85E-4E75-8950-8D271D4973FA}"/>
    <cellStyle name="40% - Accent3 2 2 3 3" xfId="4984" xr:uid="{00000000-0005-0000-0000-00001B050000}"/>
    <cellStyle name="40% - Accent3 2 2 3 3 2" xfId="21875" xr:uid="{12C3FBDE-6245-4F93-A4CC-67C6459C54AD}"/>
    <cellStyle name="40% - Accent3 2 2 3 3 3" xfId="13434" xr:uid="{205EA42A-40F5-43F1-BDEE-2713E2FA2E4C}"/>
    <cellStyle name="40% - Accent3 2 2 3 4" xfId="17657" xr:uid="{49C8EFB2-2B03-40F1-8E23-C725D295D729}"/>
    <cellStyle name="40% - Accent3 2 2 3 5" xfId="9216" xr:uid="{CB60779E-26E6-4A66-917A-7D3DD141CF57}"/>
    <cellStyle name="40% - Accent3 2 2 4" xfId="1089" xr:uid="{00000000-0005-0000-0000-00001C050000}"/>
    <cellStyle name="40% - Accent3 2 2 4 2" xfId="3320" xr:uid="{00000000-0005-0000-0000-00001D050000}"/>
    <cellStyle name="40% - Accent3 2 2 4 2 2" xfId="7542" xr:uid="{00000000-0005-0000-0000-00001E050000}"/>
    <cellStyle name="40% - Accent3 2 2 4 2 2 2" xfId="24433" xr:uid="{06A58A01-35D2-4320-A616-0147594CF8F2}"/>
    <cellStyle name="40% - Accent3 2 2 4 2 2 3" xfId="15992" xr:uid="{CCAECC3B-33CB-49B5-8779-9E26371518F4}"/>
    <cellStyle name="40% - Accent3 2 2 4 2 3" xfId="20215" xr:uid="{47DCA9E7-FE81-4732-8BA4-ABC5C69DC056}"/>
    <cellStyle name="40% - Accent3 2 2 4 2 4" xfId="11774" xr:uid="{88848B93-EABE-455E-A407-D8F8F29463FA}"/>
    <cellStyle name="40% - Accent3 2 2 4 3" xfId="5397" xr:uid="{00000000-0005-0000-0000-00001F050000}"/>
    <cellStyle name="40% - Accent3 2 2 4 3 2" xfId="22288" xr:uid="{012C528F-9810-48CC-BBFA-94EA96F6AFF8}"/>
    <cellStyle name="40% - Accent3 2 2 4 3 3" xfId="13847" xr:uid="{FCE5183B-ADE7-4DBC-921F-D4663F9DE9E7}"/>
    <cellStyle name="40% - Accent3 2 2 4 4" xfId="18070" xr:uid="{94107F59-1D87-4317-AEB6-7F816FE7AB6C}"/>
    <cellStyle name="40% - Accent3 2 2 4 5" xfId="9629" xr:uid="{9C0672BE-CD1D-4EBF-BC5C-5CC6F207646B}"/>
    <cellStyle name="40% - Accent3 2 2 5" xfId="1503" xr:uid="{00000000-0005-0000-0000-000020050000}"/>
    <cellStyle name="40% - Accent3 2 2 5 2" xfId="3733" xr:uid="{00000000-0005-0000-0000-000021050000}"/>
    <cellStyle name="40% - Accent3 2 2 5 2 2" xfId="7955" xr:uid="{00000000-0005-0000-0000-000022050000}"/>
    <cellStyle name="40% - Accent3 2 2 5 2 2 2" xfId="24846" xr:uid="{FEDADFF3-9966-47C6-8FBB-5F1F9A47168D}"/>
    <cellStyle name="40% - Accent3 2 2 5 2 2 3" xfId="16405" xr:uid="{D49A39D6-8C14-46EA-8FA4-1B46F41CF59A}"/>
    <cellStyle name="40% - Accent3 2 2 5 2 3" xfId="20628" xr:uid="{4D7FDB23-98FF-4E7B-B7A6-AE13872ECD8F}"/>
    <cellStyle name="40% - Accent3 2 2 5 2 4" xfId="12187" xr:uid="{D34EA8A1-80A9-4F46-992C-BEB28F6C0AC0}"/>
    <cellStyle name="40% - Accent3 2 2 5 3" xfId="5810" xr:uid="{00000000-0005-0000-0000-000023050000}"/>
    <cellStyle name="40% - Accent3 2 2 5 3 2" xfId="22701" xr:uid="{ECF97343-993F-4D68-B6FC-D6E4C327D70E}"/>
    <cellStyle name="40% - Accent3 2 2 5 3 3" xfId="14260" xr:uid="{8814C2EE-864F-480C-B78E-43F11FAC16F3}"/>
    <cellStyle name="40% - Accent3 2 2 5 4" xfId="18483" xr:uid="{7D73B623-84A8-43EB-8B60-3D180E6BA16F}"/>
    <cellStyle name="40% - Accent3 2 2 5 5" xfId="10042" xr:uid="{642C678B-CCC8-49E1-888F-18BED2C93031}"/>
    <cellStyle name="40% - Accent3 2 2 6" xfId="1917" xr:uid="{00000000-0005-0000-0000-000024050000}"/>
    <cellStyle name="40% - Accent3 2 2 6 2" xfId="4146" xr:uid="{00000000-0005-0000-0000-000025050000}"/>
    <cellStyle name="40% - Accent3 2 2 6 2 2" xfId="8368" xr:uid="{00000000-0005-0000-0000-000026050000}"/>
    <cellStyle name="40% - Accent3 2 2 6 2 2 2" xfId="25259" xr:uid="{529B7221-23F9-4634-B07D-CA480488F92D}"/>
    <cellStyle name="40% - Accent3 2 2 6 2 2 3" xfId="16818" xr:uid="{EB520211-0391-40DF-9DF5-E91281EDE848}"/>
    <cellStyle name="40% - Accent3 2 2 6 2 3" xfId="21041" xr:uid="{EC15B81B-9866-491D-BB86-719C6DF8F98F}"/>
    <cellStyle name="40% - Accent3 2 2 6 2 4" xfId="12600" xr:uid="{3F56D126-4CA1-4B5E-9EAC-E42FB4C28C03}"/>
    <cellStyle name="40% - Accent3 2 2 6 3" xfId="6223" xr:uid="{00000000-0005-0000-0000-000027050000}"/>
    <cellStyle name="40% - Accent3 2 2 6 3 2" xfId="23114" xr:uid="{A2080B5C-38D9-4614-B0CF-87A548AEF0B7}"/>
    <cellStyle name="40% - Accent3 2 2 6 3 3" xfId="14673" xr:uid="{A6F0E1C0-9572-45B0-98F1-3C1CA057B2EC}"/>
    <cellStyle name="40% - Accent3 2 2 6 4" xfId="18896" xr:uid="{9683A74A-0CEF-4DD7-BC55-6F9849D1EBAC}"/>
    <cellStyle name="40% - Accent3 2 2 6 5" xfId="10455" xr:uid="{ABF3BE6E-777F-4EF1-AE4E-5F76F6C8C17E}"/>
    <cellStyle name="40% - Accent3 2 2 7" xfId="2330" xr:uid="{00000000-0005-0000-0000-000028050000}"/>
    <cellStyle name="40% - Accent3 2 2 7 2" xfId="6636" xr:uid="{00000000-0005-0000-0000-000029050000}"/>
    <cellStyle name="40% - Accent3 2 2 7 2 2" xfId="23527" xr:uid="{9E347288-9801-4CCD-A38F-36F4A0A870C3}"/>
    <cellStyle name="40% - Accent3 2 2 7 2 3" xfId="15086" xr:uid="{00191D44-E041-479D-8EAB-1F284F694798}"/>
    <cellStyle name="40% - Accent3 2 2 7 3" xfId="19309" xr:uid="{CAD1BBEE-8F61-4372-B944-3F86A5F665D1}"/>
    <cellStyle name="40% - Accent3 2 2 7 4" xfId="10868" xr:uid="{32382241-9827-436F-A369-083A418CD3BC}"/>
    <cellStyle name="40% - Accent3 2 2 8" xfId="4570" xr:uid="{00000000-0005-0000-0000-00002A050000}"/>
    <cellStyle name="40% - Accent3 2 2 8 2" xfId="21461" xr:uid="{ECF352FB-A5B9-4761-A95D-75F85D48A341}"/>
    <cellStyle name="40% - Accent3 2 2 8 3" xfId="13020" xr:uid="{7BA9B801-E531-4395-8499-FFC5ED4F5666}"/>
    <cellStyle name="40% - Accent3 2 2 9" xfId="17243" xr:uid="{1D7740C2-6F07-4AC7-AA6C-48F8D55D01DE}"/>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2 2 2" xfId="24022" xr:uid="{A99505E7-6319-4B62-909A-818FB93CA186}"/>
    <cellStyle name="40% - Accent3 2 3 2 2 2 3" xfId="15581" xr:uid="{CB535467-E975-43BD-8145-18297DD801E6}"/>
    <cellStyle name="40% - Accent3 2 3 2 2 3" xfId="19804" xr:uid="{EFD405B1-771B-4F54-AE75-745415E3B3A4}"/>
    <cellStyle name="40% - Accent3 2 3 2 2 4" xfId="11363" xr:uid="{33FC1CEA-20EF-41E6-AF82-06DE8BE95D29}"/>
    <cellStyle name="40% - Accent3 2 3 2 3" xfId="4986" xr:uid="{00000000-0005-0000-0000-00002F050000}"/>
    <cellStyle name="40% - Accent3 2 3 2 3 2" xfId="21877" xr:uid="{DC0C8E28-7C8E-48F3-9421-D3C08EA88E77}"/>
    <cellStyle name="40% - Accent3 2 3 2 3 3" xfId="13436" xr:uid="{67D25B96-1927-49ED-8937-072AF50905CA}"/>
    <cellStyle name="40% - Accent3 2 3 2 4" xfId="17659" xr:uid="{B1E9A7D9-BF12-4BD5-BE07-DB580EE8E232}"/>
    <cellStyle name="40% - Accent3 2 3 2 5" xfId="9218" xr:uid="{350FCED4-0957-4949-8315-8B727B8CA9AC}"/>
    <cellStyle name="40% - Accent3 2 3 3" xfId="1091" xr:uid="{00000000-0005-0000-0000-000030050000}"/>
    <cellStyle name="40% - Accent3 2 3 3 2" xfId="3322" xr:uid="{00000000-0005-0000-0000-000031050000}"/>
    <cellStyle name="40% - Accent3 2 3 3 2 2" xfId="7544" xr:uid="{00000000-0005-0000-0000-000032050000}"/>
    <cellStyle name="40% - Accent3 2 3 3 2 2 2" xfId="24435" xr:uid="{689B82D4-3309-4BBD-872E-F9E3B5D3F495}"/>
    <cellStyle name="40% - Accent3 2 3 3 2 2 3" xfId="15994" xr:uid="{5A8FEBCE-73D3-4978-A871-FA084713959D}"/>
    <cellStyle name="40% - Accent3 2 3 3 2 3" xfId="20217" xr:uid="{1F5FDB0D-F33D-483A-8052-EE4960F8EEEA}"/>
    <cellStyle name="40% - Accent3 2 3 3 2 4" xfId="11776" xr:uid="{4F478A1C-E774-454C-B83C-1BD94E59AD1F}"/>
    <cellStyle name="40% - Accent3 2 3 3 3" xfId="5399" xr:uid="{00000000-0005-0000-0000-000033050000}"/>
    <cellStyle name="40% - Accent3 2 3 3 3 2" xfId="22290" xr:uid="{77BF3064-5F43-4937-9104-FD7BF304CDA9}"/>
    <cellStyle name="40% - Accent3 2 3 3 3 3" xfId="13849" xr:uid="{BDBD5086-25E7-4F49-9444-52BD95DF114D}"/>
    <cellStyle name="40% - Accent3 2 3 3 4" xfId="18072" xr:uid="{A9DFD463-1343-4A68-ADDC-07B620DA1329}"/>
    <cellStyle name="40% - Accent3 2 3 3 5" xfId="9631" xr:uid="{85B40016-9C53-4858-A414-74535442F648}"/>
    <cellStyle name="40% - Accent3 2 3 4" xfId="1505" xr:uid="{00000000-0005-0000-0000-000034050000}"/>
    <cellStyle name="40% - Accent3 2 3 4 2" xfId="3735" xr:uid="{00000000-0005-0000-0000-000035050000}"/>
    <cellStyle name="40% - Accent3 2 3 4 2 2" xfId="7957" xr:uid="{00000000-0005-0000-0000-000036050000}"/>
    <cellStyle name="40% - Accent3 2 3 4 2 2 2" xfId="24848" xr:uid="{FFF16232-6699-46EF-BA9D-CA0432A45C77}"/>
    <cellStyle name="40% - Accent3 2 3 4 2 2 3" xfId="16407" xr:uid="{59CDB68E-9317-483A-9971-8FA487A35B3A}"/>
    <cellStyle name="40% - Accent3 2 3 4 2 3" xfId="20630" xr:uid="{72877D08-422C-470D-9D9F-0794108B5D91}"/>
    <cellStyle name="40% - Accent3 2 3 4 2 4" xfId="12189" xr:uid="{591BF563-B0F4-4C75-89CE-C894C5D3E7FD}"/>
    <cellStyle name="40% - Accent3 2 3 4 3" xfId="5812" xr:uid="{00000000-0005-0000-0000-000037050000}"/>
    <cellStyle name="40% - Accent3 2 3 4 3 2" xfId="22703" xr:uid="{2EC0FEA1-1492-4457-BB38-422AAC0B97ED}"/>
    <cellStyle name="40% - Accent3 2 3 4 3 3" xfId="14262" xr:uid="{9DCFB9FF-C5B8-480E-824F-DEE28E084B08}"/>
    <cellStyle name="40% - Accent3 2 3 4 4" xfId="18485" xr:uid="{956439F5-CC49-413E-9D62-2AA2E4152208}"/>
    <cellStyle name="40% - Accent3 2 3 4 5" xfId="10044" xr:uid="{56430125-8B14-4F0A-A19B-A1BB07D48897}"/>
    <cellStyle name="40% - Accent3 2 3 5" xfId="1919" xr:uid="{00000000-0005-0000-0000-000038050000}"/>
    <cellStyle name="40% - Accent3 2 3 5 2" xfId="4148" xr:uid="{00000000-0005-0000-0000-000039050000}"/>
    <cellStyle name="40% - Accent3 2 3 5 2 2" xfId="8370" xr:uid="{00000000-0005-0000-0000-00003A050000}"/>
    <cellStyle name="40% - Accent3 2 3 5 2 2 2" xfId="25261" xr:uid="{EC53B2F3-67F4-473C-8636-611529A28A17}"/>
    <cellStyle name="40% - Accent3 2 3 5 2 2 3" xfId="16820" xr:uid="{B6161229-C412-4630-ABB4-BECFB1567A1F}"/>
    <cellStyle name="40% - Accent3 2 3 5 2 3" xfId="21043" xr:uid="{1FFA5A3A-3B4A-452B-8E96-6D853A9A5050}"/>
    <cellStyle name="40% - Accent3 2 3 5 2 4" xfId="12602" xr:uid="{B852F173-10A1-48AD-9747-01D907D388BD}"/>
    <cellStyle name="40% - Accent3 2 3 5 3" xfId="6225" xr:uid="{00000000-0005-0000-0000-00003B050000}"/>
    <cellStyle name="40% - Accent3 2 3 5 3 2" xfId="23116" xr:uid="{6E3DC371-7884-40DE-8071-4DD6D50A0F2D}"/>
    <cellStyle name="40% - Accent3 2 3 5 3 3" xfId="14675" xr:uid="{72487958-0E5B-4916-9445-4F33238D9A79}"/>
    <cellStyle name="40% - Accent3 2 3 5 4" xfId="18898" xr:uid="{687DB582-565E-40A2-9C09-E7C5C6E66518}"/>
    <cellStyle name="40% - Accent3 2 3 5 5" xfId="10457" xr:uid="{DBDCFA74-C1CC-49D8-B9D2-1D71A37A7171}"/>
    <cellStyle name="40% - Accent3 2 3 6" xfId="2332" xr:uid="{00000000-0005-0000-0000-00003C050000}"/>
    <cellStyle name="40% - Accent3 2 3 6 2" xfId="6638" xr:uid="{00000000-0005-0000-0000-00003D050000}"/>
    <cellStyle name="40% - Accent3 2 3 6 2 2" xfId="23529" xr:uid="{EE34A928-E065-4BDB-AF6D-1AB25BBDF189}"/>
    <cellStyle name="40% - Accent3 2 3 6 2 3" xfId="15088" xr:uid="{446C8A9B-2947-4DFB-9C03-DD0099FBE47B}"/>
    <cellStyle name="40% - Accent3 2 3 6 3" xfId="19311" xr:uid="{9E9B963F-968D-458C-BB5F-A7BD24F00ADF}"/>
    <cellStyle name="40% - Accent3 2 3 6 4" xfId="10870" xr:uid="{F50C1328-8BFE-441D-A0AB-BC1450CE43F6}"/>
    <cellStyle name="40% - Accent3 2 3 7" xfId="4572" xr:uid="{00000000-0005-0000-0000-00003E050000}"/>
    <cellStyle name="40% - Accent3 2 3 7 2" xfId="21463" xr:uid="{0AAB5010-D2F9-4FB3-B402-BD92245DCE6F}"/>
    <cellStyle name="40% - Accent3 2 3 7 3" xfId="13022" xr:uid="{AE046C60-2287-4449-A60F-D1B3CAE2C4DB}"/>
    <cellStyle name="40% - Accent3 2 3 8" xfId="17245" xr:uid="{2FCC52D1-475A-4E13-956F-C63D672E331B}"/>
    <cellStyle name="40% - Accent3 2 3 9" xfId="8804" xr:uid="{E46478AB-3D6D-41D6-B745-B981ACC1FBE0}"/>
    <cellStyle name="40% - Accent3 2 4" xfId="635" xr:uid="{00000000-0005-0000-0000-00003F050000}"/>
    <cellStyle name="40% - Accent3 2 4 2" xfId="2906" xr:uid="{00000000-0005-0000-0000-000040050000}"/>
    <cellStyle name="40% - Accent3 2 4 2 2" xfId="7128" xr:uid="{00000000-0005-0000-0000-000041050000}"/>
    <cellStyle name="40% - Accent3 2 4 2 2 2" xfId="24019" xr:uid="{B7BC7346-ED20-48A7-A987-F488F06D4C79}"/>
    <cellStyle name="40% - Accent3 2 4 2 2 3" xfId="15578" xr:uid="{24EC44CF-C8AA-4F80-B8FD-D60514391009}"/>
    <cellStyle name="40% - Accent3 2 4 2 3" xfId="19801" xr:uid="{97D9D494-191E-47A8-AD99-9EE858DDB36F}"/>
    <cellStyle name="40% - Accent3 2 4 2 4" xfId="11360" xr:uid="{C9520A00-19BB-4201-B424-72D42F8BEEA2}"/>
    <cellStyle name="40% - Accent3 2 4 3" xfId="4983" xr:uid="{00000000-0005-0000-0000-000042050000}"/>
    <cellStyle name="40% - Accent3 2 4 3 2" xfId="21874" xr:uid="{F034CE2C-DE8F-4065-9E68-0BE4219EFF65}"/>
    <cellStyle name="40% - Accent3 2 4 3 3" xfId="13433" xr:uid="{A68D0444-0D82-4412-8E43-575AF5718E5A}"/>
    <cellStyle name="40% - Accent3 2 4 4" xfId="17656" xr:uid="{257D8741-EE05-46D2-99EA-AE0823CE7C94}"/>
    <cellStyle name="40% - Accent3 2 4 5" xfId="9215" xr:uid="{46ED8A74-EA22-479E-A5E1-E13B31695F4F}"/>
    <cellStyle name="40% - Accent3 2 5" xfId="1088" xr:uid="{00000000-0005-0000-0000-000043050000}"/>
    <cellStyle name="40% - Accent3 2 5 2" xfId="3319" xr:uid="{00000000-0005-0000-0000-000044050000}"/>
    <cellStyle name="40% - Accent3 2 5 2 2" xfId="7541" xr:uid="{00000000-0005-0000-0000-000045050000}"/>
    <cellStyle name="40% - Accent3 2 5 2 2 2" xfId="24432" xr:uid="{ADDC8D87-A8C5-44D7-918E-84E9DC8D9A70}"/>
    <cellStyle name="40% - Accent3 2 5 2 2 3" xfId="15991" xr:uid="{45326086-19B0-463B-9C59-105FA5486A86}"/>
    <cellStyle name="40% - Accent3 2 5 2 3" xfId="20214" xr:uid="{471EC5C5-A5D1-4C19-91C3-40F7F36E2BAD}"/>
    <cellStyle name="40% - Accent3 2 5 2 4" xfId="11773" xr:uid="{2683EA0A-88D2-4EE1-9025-CAC651072CCE}"/>
    <cellStyle name="40% - Accent3 2 5 3" xfId="5396" xr:uid="{00000000-0005-0000-0000-000046050000}"/>
    <cellStyle name="40% - Accent3 2 5 3 2" xfId="22287" xr:uid="{3FC3C33F-ADA2-45E1-B353-1CAF0D473C81}"/>
    <cellStyle name="40% - Accent3 2 5 3 3" xfId="13846" xr:uid="{87E41EFD-9940-4C22-8FAC-E2416C9C5747}"/>
    <cellStyle name="40% - Accent3 2 5 4" xfId="18069" xr:uid="{EF0CE480-C6AD-4807-B1DC-7781152526C0}"/>
    <cellStyle name="40% - Accent3 2 5 5" xfId="9628" xr:uid="{8326CF79-F080-4252-9B6C-34496613D5EB}"/>
    <cellStyle name="40% - Accent3 2 6" xfId="1502" xr:uid="{00000000-0005-0000-0000-000047050000}"/>
    <cellStyle name="40% - Accent3 2 6 2" xfId="3732" xr:uid="{00000000-0005-0000-0000-000048050000}"/>
    <cellStyle name="40% - Accent3 2 6 2 2" xfId="7954" xr:uid="{00000000-0005-0000-0000-000049050000}"/>
    <cellStyle name="40% - Accent3 2 6 2 2 2" xfId="24845" xr:uid="{FBCA912E-34C6-4F12-8004-B568B330BF2C}"/>
    <cellStyle name="40% - Accent3 2 6 2 2 3" xfId="16404" xr:uid="{9BB7DD49-CF48-4E9F-9BA7-7FD0A8783B75}"/>
    <cellStyle name="40% - Accent3 2 6 2 3" xfId="20627" xr:uid="{07B3074C-6685-4EDF-AE9B-A4987290DB35}"/>
    <cellStyle name="40% - Accent3 2 6 2 4" xfId="12186" xr:uid="{32675A02-9C12-439A-8AFB-D3E6C9015454}"/>
    <cellStyle name="40% - Accent3 2 6 3" xfId="5809" xr:uid="{00000000-0005-0000-0000-00004A050000}"/>
    <cellStyle name="40% - Accent3 2 6 3 2" xfId="22700" xr:uid="{6FBC9049-DCD3-47E0-B023-9C096CF5CBFF}"/>
    <cellStyle name="40% - Accent3 2 6 3 3" xfId="14259" xr:uid="{73B9F069-AA44-4CDA-A7F5-99762809548B}"/>
    <cellStyle name="40% - Accent3 2 6 4" xfId="18482" xr:uid="{C1ECA2EB-575A-4D34-8A5E-2AE8CB86D3FB}"/>
    <cellStyle name="40% - Accent3 2 6 5" xfId="10041" xr:uid="{DB20F6D9-3C6C-4142-B1B0-39BE725704C0}"/>
    <cellStyle name="40% - Accent3 2 7" xfId="1916" xr:uid="{00000000-0005-0000-0000-00004B050000}"/>
    <cellStyle name="40% - Accent3 2 7 2" xfId="4145" xr:uid="{00000000-0005-0000-0000-00004C050000}"/>
    <cellStyle name="40% - Accent3 2 7 2 2" xfId="8367" xr:uid="{00000000-0005-0000-0000-00004D050000}"/>
    <cellStyle name="40% - Accent3 2 7 2 2 2" xfId="25258" xr:uid="{425028E9-E345-4827-8726-C31DEEE8BF8E}"/>
    <cellStyle name="40% - Accent3 2 7 2 2 3" xfId="16817" xr:uid="{26273CFD-2093-4090-B5A5-62371921AAD0}"/>
    <cellStyle name="40% - Accent3 2 7 2 3" xfId="21040" xr:uid="{9A89D27E-1AA4-4F1F-9FC4-961291A7D1DE}"/>
    <cellStyle name="40% - Accent3 2 7 2 4" xfId="12599" xr:uid="{7B60A3F8-510D-4C72-91C3-E6277D34669F}"/>
    <cellStyle name="40% - Accent3 2 7 3" xfId="6222" xr:uid="{00000000-0005-0000-0000-00004E050000}"/>
    <cellStyle name="40% - Accent3 2 7 3 2" xfId="23113" xr:uid="{17CA76AA-BC9D-4A1D-AFFD-B0FF75639FF6}"/>
    <cellStyle name="40% - Accent3 2 7 3 3" xfId="14672" xr:uid="{4590E210-8D53-42FD-BD34-0C65C9940888}"/>
    <cellStyle name="40% - Accent3 2 7 4" xfId="18895" xr:uid="{4CE76F9D-F427-4EB1-8592-9C79A98A48D8}"/>
    <cellStyle name="40% - Accent3 2 7 5" xfId="10454" xr:uid="{783C625C-AC39-4525-9021-C3CB28C385D3}"/>
    <cellStyle name="40% - Accent3 2 8" xfId="2329" xr:uid="{00000000-0005-0000-0000-00004F050000}"/>
    <cellStyle name="40% - Accent3 2 8 2" xfId="6635" xr:uid="{00000000-0005-0000-0000-000050050000}"/>
    <cellStyle name="40% - Accent3 2 8 2 2" xfId="23526" xr:uid="{B9E8F62E-F829-4DEF-8FA6-31D49513826F}"/>
    <cellStyle name="40% - Accent3 2 8 2 3" xfId="15085" xr:uid="{A0D357D5-7214-4C25-8730-B12FAB4C52F6}"/>
    <cellStyle name="40% - Accent3 2 8 3" xfId="19308" xr:uid="{4DB3D352-48F6-4F03-9813-0D34A1EB611F}"/>
    <cellStyle name="40% - Accent3 2 8 4" xfId="10867" xr:uid="{DDB42D0E-9246-4A1E-9BDA-6F1F870F6940}"/>
    <cellStyle name="40% - Accent3 2 9" xfId="4569" xr:uid="{00000000-0005-0000-0000-000051050000}"/>
    <cellStyle name="40% - Accent3 2 9 2" xfId="21460" xr:uid="{DAC82C71-B81F-4B4C-84C7-399A8639F9F3}"/>
    <cellStyle name="40% - Accent3 2 9 3" xfId="13019" xr:uid="{841FCFB5-77EE-4151-BBB6-D44693D5B4B2}"/>
    <cellStyle name="40% - Accent3 3" xfId="70" xr:uid="{00000000-0005-0000-0000-000052050000}"/>
    <cellStyle name="40% - Accent3 3 10" xfId="8805" xr:uid="{7A0AFFCD-50AE-46C2-A5BC-5BDB4DD7CD88}"/>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2 2 2" xfId="24024" xr:uid="{B4C9D42B-92C4-45A7-917D-53294F9E44FB}"/>
    <cellStyle name="40% - Accent3 3 2 2 2 2 3" xfId="15583" xr:uid="{F25A0C18-B2AF-4E9C-8CE8-5B39E7359F6C}"/>
    <cellStyle name="40% - Accent3 3 2 2 2 3" xfId="19806" xr:uid="{167C8C00-B5DF-4A14-934E-BB1CC9E8E967}"/>
    <cellStyle name="40% - Accent3 3 2 2 2 4" xfId="11365" xr:uid="{B1371A8B-3EA2-4077-8C7D-F6B04695FCC0}"/>
    <cellStyle name="40% - Accent3 3 2 2 3" xfId="4988" xr:uid="{00000000-0005-0000-0000-000057050000}"/>
    <cellStyle name="40% - Accent3 3 2 2 3 2" xfId="21879" xr:uid="{1043E763-B9A2-42A7-BE8B-3CB44FDF4DEF}"/>
    <cellStyle name="40% - Accent3 3 2 2 3 3" xfId="13438" xr:uid="{EAD34109-C500-433D-9809-C2333917AB02}"/>
    <cellStyle name="40% - Accent3 3 2 2 4" xfId="17661" xr:uid="{71E18515-D402-465F-84A7-D85AC89B2817}"/>
    <cellStyle name="40% - Accent3 3 2 2 5" xfId="9220" xr:uid="{858FCDEB-7B99-4786-A3AF-84B63FBDE62D}"/>
    <cellStyle name="40% - Accent3 3 2 3" xfId="1093" xr:uid="{00000000-0005-0000-0000-000058050000}"/>
    <cellStyle name="40% - Accent3 3 2 3 2" xfId="3324" xr:uid="{00000000-0005-0000-0000-000059050000}"/>
    <cellStyle name="40% - Accent3 3 2 3 2 2" xfId="7546" xr:uid="{00000000-0005-0000-0000-00005A050000}"/>
    <cellStyle name="40% - Accent3 3 2 3 2 2 2" xfId="24437" xr:uid="{EC292964-80A7-497A-B59C-7321A430F0F9}"/>
    <cellStyle name="40% - Accent3 3 2 3 2 2 3" xfId="15996" xr:uid="{D363F0E5-BDD2-48FE-B014-B947CD4C6B14}"/>
    <cellStyle name="40% - Accent3 3 2 3 2 3" xfId="20219" xr:uid="{2C818CD0-2EC4-4359-866C-387E2D42A0CC}"/>
    <cellStyle name="40% - Accent3 3 2 3 2 4" xfId="11778" xr:uid="{F5EBD8F7-AD05-4DF0-A6D7-7509EFD3C227}"/>
    <cellStyle name="40% - Accent3 3 2 3 3" xfId="5401" xr:uid="{00000000-0005-0000-0000-00005B050000}"/>
    <cellStyle name="40% - Accent3 3 2 3 3 2" xfId="22292" xr:uid="{127BC835-4AC3-434C-8394-CF713908FF86}"/>
    <cellStyle name="40% - Accent3 3 2 3 3 3" xfId="13851" xr:uid="{BE3D3B2F-91C3-4F26-A9AE-EA88567CC5B7}"/>
    <cellStyle name="40% - Accent3 3 2 3 4" xfId="18074" xr:uid="{23E0722D-110C-4A86-9232-1301D6DB1099}"/>
    <cellStyle name="40% - Accent3 3 2 3 5" xfId="9633" xr:uid="{32CCFCC3-3717-4D9D-BDBB-F2A20D22F3C3}"/>
    <cellStyle name="40% - Accent3 3 2 4" xfId="1507" xr:uid="{00000000-0005-0000-0000-00005C050000}"/>
    <cellStyle name="40% - Accent3 3 2 4 2" xfId="3737" xr:uid="{00000000-0005-0000-0000-00005D050000}"/>
    <cellStyle name="40% - Accent3 3 2 4 2 2" xfId="7959" xr:uid="{00000000-0005-0000-0000-00005E050000}"/>
    <cellStyle name="40% - Accent3 3 2 4 2 2 2" xfId="24850" xr:uid="{9F72C908-4DB0-4C0E-A3E5-2193D8C05BC0}"/>
    <cellStyle name="40% - Accent3 3 2 4 2 2 3" xfId="16409" xr:uid="{F7099A56-0D69-4DD6-84F1-FCF018AB89C9}"/>
    <cellStyle name="40% - Accent3 3 2 4 2 3" xfId="20632" xr:uid="{A77BB04D-E957-40BE-B808-E37196E80EFA}"/>
    <cellStyle name="40% - Accent3 3 2 4 2 4" xfId="12191" xr:uid="{58442E0C-2297-468E-BC38-45BD651A0083}"/>
    <cellStyle name="40% - Accent3 3 2 4 3" xfId="5814" xr:uid="{00000000-0005-0000-0000-00005F050000}"/>
    <cellStyle name="40% - Accent3 3 2 4 3 2" xfId="22705" xr:uid="{B1E379F3-C7CA-4177-8CE7-54CFE7FFB2FC}"/>
    <cellStyle name="40% - Accent3 3 2 4 3 3" xfId="14264" xr:uid="{56185CB4-898F-4894-AD80-4445FADEE576}"/>
    <cellStyle name="40% - Accent3 3 2 4 4" xfId="18487" xr:uid="{FC6CB6E9-2CAF-428C-A214-29551931487E}"/>
    <cellStyle name="40% - Accent3 3 2 4 5" xfId="10046" xr:uid="{7E86931C-946A-4AEF-92F6-A6D0E0898247}"/>
    <cellStyle name="40% - Accent3 3 2 5" xfId="1921" xr:uid="{00000000-0005-0000-0000-000060050000}"/>
    <cellStyle name="40% - Accent3 3 2 5 2" xfId="4150" xr:uid="{00000000-0005-0000-0000-000061050000}"/>
    <cellStyle name="40% - Accent3 3 2 5 2 2" xfId="8372" xr:uid="{00000000-0005-0000-0000-000062050000}"/>
    <cellStyle name="40% - Accent3 3 2 5 2 2 2" xfId="25263" xr:uid="{165DEE60-0081-4868-BC2B-D5BD6EAE5621}"/>
    <cellStyle name="40% - Accent3 3 2 5 2 2 3" xfId="16822" xr:uid="{035E7D1E-764A-47AF-99F6-8A829F59A270}"/>
    <cellStyle name="40% - Accent3 3 2 5 2 3" xfId="21045" xr:uid="{30E5193F-8710-47F3-88D0-3BE880D432B2}"/>
    <cellStyle name="40% - Accent3 3 2 5 2 4" xfId="12604" xr:uid="{860388D6-CA36-402D-AA00-2A6675C64566}"/>
    <cellStyle name="40% - Accent3 3 2 5 3" xfId="6227" xr:uid="{00000000-0005-0000-0000-000063050000}"/>
    <cellStyle name="40% - Accent3 3 2 5 3 2" xfId="23118" xr:uid="{FCC97BB6-E572-44AF-B472-FBF58D5C4D03}"/>
    <cellStyle name="40% - Accent3 3 2 5 3 3" xfId="14677" xr:uid="{18533EC5-9E81-44AB-89F7-0143C3EFD633}"/>
    <cellStyle name="40% - Accent3 3 2 5 4" xfId="18900" xr:uid="{12B4A60B-1151-4CC7-9976-65DF9F540205}"/>
    <cellStyle name="40% - Accent3 3 2 5 5" xfId="10459" xr:uid="{24D8025F-4FCD-460E-84AD-A62A612A4158}"/>
    <cellStyle name="40% - Accent3 3 2 6" xfId="2334" xr:uid="{00000000-0005-0000-0000-000064050000}"/>
    <cellStyle name="40% - Accent3 3 2 6 2" xfId="6640" xr:uid="{00000000-0005-0000-0000-000065050000}"/>
    <cellStyle name="40% - Accent3 3 2 6 2 2" xfId="23531" xr:uid="{10A890FA-96B5-400E-9EFF-C1E5663A88E1}"/>
    <cellStyle name="40% - Accent3 3 2 6 2 3" xfId="15090" xr:uid="{D9C5E0FC-4AF0-4E14-AC94-21DA3A8B450D}"/>
    <cellStyle name="40% - Accent3 3 2 6 3" xfId="19313" xr:uid="{2A96795D-35E0-4E7E-88AA-755511A45066}"/>
    <cellStyle name="40% - Accent3 3 2 6 4" xfId="10872" xr:uid="{08E4AC5B-6F13-4759-8E76-CBF35264632C}"/>
    <cellStyle name="40% - Accent3 3 2 7" xfId="4574" xr:uid="{00000000-0005-0000-0000-000066050000}"/>
    <cellStyle name="40% - Accent3 3 2 7 2" xfId="21465" xr:uid="{9BF5658D-9454-4EEF-87AD-C7B4D7CC3520}"/>
    <cellStyle name="40% - Accent3 3 2 7 3" xfId="13024" xr:uid="{BFB508FF-17D3-483F-B2BC-7AABDB4CA802}"/>
    <cellStyle name="40% - Accent3 3 2 8" xfId="17247" xr:uid="{15BA9B59-23D6-4EC8-92B6-DEBC6092BAAD}"/>
    <cellStyle name="40% - Accent3 3 2 9" xfId="8806" xr:uid="{28287892-31E1-4644-AA0B-65099A4E87DE}"/>
    <cellStyle name="40% - Accent3 3 3" xfId="639" xr:uid="{00000000-0005-0000-0000-000067050000}"/>
    <cellStyle name="40% - Accent3 3 3 2" xfId="2910" xr:uid="{00000000-0005-0000-0000-000068050000}"/>
    <cellStyle name="40% - Accent3 3 3 2 2" xfId="7132" xr:uid="{00000000-0005-0000-0000-000069050000}"/>
    <cellStyle name="40% - Accent3 3 3 2 2 2" xfId="24023" xr:uid="{732DD117-1603-44A7-BDFA-BE33BEB119AA}"/>
    <cellStyle name="40% - Accent3 3 3 2 2 3" xfId="15582" xr:uid="{A474EEDD-1CD4-46D0-BAED-0AAFB4705EA0}"/>
    <cellStyle name="40% - Accent3 3 3 2 3" xfId="19805" xr:uid="{F9B97178-6C6A-471A-91EF-A4598F614DF1}"/>
    <cellStyle name="40% - Accent3 3 3 2 4" xfId="11364" xr:uid="{17ADBB84-7A88-4CA0-A8B2-6029EF0991F9}"/>
    <cellStyle name="40% - Accent3 3 3 3" xfId="4987" xr:uid="{00000000-0005-0000-0000-00006A050000}"/>
    <cellStyle name="40% - Accent3 3 3 3 2" xfId="21878" xr:uid="{B5EA05BB-A881-4E61-98EC-987A13D80DBD}"/>
    <cellStyle name="40% - Accent3 3 3 3 3" xfId="13437" xr:uid="{6D53EF22-6D50-4FE3-A474-8FBC3C34BEC8}"/>
    <cellStyle name="40% - Accent3 3 3 4" xfId="17660" xr:uid="{F0F4D613-4CE7-4044-8607-1B05056F6E8A}"/>
    <cellStyle name="40% - Accent3 3 3 5" xfId="9219" xr:uid="{C4B07BE7-A1D3-4137-8F9C-32243089DFCB}"/>
    <cellStyle name="40% - Accent3 3 4" xfId="1092" xr:uid="{00000000-0005-0000-0000-00006B050000}"/>
    <cellStyle name="40% - Accent3 3 4 2" xfId="3323" xr:uid="{00000000-0005-0000-0000-00006C050000}"/>
    <cellStyle name="40% - Accent3 3 4 2 2" xfId="7545" xr:uid="{00000000-0005-0000-0000-00006D050000}"/>
    <cellStyle name="40% - Accent3 3 4 2 2 2" xfId="24436" xr:uid="{40967F5E-8639-4C16-BD3C-63B88966B881}"/>
    <cellStyle name="40% - Accent3 3 4 2 2 3" xfId="15995" xr:uid="{7FAFBE5E-F52D-450F-97AD-48B18003D9D8}"/>
    <cellStyle name="40% - Accent3 3 4 2 3" xfId="20218" xr:uid="{B02A227C-FE6B-4135-8DA5-1C979EA1756E}"/>
    <cellStyle name="40% - Accent3 3 4 2 4" xfId="11777" xr:uid="{1F6CAB68-6FA1-4EE1-B9D1-812A32082BC2}"/>
    <cellStyle name="40% - Accent3 3 4 3" xfId="5400" xr:uid="{00000000-0005-0000-0000-00006E050000}"/>
    <cellStyle name="40% - Accent3 3 4 3 2" xfId="22291" xr:uid="{C6ED7A95-551A-4760-83CB-A3FD3886C592}"/>
    <cellStyle name="40% - Accent3 3 4 3 3" xfId="13850" xr:uid="{36A99E16-27C7-4B74-90BE-95EFDCF00AF1}"/>
    <cellStyle name="40% - Accent3 3 4 4" xfId="18073" xr:uid="{8C029A96-0D82-46E0-BBE0-2BD202EF689E}"/>
    <cellStyle name="40% - Accent3 3 4 5" xfId="9632" xr:uid="{C20DFB65-6A1F-475F-B4F0-67CAE861E284}"/>
    <cellStyle name="40% - Accent3 3 5" xfId="1506" xr:uid="{00000000-0005-0000-0000-00006F050000}"/>
    <cellStyle name="40% - Accent3 3 5 2" xfId="3736" xr:uid="{00000000-0005-0000-0000-000070050000}"/>
    <cellStyle name="40% - Accent3 3 5 2 2" xfId="7958" xr:uid="{00000000-0005-0000-0000-000071050000}"/>
    <cellStyle name="40% - Accent3 3 5 2 2 2" xfId="24849" xr:uid="{A860AA96-DFA7-473E-875C-4CD1B0C1842B}"/>
    <cellStyle name="40% - Accent3 3 5 2 2 3" xfId="16408" xr:uid="{CB9FFE5A-C6C8-4459-87FA-6E0429791FD4}"/>
    <cellStyle name="40% - Accent3 3 5 2 3" xfId="20631" xr:uid="{0EEFF008-2295-41DC-887C-552F21DA2964}"/>
    <cellStyle name="40% - Accent3 3 5 2 4" xfId="12190" xr:uid="{079ED83B-05A3-48C2-B85E-37C57D7CE4CA}"/>
    <cellStyle name="40% - Accent3 3 5 3" xfId="5813" xr:uid="{00000000-0005-0000-0000-000072050000}"/>
    <cellStyle name="40% - Accent3 3 5 3 2" xfId="22704" xr:uid="{6ABA8A79-0AC8-43C9-8C86-10D00B9562DD}"/>
    <cellStyle name="40% - Accent3 3 5 3 3" xfId="14263" xr:uid="{C2726E3D-5C4D-48C5-9598-78A2434B8428}"/>
    <cellStyle name="40% - Accent3 3 5 4" xfId="18486" xr:uid="{1EE20E5F-B487-4AA9-832E-6C2469C6F3FA}"/>
    <cellStyle name="40% - Accent3 3 5 5" xfId="10045" xr:uid="{F9CAF16C-5DE4-4C98-9720-B1D789DBABF8}"/>
    <cellStyle name="40% - Accent3 3 6" xfId="1920" xr:uid="{00000000-0005-0000-0000-000073050000}"/>
    <cellStyle name="40% - Accent3 3 6 2" xfId="4149" xr:uid="{00000000-0005-0000-0000-000074050000}"/>
    <cellStyle name="40% - Accent3 3 6 2 2" xfId="8371" xr:uid="{00000000-0005-0000-0000-000075050000}"/>
    <cellStyle name="40% - Accent3 3 6 2 2 2" xfId="25262" xr:uid="{83A5DFB7-6324-44FE-AC1E-C0D1B4845B01}"/>
    <cellStyle name="40% - Accent3 3 6 2 2 3" xfId="16821" xr:uid="{369A43B5-8EE2-40CC-920F-F852F73FC55A}"/>
    <cellStyle name="40% - Accent3 3 6 2 3" xfId="21044" xr:uid="{CA0A200F-A3A4-488F-B49E-DDB88604424D}"/>
    <cellStyle name="40% - Accent3 3 6 2 4" xfId="12603" xr:uid="{104E117E-2C24-4FBC-B5A8-689B52EDA902}"/>
    <cellStyle name="40% - Accent3 3 6 3" xfId="6226" xr:uid="{00000000-0005-0000-0000-000076050000}"/>
    <cellStyle name="40% - Accent3 3 6 3 2" xfId="23117" xr:uid="{7C7B8D3D-343A-46DA-B3C3-57AEB025F0BC}"/>
    <cellStyle name="40% - Accent3 3 6 3 3" xfId="14676" xr:uid="{8922167F-2088-4304-BAB9-6E0565873A75}"/>
    <cellStyle name="40% - Accent3 3 6 4" xfId="18899" xr:uid="{D7CE3CD5-DBF2-431F-BBB3-F11649B002F8}"/>
    <cellStyle name="40% - Accent3 3 6 5" xfId="10458" xr:uid="{0D65A8B6-004E-42C4-A99E-A0C0D38BFDD9}"/>
    <cellStyle name="40% - Accent3 3 7" xfId="2333" xr:uid="{00000000-0005-0000-0000-000077050000}"/>
    <cellStyle name="40% - Accent3 3 7 2" xfId="6639" xr:uid="{00000000-0005-0000-0000-000078050000}"/>
    <cellStyle name="40% - Accent3 3 7 2 2" xfId="23530" xr:uid="{CFE96BFD-1A19-4CE5-A21A-46173ECAB98A}"/>
    <cellStyle name="40% - Accent3 3 7 2 3" xfId="15089" xr:uid="{45781E5E-FBE6-4C68-8C7E-56CD065DC217}"/>
    <cellStyle name="40% - Accent3 3 7 3" xfId="19312" xr:uid="{3F95BC82-45A7-4FA5-A41E-4169B246FF51}"/>
    <cellStyle name="40% - Accent3 3 7 4" xfId="10871" xr:uid="{CA7E5497-FB7B-4D06-918F-D84828FBA6CA}"/>
    <cellStyle name="40% - Accent3 3 8" xfId="4573" xr:uid="{00000000-0005-0000-0000-000079050000}"/>
    <cellStyle name="40% - Accent3 3 8 2" xfId="21464" xr:uid="{38834754-AEA4-4ECD-916A-3E3086850678}"/>
    <cellStyle name="40% - Accent3 3 8 3" xfId="13023" xr:uid="{F245B663-4111-4E73-BD68-F86C62EAD118}"/>
    <cellStyle name="40% - Accent3 3 9" xfId="17246" xr:uid="{C6D7B955-E04E-42A9-AED3-05DD4905B648}"/>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2 2 2" xfId="24025" xr:uid="{5334CA42-5405-4C22-AD88-A5E105E6D7C9}"/>
    <cellStyle name="40% - Accent3 4 2 2 2 3" xfId="15584" xr:uid="{E4CD6789-F27B-45B9-BEE8-F5D3E6DB35B1}"/>
    <cellStyle name="40% - Accent3 4 2 2 3" xfId="19807" xr:uid="{D3E7EA9A-1D80-4C6A-9C1D-797D15C899F1}"/>
    <cellStyle name="40% - Accent3 4 2 2 4" xfId="11366" xr:uid="{4F2712D9-8DB4-4955-A5CB-F59BA0A7EE7D}"/>
    <cellStyle name="40% - Accent3 4 2 3" xfId="4989" xr:uid="{00000000-0005-0000-0000-00007E050000}"/>
    <cellStyle name="40% - Accent3 4 2 3 2" xfId="21880" xr:uid="{34BD0C50-FB3F-4DC8-87A9-D510376589A7}"/>
    <cellStyle name="40% - Accent3 4 2 3 3" xfId="13439" xr:uid="{CF8B17C8-86C9-4EC5-8763-E0E7634DD9C4}"/>
    <cellStyle name="40% - Accent3 4 2 4" xfId="17662" xr:uid="{52CF16FB-71F1-487D-BC57-93F0E2A9FA96}"/>
    <cellStyle name="40% - Accent3 4 2 5" xfId="9221" xr:uid="{50AF9EE0-5D92-4E07-BCCC-85AB43065EE1}"/>
    <cellStyle name="40% - Accent3 4 3" xfId="1094" xr:uid="{00000000-0005-0000-0000-00007F050000}"/>
    <cellStyle name="40% - Accent3 4 3 2" xfId="3325" xr:uid="{00000000-0005-0000-0000-000080050000}"/>
    <cellStyle name="40% - Accent3 4 3 2 2" xfId="7547" xr:uid="{00000000-0005-0000-0000-000081050000}"/>
    <cellStyle name="40% - Accent3 4 3 2 2 2" xfId="24438" xr:uid="{97C85A99-2CB1-4334-955B-FC4E2B3962BA}"/>
    <cellStyle name="40% - Accent3 4 3 2 2 3" xfId="15997" xr:uid="{E2643BAB-C2A2-4ACC-B685-2D306A76C281}"/>
    <cellStyle name="40% - Accent3 4 3 2 3" xfId="20220" xr:uid="{B0EE99E2-0972-4F59-93B9-6E799FF23901}"/>
    <cellStyle name="40% - Accent3 4 3 2 4" xfId="11779" xr:uid="{F99024AD-1A56-4515-AC8D-8E067E3F5C1F}"/>
    <cellStyle name="40% - Accent3 4 3 3" xfId="5402" xr:uid="{00000000-0005-0000-0000-000082050000}"/>
    <cellStyle name="40% - Accent3 4 3 3 2" xfId="22293" xr:uid="{4AAD3B2D-E1F8-4FC9-9105-63172F2DB2CF}"/>
    <cellStyle name="40% - Accent3 4 3 3 3" xfId="13852" xr:uid="{EFC93BA5-ECCF-4351-ADDC-CEBB08DEEF01}"/>
    <cellStyle name="40% - Accent3 4 3 4" xfId="18075" xr:uid="{4EBC7F76-70BC-4BC9-9C68-D149255BD46F}"/>
    <cellStyle name="40% - Accent3 4 3 5" xfId="9634" xr:uid="{72C40FBB-6806-486C-981D-4A2F1BF27366}"/>
    <cellStyle name="40% - Accent3 4 4" xfId="1508" xr:uid="{00000000-0005-0000-0000-000083050000}"/>
    <cellStyle name="40% - Accent3 4 4 2" xfId="3738" xr:uid="{00000000-0005-0000-0000-000084050000}"/>
    <cellStyle name="40% - Accent3 4 4 2 2" xfId="7960" xr:uid="{00000000-0005-0000-0000-000085050000}"/>
    <cellStyle name="40% - Accent3 4 4 2 2 2" xfId="24851" xr:uid="{DF2665F0-3022-4A74-B2C4-36B431E31174}"/>
    <cellStyle name="40% - Accent3 4 4 2 2 3" xfId="16410" xr:uid="{3609C1C9-CB9B-4122-8BA0-31B0A695AB95}"/>
    <cellStyle name="40% - Accent3 4 4 2 3" xfId="20633" xr:uid="{F4AF560C-411C-4E0C-B08D-25BBB6A6AE8B}"/>
    <cellStyle name="40% - Accent3 4 4 2 4" xfId="12192" xr:uid="{2DF20A32-B777-46E9-AB2B-9D17F36D70F3}"/>
    <cellStyle name="40% - Accent3 4 4 3" xfId="5815" xr:uid="{00000000-0005-0000-0000-000086050000}"/>
    <cellStyle name="40% - Accent3 4 4 3 2" xfId="22706" xr:uid="{E52795A8-5500-4C68-986C-5277DA8715ED}"/>
    <cellStyle name="40% - Accent3 4 4 3 3" xfId="14265" xr:uid="{6439CEDF-6963-4A9B-9A03-90F85E5245DF}"/>
    <cellStyle name="40% - Accent3 4 4 4" xfId="18488" xr:uid="{A63763BF-1A17-4197-B36D-2951256CCE74}"/>
    <cellStyle name="40% - Accent3 4 4 5" xfId="10047" xr:uid="{0EEA66C9-2F68-4F04-9B56-A69253407060}"/>
    <cellStyle name="40% - Accent3 4 5" xfId="1922" xr:uid="{00000000-0005-0000-0000-000087050000}"/>
    <cellStyle name="40% - Accent3 4 5 2" xfId="4151" xr:uid="{00000000-0005-0000-0000-000088050000}"/>
    <cellStyle name="40% - Accent3 4 5 2 2" xfId="8373" xr:uid="{00000000-0005-0000-0000-000089050000}"/>
    <cellStyle name="40% - Accent3 4 5 2 2 2" xfId="25264" xr:uid="{A7AE2BBE-3B70-489D-A196-6849CB65B6C2}"/>
    <cellStyle name="40% - Accent3 4 5 2 2 3" xfId="16823" xr:uid="{99717D7C-57BB-4BB7-8652-869C7B1AA812}"/>
    <cellStyle name="40% - Accent3 4 5 2 3" xfId="21046" xr:uid="{2DFA2464-9F59-4C11-8E46-4C6DF0007C7A}"/>
    <cellStyle name="40% - Accent3 4 5 2 4" xfId="12605" xr:uid="{647652FC-2C36-49AB-A7DC-B000B69E13A3}"/>
    <cellStyle name="40% - Accent3 4 5 3" xfId="6228" xr:uid="{00000000-0005-0000-0000-00008A050000}"/>
    <cellStyle name="40% - Accent3 4 5 3 2" xfId="23119" xr:uid="{F6FD146F-E5CD-444F-8BB9-159F4F24B013}"/>
    <cellStyle name="40% - Accent3 4 5 3 3" xfId="14678" xr:uid="{EBAE1B25-6AE1-4A47-BC66-0F61EA21E1A5}"/>
    <cellStyle name="40% - Accent3 4 5 4" xfId="18901" xr:uid="{B2982298-B4E6-4F14-81D1-E5DD68A92B57}"/>
    <cellStyle name="40% - Accent3 4 5 5" xfId="10460" xr:uid="{45AD9992-9CF4-49CF-9C2C-A3AF624AB466}"/>
    <cellStyle name="40% - Accent3 4 6" xfId="2335" xr:uid="{00000000-0005-0000-0000-00008B050000}"/>
    <cellStyle name="40% - Accent3 4 6 2" xfId="6641" xr:uid="{00000000-0005-0000-0000-00008C050000}"/>
    <cellStyle name="40% - Accent3 4 6 2 2" xfId="23532" xr:uid="{90250015-C6CD-4411-B440-58DDEF2A20C7}"/>
    <cellStyle name="40% - Accent3 4 6 2 3" xfId="15091" xr:uid="{5C72373A-F9FB-4E14-8B1F-E4850E31116D}"/>
    <cellStyle name="40% - Accent3 4 6 3" xfId="19314" xr:uid="{DCFA9C22-6CB5-412A-9596-AD3BC412CE4E}"/>
    <cellStyle name="40% - Accent3 4 6 4" xfId="10873" xr:uid="{79FC9B43-B0FA-46AB-B087-92D3916B1AA8}"/>
    <cellStyle name="40% - Accent3 4 7" xfId="4575" xr:uid="{00000000-0005-0000-0000-00008D050000}"/>
    <cellStyle name="40% - Accent3 4 7 2" xfId="21466" xr:uid="{C2F23093-6B08-4E49-8E3E-86BE81031DE3}"/>
    <cellStyle name="40% - Accent3 4 7 3" xfId="13025" xr:uid="{1F8FDEF7-9DE5-4A10-9AFF-DB9D4C130D41}"/>
    <cellStyle name="40% - Accent3 4 8" xfId="17248" xr:uid="{EE5BC752-A5F2-44E2-A468-34B3D77A2B6D}"/>
    <cellStyle name="40% - Accent3 4 9" xfId="8807" xr:uid="{446E15DB-501B-4581-80F4-7E714CECBE06}"/>
    <cellStyle name="40% - Accent3 5" xfId="634" xr:uid="{00000000-0005-0000-0000-00008E050000}"/>
    <cellStyle name="40% - Accent3 5 2" xfId="2905" xr:uid="{00000000-0005-0000-0000-00008F050000}"/>
    <cellStyle name="40% - Accent3 5 2 2" xfId="7127" xr:uid="{00000000-0005-0000-0000-000090050000}"/>
    <cellStyle name="40% - Accent3 5 2 2 2" xfId="24018" xr:uid="{15EEDE93-A59E-46A2-A5B1-6D36FCF1E3EB}"/>
    <cellStyle name="40% - Accent3 5 2 2 3" xfId="15577" xr:uid="{991E8D67-C9DB-46EA-9021-BF54052EE3C8}"/>
    <cellStyle name="40% - Accent3 5 2 3" xfId="19800" xr:uid="{1BF770D1-8B9B-4FDD-B4AB-C7CC1DF47D78}"/>
    <cellStyle name="40% - Accent3 5 2 4" xfId="11359" xr:uid="{C54BE4F8-3430-4F87-84ED-A07FFB3C6C53}"/>
    <cellStyle name="40% - Accent3 5 3" xfId="4982" xr:uid="{00000000-0005-0000-0000-000091050000}"/>
    <cellStyle name="40% - Accent3 5 3 2" xfId="21873" xr:uid="{CC1CED26-84C3-4D97-95B7-67C2953887D1}"/>
    <cellStyle name="40% - Accent3 5 3 3" xfId="13432" xr:uid="{F724E4DA-7353-4D44-8B58-96EED466FB7A}"/>
    <cellStyle name="40% - Accent3 5 4" xfId="17655" xr:uid="{7866A1EA-566F-46D1-AE90-90836DF9CE87}"/>
    <cellStyle name="40% - Accent3 5 5" xfId="9214" xr:uid="{96375A14-C824-467C-A429-B9F9C05BE77C}"/>
    <cellStyle name="40% - Accent3 6" xfId="1087" xr:uid="{00000000-0005-0000-0000-000092050000}"/>
    <cellStyle name="40% - Accent3 6 2" xfId="3318" xr:uid="{00000000-0005-0000-0000-000093050000}"/>
    <cellStyle name="40% - Accent3 6 2 2" xfId="7540" xr:uid="{00000000-0005-0000-0000-000094050000}"/>
    <cellStyle name="40% - Accent3 6 2 2 2" xfId="24431" xr:uid="{39FE7199-C8EA-4A07-AC94-AAC694003451}"/>
    <cellStyle name="40% - Accent3 6 2 2 3" xfId="15990" xr:uid="{D39CECAC-A693-4858-B467-6E29278DE009}"/>
    <cellStyle name="40% - Accent3 6 2 3" xfId="20213" xr:uid="{25B56C12-5531-42C7-9F15-50F7743E6777}"/>
    <cellStyle name="40% - Accent3 6 2 4" xfId="11772" xr:uid="{58F94C86-B2FA-44C6-BEED-51CD98A7D049}"/>
    <cellStyle name="40% - Accent3 6 3" xfId="5395" xr:uid="{00000000-0005-0000-0000-000095050000}"/>
    <cellStyle name="40% - Accent3 6 3 2" xfId="22286" xr:uid="{3EBE6F47-F9DD-4B3F-932D-8C256693631B}"/>
    <cellStyle name="40% - Accent3 6 3 3" xfId="13845" xr:uid="{E0B49BC9-0B97-4017-9F99-1E6EAF1C3288}"/>
    <cellStyle name="40% - Accent3 6 4" xfId="18068" xr:uid="{24CD45A8-1452-48CE-B83A-2EA4DB3BD8AE}"/>
    <cellStyle name="40% - Accent3 6 5" xfId="9627" xr:uid="{C00F1AA3-8C1A-4F7B-9AFD-8AC8E5DB1089}"/>
    <cellStyle name="40% - Accent3 7" xfId="1501" xr:uid="{00000000-0005-0000-0000-000096050000}"/>
    <cellStyle name="40% - Accent3 7 2" xfId="3731" xr:uid="{00000000-0005-0000-0000-000097050000}"/>
    <cellStyle name="40% - Accent3 7 2 2" xfId="7953" xr:uid="{00000000-0005-0000-0000-000098050000}"/>
    <cellStyle name="40% - Accent3 7 2 2 2" xfId="24844" xr:uid="{DA134ADB-A4DF-4CB3-85CA-640275DDDC59}"/>
    <cellStyle name="40% - Accent3 7 2 2 3" xfId="16403" xr:uid="{5F0F444B-7D0D-462A-84BD-C8889E6A088F}"/>
    <cellStyle name="40% - Accent3 7 2 3" xfId="20626" xr:uid="{2547764A-7115-4FFB-A344-4DC29F8E955D}"/>
    <cellStyle name="40% - Accent3 7 2 4" xfId="12185" xr:uid="{3DA2547F-5167-437B-8696-992F42CB7B02}"/>
    <cellStyle name="40% - Accent3 7 3" xfId="5808" xr:uid="{00000000-0005-0000-0000-000099050000}"/>
    <cellStyle name="40% - Accent3 7 3 2" xfId="22699" xr:uid="{5585549E-6E95-4602-BFE7-6E12E22F6D61}"/>
    <cellStyle name="40% - Accent3 7 3 3" xfId="14258" xr:uid="{5DF5C1E6-027E-4FB5-927B-7967F0F7E74E}"/>
    <cellStyle name="40% - Accent3 7 4" xfId="18481" xr:uid="{4ACF8D7F-96C9-448E-A907-83888909E2FB}"/>
    <cellStyle name="40% - Accent3 7 5" xfId="10040" xr:uid="{458AFE69-F2C5-4EA3-9D50-C378D1753C0E}"/>
    <cellStyle name="40% - Accent3 8" xfId="1915" xr:uid="{00000000-0005-0000-0000-00009A050000}"/>
    <cellStyle name="40% - Accent3 8 2" xfId="4144" xr:uid="{00000000-0005-0000-0000-00009B050000}"/>
    <cellStyle name="40% - Accent3 8 2 2" xfId="8366" xr:uid="{00000000-0005-0000-0000-00009C050000}"/>
    <cellStyle name="40% - Accent3 8 2 2 2" xfId="25257" xr:uid="{B3E2FE0C-BDEB-46DB-A764-0635557DFA03}"/>
    <cellStyle name="40% - Accent3 8 2 2 3" xfId="16816" xr:uid="{07B0ECBA-6FFC-4F7E-B5D3-73C168A66E16}"/>
    <cellStyle name="40% - Accent3 8 2 3" xfId="21039" xr:uid="{28A7D06E-C99B-4010-A948-E39F791A7CF0}"/>
    <cellStyle name="40% - Accent3 8 2 4" xfId="12598" xr:uid="{2D879D6E-58CE-44D3-B290-0481D78E6771}"/>
    <cellStyle name="40% - Accent3 8 3" xfId="6221" xr:uid="{00000000-0005-0000-0000-00009D050000}"/>
    <cellStyle name="40% - Accent3 8 3 2" xfId="23112" xr:uid="{1B8435FC-CBE8-491E-B067-29F1B5E5D43A}"/>
    <cellStyle name="40% - Accent3 8 3 3" xfId="14671" xr:uid="{51A64468-E619-49E4-AC32-49104069B01A}"/>
    <cellStyle name="40% - Accent3 8 4" xfId="18894" xr:uid="{76169B09-C7C3-4953-BB98-FA25AA93EC86}"/>
    <cellStyle name="40% - Accent3 8 5" xfId="10453" xr:uid="{D8E13D77-E617-4AAE-B19D-C7A2D4456CD6}"/>
    <cellStyle name="40% - Accent3 9" xfId="2328" xr:uid="{00000000-0005-0000-0000-00009E050000}"/>
    <cellStyle name="40% - Accent3 9 2" xfId="6634" xr:uid="{00000000-0005-0000-0000-00009F050000}"/>
    <cellStyle name="40% - Accent3 9 2 2" xfId="23525" xr:uid="{96B6B659-0996-421C-B50C-3F5B9892D4FD}"/>
    <cellStyle name="40% - Accent3 9 2 3" xfId="15084" xr:uid="{6C777F49-6479-4863-9BCE-99DBC096A661}"/>
    <cellStyle name="40% - Accent3 9 3" xfId="19307" xr:uid="{4A2D89D3-7227-4B73-A3BD-451C85F7979D}"/>
    <cellStyle name="40% - Accent3 9 4" xfId="10866" xr:uid="{4903DE61-B647-4B34-BD30-EEF58CF3BC78}"/>
    <cellStyle name="40% - Accent4" xfId="73" builtinId="43" customBuiltin="1"/>
    <cellStyle name="40% - Accent4 10" xfId="4576" xr:uid="{00000000-0005-0000-0000-0000A1050000}"/>
    <cellStyle name="40% - Accent4 10 2" xfId="21467" xr:uid="{EBA50C2E-60FD-4FF7-99D0-B7DE2AC7E0CA}"/>
    <cellStyle name="40% - Accent4 10 3" xfId="13026" xr:uid="{81E6141B-00FD-438C-B70B-808DE84CC138}"/>
    <cellStyle name="40% - Accent4 11" xfId="17249" xr:uid="{F9458D00-F75A-4586-B964-88F8CC713CB8}"/>
    <cellStyle name="40% - Accent4 12" xfId="8808" xr:uid="{80C6247A-09DD-468A-812A-4871D7D68816}"/>
    <cellStyle name="40% - Accent4 2" xfId="74" xr:uid="{00000000-0005-0000-0000-0000A2050000}"/>
    <cellStyle name="40% - Accent4 2 10" xfId="17250" xr:uid="{D32B8499-6610-4AC0-9294-3BD749E883D3}"/>
    <cellStyle name="40% - Accent4 2 11" xfId="8809" xr:uid="{00949675-9DA8-4C71-96B2-12F7BC40ED67}"/>
    <cellStyle name="40% - Accent4 2 2" xfId="75" xr:uid="{00000000-0005-0000-0000-0000A3050000}"/>
    <cellStyle name="40% - Accent4 2 2 10" xfId="8810" xr:uid="{4C8DE1C1-08F4-43C6-B487-2B28C7E82BF2}"/>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2 2 2" xfId="24029" xr:uid="{B8E525BF-A5A6-417F-BEAA-F998D8EBE185}"/>
    <cellStyle name="40% - Accent4 2 2 2 2 2 2 3" xfId="15588" xr:uid="{5FFCB507-D511-404F-A6BE-6E9348AEB025}"/>
    <cellStyle name="40% - Accent4 2 2 2 2 2 3" xfId="19811" xr:uid="{1AB73138-DCDB-4EEF-B25E-5695E69ACF17}"/>
    <cellStyle name="40% - Accent4 2 2 2 2 2 4" xfId="11370" xr:uid="{B4339053-617A-4EF2-8997-422A127D131A}"/>
    <cellStyle name="40% - Accent4 2 2 2 2 3" xfId="4993" xr:uid="{00000000-0005-0000-0000-0000A8050000}"/>
    <cellStyle name="40% - Accent4 2 2 2 2 3 2" xfId="21884" xr:uid="{5A219292-86CD-43A6-A176-0C8B828BC16D}"/>
    <cellStyle name="40% - Accent4 2 2 2 2 3 3" xfId="13443" xr:uid="{DC8BBAF6-D0E1-494B-AFA3-AFBED289A07E}"/>
    <cellStyle name="40% - Accent4 2 2 2 2 4" xfId="17666" xr:uid="{E21E5820-1AD8-409B-8CB6-9358F39CEE09}"/>
    <cellStyle name="40% - Accent4 2 2 2 2 5" xfId="9225" xr:uid="{4F698737-435A-432F-9FAC-C5895A634881}"/>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2 2 2" xfId="24442" xr:uid="{631D919D-CF0E-4724-A2A4-8326979167C8}"/>
    <cellStyle name="40% - Accent4 2 2 2 3 2 2 3" xfId="16001" xr:uid="{A945F830-355E-45FB-B011-8453FB879EC3}"/>
    <cellStyle name="40% - Accent4 2 2 2 3 2 3" xfId="20224" xr:uid="{FC33FEBA-F335-47B5-B5AD-687018955B1D}"/>
    <cellStyle name="40% - Accent4 2 2 2 3 2 4" xfId="11783" xr:uid="{D52DF5D5-9DFE-4081-B551-3941EADFB982}"/>
    <cellStyle name="40% - Accent4 2 2 2 3 3" xfId="5406" xr:uid="{00000000-0005-0000-0000-0000AC050000}"/>
    <cellStyle name="40% - Accent4 2 2 2 3 3 2" xfId="22297" xr:uid="{42E18B0B-432E-4871-B5FD-0CF072025BA0}"/>
    <cellStyle name="40% - Accent4 2 2 2 3 3 3" xfId="13856" xr:uid="{49627ACF-A67C-4634-8821-143A5912F91B}"/>
    <cellStyle name="40% - Accent4 2 2 2 3 4" xfId="18079" xr:uid="{6FC79D5C-70F0-4BE4-A980-55F0B0062308}"/>
    <cellStyle name="40% - Accent4 2 2 2 3 5" xfId="9638" xr:uid="{B9141FA7-280D-4C9E-8A25-052A3A578E26}"/>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2 2 2" xfId="24855" xr:uid="{01D5016B-3766-4B41-87EE-2A36C55A6C69}"/>
    <cellStyle name="40% - Accent4 2 2 2 4 2 2 3" xfId="16414" xr:uid="{269E7D4A-6916-4B99-BA12-033F085A49DF}"/>
    <cellStyle name="40% - Accent4 2 2 2 4 2 3" xfId="20637" xr:uid="{E2E1BE8C-F506-4DB4-8077-3DCAACBC5B27}"/>
    <cellStyle name="40% - Accent4 2 2 2 4 2 4" xfId="12196" xr:uid="{EB5A1E9D-4073-4548-B887-D685DCCA307B}"/>
    <cellStyle name="40% - Accent4 2 2 2 4 3" xfId="5819" xr:uid="{00000000-0005-0000-0000-0000B0050000}"/>
    <cellStyle name="40% - Accent4 2 2 2 4 3 2" xfId="22710" xr:uid="{98A3B95F-BC16-4649-9A8A-0DE271B34B8E}"/>
    <cellStyle name="40% - Accent4 2 2 2 4 3 3" xfId="14269" xr:uid="{28A7F9E8-D497-4EE0-9F9B-59AA54E0558B}"/>
    <cellStyle name="40% - Accent4 2 2 2 4 4" xfId="18492" xr:uid="{E586F23D-28C6-4ACC-985A-9AFB1A9C43EE}"/>
    <cellStyle name="40% - Accent4 2 2 2 4 5" xfId="10051" xr:uid="{32B1EF87-1943-494D-A494-1AF41C0867B4}"/>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2 2 2" xfId="25268" xr:uid="{0A98611A-39F7-4F46-9E14-9CFA7ED76F46}"/>
    <cellStyle name="40% - Accent4 2 2 2 5 2 2 3" xfId="16827" xr:uid="{E1207D29-FB44-4A5D-975F-A505CC07DCE3}"/>
    <cellStyle name="40% - Accent4 2 2 2 5 2 3" xfId="21050" xr:uid="{6AB0FDA1-DEA7-47DC-B333-75D7837DAE41}"/>
    <cellStyle name="40% - Accent4 2 2 2 5 2 4" xfId="12609" xr:uid="{1B4C3A59-0AE3-49A4-8A05-A08CE9DE80AA}"/>
    <cellStyle name="40% - Accent4 2 2 2 5 3" xfId="6232" xr:uid="{00000000-0005-0000-0000-0000B4050000}"/>
    <cellStyle name="40% - Accent4 2 2 2 5 3 2" xfId="23123" xr:uid="{2A0FAEEC-5E32-4FD7-A9BB-20B884FB6AC0}"/>
    <cellStyle name="40% - Accent4 2 2 2 5 3 3" xfId="14682" xr:uid="{DB9CF640-82E6-4B48-9B57-FA211CA41AA5}"/>
    <cellStyle name="40% - Accent4 2 2 2 5 4" xfId="18905" xr:uid="{52B0C2BC-93C5-482E-B212-35F960DE04BA}"/>
    <cellStyle name="40% - Accent4 2 2 2 5 5" xfId="10464" xr:uid="{563825A8-D97C-4ED8-A57B-40805D7BB1E9}"/>
    <cellStyle name="40% - Accent4 2 2 2 6" xfId="2339" xr:uid="{00000000-0005-0000-0000-0000B5050000}"/>
    <cellStyle name="40% - Accent4 2 2 2 6 2" xfId="6645" xr:uid="{00000000-0005-0000-0000-0000B6050000}"/>
    <cellStyle name="40% - Accent4 2 2 2 6 2 2" xfId="23536" xr:uid="{6D54BF6D-28A5-43C8-9A99-43D2BEE622C8}"/>
    <cellStyle name="40% - Accent4 2 2 2 6 2 3" xfId="15095" xr:uid="{69F90D50-6E93-4140-8DCF-32E323558CF4}"/>
    <cellStyle name="40% - Accent4 2 2 2 6 3" xfId="19318" xr:uid="{720E065D-8CCC-4039-9918-42004EA87C13}"/>
    <cellStyle name="40% - Accent4 2 2 2 6 4" xfId="10877" xr:uid="{C7B88A22-1B5A-45D7-BA2F-DEC789537A06}"/>
    <cellStyle name="40% - Accent4 2 2 2 7" xfId="4579" xr:uid="{00000000-0005-0000-0000-0000B7050000}"/>
    <cellStyle name="40% - Accent4 2 2 2 7 2" xfId="21470" xr:uid="{227D26DB-08C2-493E-B43E-4D09F55144F3}"/>
    <cellStyle name="40% - Accent4 2 2 2 7 3" xfId="13029" xr:uid="{22453F84-1F01-413E-9FF8-6962EEADE138}"/>
    <cellStyle name="40% - Accent4 2 2 2 8" xfId="17252" xr:uid="{D2804E67-4B8F-434B-8DCA-B173EC88F1D6}"/>
    <cellStyle name="40% - Accent4 2 2 2 9" xfId="8811" xr:uid="{E34E730D-1166-4EDA-B9E9-DE3818CA81DB}"/>
    <cellStyle name="40% - Accent4 2 2 3" xfId="644" xr:uid="{00000000-0005-0000-0000-0000B8050000}"/>
    <cellStyle name="40% - Accent4 2 2 3 2" xfId="2915" xr:uid="{00000000-0005-0000-0000-0000B9050000}"/>
    <cellStyle name="40% - Accent4 2 2 3 2 2" xfId="7137" xr:uid="{00000000-0005-0000-0000-0000BA050000}"/>
    <cellStyle name="40% - Accent4 2 2 3 2 2 2" xfId="24028" xr:uid="{29E245D4-E649-425A-9967-1893072C417D}"/>
    <cellStyle name="40% - Accent4 2 2 3 2 2 3" xfId="15587" xr:uid="{EAF5A8AD-462A-45A7-9C9C-C42FECAE29DC}"/>
    <cellStyle name="40% - Accent4 2 2 3 2 3" xfId="19810" xr:uid="{35FD2B90-2E49-409F-8860-8EBCBBE60F39}"/>
    <cellStyle name="40% - Accent4 2 2 3 2 4" xfId="11369" xr:uid="{15D8BF81-AD9C-4544-A409-19E9930A45BB}"/>
    <cellStyle name="40% - Accent4 2 2 3 3" xfId="4992" xr:uid="{00000000-0005-0000-0000-0000BB050000}"/>
    <cellStyle name="40% - Accent4 2 2 3 3 2" xfId="21883" xr:uid="{1079870A-34E5-46A0-8761-919EE8B54031}"/>
    <cellStyle name="40% - Accent4 2 2 3 3 3" xfId="13442" xr:uid="{F21D6739-F8B8-414F-8D44-7C2D50C20571}"/>
    <cellStyle name="40% - Accent4 2 2 3 4" xfId="17665" xr:uid="{31EEF6FA-26E2-442A-B9C9-CF5603B4761A}"/>
    <cellStyle name="40% - Accent4 2 2 3 5" xfId="9224" xr:uid="{169EFEA2-07CC-499D-B982-E664F66C8C41}"/>
    <cellStyle name="40% - Accent4 2 2 4" xfId="1097" xr:uid="{00000000-0005-0000-0000-0000BC050000}"/>
    <cellStyle name="40% - Accent4 2 2 4 2" xfId="3328" xr:uid="{00000000-0005-0000-0000-0000BD050000}"/>
    <cellStyle name="40% - Accent4 2 2 4 2 2" xfId="7550" xr:uid="{00000000-0005-0000-0000-0000BE050000}"/>
    <cellStyle name="40% - Accent4 2 2 4 2 2 2" xfId="24441" xr:uid="{401B6213-61D8-449F-9C86-D335926CAC5E}"/>
    <cellStyle name="40% - Accent4 2 2 4 2 2 3" xfId="16000" xr:uid="{BA1C9807-ADB2-429C-B66D-70DD4ED9717C}"/>
    <cellStyle name="40% - Accent4 2 2 4 2 3" xfId="20223" xr:uid="{C24460AD-8725-4340-8817-B24564F118D2}"/>
    <cellStyle name="40% - Accent4 2 2 4 2 4" xfId="11782" xr:uid="{70B7A7B0-87BB-4AC7-9402-477D84888F76}"/>
    <cellStyle name="40% - Accent4 2 2 4 3" xfId="5405" xr:uid="{00000000-0005-0000-0000-0000BF050000}"/>
    <cellStyle name="40% - Accent4 2 2 4 3 2" xfId="22296" xr:uid="{88B96E98-BA47-4D24-9844-0F9005CC04A4}"/>
    <cellStyle name="40% - Accent4 2 2 4 3 3" xfId="13855" xr:uid="{AF2CADA4-BD9E-478D-B716-0C5E28788564}"/>
    <cellStyle name="40% - Accent4 2 2 4 4" xfId="18078" xr:uid="{4DEC2444-31ED-401C-9739-C69E60312F50}"/>
    <cellStyle name="40% - Accent4 2 2 4 5" xfId="9637" xr:uid="{93A0D47F-AAA4-4440-B7D3-DE86BA872359}"/>
    <cellStyle name="40% - Accent4 2 2 5" xfId="1511" xr:uid="{00000000-0005-0000-0000-0000C0050000}"/>
    <cellStyle name="40% - Accent4 2 2 5 2" xfId="3741" xr:uid="{00000000-0005-0000-0000-0000C1050000}"/>
    <cellStyle name="40% - Accent4 2 2 5 2 2" xfId="7963" xr:uid="{00000000-0005-0000-0000-0000C2050000}"/>
    <cellStyle name="40% - Accent4 2 2 5 2 2 2" xfId="24854" xr:uid="{19137276-50B0-48A3-9FC2-AC53D5CAB431}"/>
    <cellStyle name="40% - Accent4 2 2 5 2 2 3" xfId="16413" xr:uid="{87DD1500-38A3-4634-825B-60C50920815E}"/>
    <cellStyle name="40% - Accent4 2 2 5 2 3" xfId="20636" xr:uid="{F8A517A9-95DC-4185-A3A4-DE630015B496}"/>
    <cellStyle name="40% - Accent4 2 2 5 2 4" xfId="12195" xr:uid="{008EAF91-D525-4461-ACD0-108F9DC1CB0D}"/>
    <cellStyle name="40% - Accent4 2 2 5 3" xfId="5818" xr:uid="{00000000-0005-0000-0000-0000C3050000}"/>
    <cellStyle name="40% - Accent4 2 2 5 3 2" xfId="22709" xr:uid="{BFAB5F46-71E4-49DA-B3F1-1D22B63A121B}"/>
    <cellStyle name="40% - Accent4 2 2 5 3 3" xfId="14268" xr:uid="{C7A3232A-6DE5-4269-B91E-DD667B091D0B}"/>
    <cellStyle name="40% - Accent4 2 2 5 4" xfId="18491" xr:uid="{2689F2AD-334C-4FC3-AFEC-B7FD57513FD0}"/>
    <cellStyle name="40% - Accent4 2 2 5 5" xfId="10050" xr:uid="{EF6857F0-9BA4-4EF2-95F3-874588FC48D4}"/>
    <cellStyle name="40% - Accent4 2 2 6" xfId="1925" xr:uid="{00000000-0005-0000-0000-0000C4050000}"/>
    <cellStyle name="40% - Accent4 2 2 6 2" xfId="4154" xr:uid="{00000000-0005-0000-0000-0000C5050000}"/>
    <cellStyle name="40% - Accent4 2 2 6 2 2" xfId="8376" xr:uid="{00000000-0005-0000-0000-0000C6050000}"/>
    <cellStyle name="40% - Accent4 2 2 6 2 2 2" xfId="25267" xr:uid="{B55F001F-48EC-414D-87C0-908D810B50C9}"/>
    <cellStyle name="40% - Accent4 2 2 6 2 2 3" xfId="16826" xr:uid="{C3F93CCA-3DFE-431F-811F-B42626284897}"/>
    <cellStyle name="40% - Accent4 2 2 6 2 3" xfId="21049" xr:uid="{DA948D49-8DEB-4EA4-9C13-958492588E74}"/>
    <cellStyle name="40% - Accent4 2 2 6 2 4" xfId="12608" xr:uid="{5A3310FF-2D8B-4E44-BB18-365448739297}"/>
    <cellStyle name="40% - Accent4 2 2 6 3" xfId="6231" xr:uid="{00000000-0005-0000-0000-0000C7050000}"/>
    <cellStyle name="40% - Accent4 2 2 6 3 2" xfId="23122" xr:uid="{606A8ABA-A558-43F7-AB6B-21EC0BCB9963}"/>
    <cellStyle name="40% - Accent4 2 2 6 3 3" xfId="14681" xr:uid="{9D6C7F0D-2098-4434-A9C5-C680692D45E4}"/>
    <cellStyle name="40% - Accent4 2 2 6 4" xfId="18904" xr:uid="{DAC30BB1-F3A7-4D94-B444-54C527287876}"/>
    <cellStyle name="40% - Accent4 2 2 6 5" xfId="10463" xr:uid="{8CB4394A-0BB4-4409-B1F0-0DE5A5FD5357}"/>
    <cellStyle name="40% - Accent4 2 2 7" xfId="2338" xr:uid="{00000000-0005-0000-0000-0000C8050000}"/>
    <cellStyle name="40% - Accent4 2 2 7 2" xfId="6644" xr:uid="{00000000-0005-0000-0000-0000C9050000}"/>
    <cellStyle name="40% - Accent4 2 2 7 2 2" xfId="23535" xr:uid="{22C717A9-95AB-4A76-A067-44C6D20547FA}"/>
    <cellStyle name="40% - Accent4 2 2 7 2 3" xfId="15094" xr:uid="{869BC256-3B84-421C-A69F-5015D5C7C92C}"/>
    <cellStyle name="40% - Accent4 2 2 7 3" xfId="19317" xr:uid="{2FAEDD03-4A09-4A4A-BFD3-762F5004FBD5}"/>
    <cellStyle name="40% - Accent4 2 2 7 4" xfId="10876" xr:uid="{00DDABED-C3E7-44B2-ADCC-C9A5E3D868FC}"/>
    <cellStyle name="40% - Accent4 2 2 8" xfId="4578" xr:uid="{00000000-0005-0000-0000-0000CA050000}"/>
    <cellStyle name="40% - Accent4 2 2 8 2" xfId="21469" xr:uid="{DF5D11AC-77C3-461B-BC6F-323DDECD28AF}"/>
    <cellStyle name="40% - Accent4 2 2 8 3" xfId="13028" xr:uid="{3176430D-092D-4E5A-9BCB-97C539E3B3FF}"/>
    <cellStyle name="40% - Accent4 2 2 9" xfId="17251" xr:uid="{7522EFC3-9B0B-4B57-8A74-85CA99998169}"/>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2 2 2" xfId="24030" xr:uid="{81A0F95F-5F51-4070-A268-04A8D8F27750}"/>
    <cellStyle name="40% - Accent4 2 3 2 2 2 3" xfId="15589" xr:uid="{C6143496-6FA4-4568-AC59-A3CCF0B1CDD0}"/>
    <cellStyle name="40% - Accent4 2 3 2 2 3" xfId="19812" xr:uid="{F393FE8C-3AEF-48A8-8465-86F95A75AD3D}"/>
    <cellStyle name="40% - Accent4 2 3 2 2 4" xfId="11371" xr:uid="{47AC770B-AA54-4563-80A9-B62600DEFC1C}"/>
    <cellStyle name="40% - Accent4 2 3 2 3" xfId="4994" xr:uid="{00000000-0005-0000-0000-0000CF050000}"/>
    <cellStyle name="40% - Accent4 2 3 2 3 2" xfId="21885" xr:uid="{27027E93-D122-489F-8963-5C9BA51589E5}"/>
    <cellStyle name="40% - Accent4 2 3 2 3 3" xfId="13444" xr:uid="{588CD629-8367-4D69-ADAE-344B3221F623}"/>
    <cellStyle name="40% - Accent4 2 3 2 4" xfId="17667" xr:uid="{F5690BB0-6B4D-4C53-A3FD-EA828DDD0A17}"/>
    <cellStyle name="40% - Accent4 2 3 2 5" xfId="9226" xr:uid="{75C3E803-26EE-4663-BD38-4CDAD972426E}"/>
    <cellStyle name="40% - Accent4 2 3 3" xfId="1099" xr:uid="{00000000-0005-0000-0000-0000D0050000}"/>
    <cellStyle name="40% - Accent4 2 3 3 2" xfId="3330" xr:uid="{00000000-0005-0000-0000-0000D1050000}"/>
    <cellStyle name="40% - Accent4 2 3 3 2 2" xfId="7552" xr:uid="{00000000-0005-0000-0000-0000D2050000}"/>
    <cellStyle name="40% - Accent4 2 3 3 2 2 2" xfId="24443" xr:uid="{5B511C25-05FC-4EDA-8433-3C2D2213B26D}"/>
    <cellStyle name="40% - Accent4 2 3 3 2 2 3" xfId="16002" xr:uid="{60B0CE58-4238-40ED-A2FF-1530A049A877}"/>
    <cellStyle name="40% - Accent4 2 3 3 2 3" xfId="20225" xr:uid="{48CB4646-D6DF-472E-BF7F-BCD02DFFAED3}"/>
    <cellStyle name="40% - Accent4 2 3 3 2 4" xfId="11784" xr:uid="{87D8ED01-4E31-4909-A71F-D204B39047B3}"/>
    <cellStyle name="40% - Accent4 2 3 3 3" xfId="5407" xr:uid="{00000000-0005-0000-0000-0000D3050000}"/>
    <cellStyle name="40% - Accent4 2 3 3 3 2" xfId="22298" xr:uid="{363AE33C-0525-48AB-B40C-4BC2FC8ED496}"/>
    <cellStyle name="40% - Accent4 2 3 3 3 3" xfId="13857" xr:uid="{33B8F201-33FF-4573-B788-0CB9DA114B78}"/>
    <cellStyle name="40% - Accent4 2 3 3 4" xfId="18080" xr:uid="{3EE57EC2-F3AC-4204-A2CE-33CE5D042A7F}"/>
    <cellStyle name="40% - Accent4 2 3 3 5" xfId="9639" xr:uid="{D6ECC5EB-524F-40F3-BFF6-AC802F741ADE}"/>
    <cellStyle name="40% - Accent4 2 3 4" xfId="1513" xr:uid="{00000000-0005-0000-0000-0000D4050000}"/>
    <cellStyle name="40% - Accent4 2 3 4 2" xfId="3743" xr:uid="{00000000-0005-0000-0000-0000D5050000}"/>
    <cellStyle name="40% - Accent4 2 3 4 2 2" xfId="7965" xr:uid="{00000000-0005-0000-0000-0000D6050000}"/>
    <cellStyle name="40% - Accent4 2 3 4 2 2 2" xfId="24856" xr:uid="{D68C0B3F-0DA0-4A76-81A2-F1BF6E08268A}"/>
    <cellStyle name="40% - Accent4 2 3 4 2 2 3" xfId="16415" xr:uid="{4AC9F873-C719-4761-93D1-0014D9054C88}"/>
    <cellStyle name="40% - Accent4 2 3 4 2 3" xfId="20638" xr:uid="{6315E095-2482-410E-9756-DE675E668C82}"/>
    <cellStyle name="40% - Accent4 2 3 4 2 4" xfId="12197" xr:uid="{299052F7-51B9-422A-B554-962AB1692B38}"/>
    <cellStyle name="40% - Accent4 2 3 4 3" xfId="5820" xr:uid="{00000000-0005-0000-0000-0000D7050000}"/>
    <cellStyle name="40% - Accent4 2 3 4 3 2" xfId="22711" xr:uid="{AEB442AE-2C2F-4993-BCBD-8B0EBE2CD007}"/>
    <cellStyle name="40% - Accent4 2 3 4 3 3" xfId="14270" xr:uid="{6CD07D1A-0E62-476C-B9F0-DB1B91FE3A56}"/>
    <cellStyle name="40% - Accent4 2 3 4 4" xfId="18493" xr:uid="{C2E1CCAC-A91A-4D52-BC99-A00D302BCDD9}"/>
    <cellStyle name="40% - Accent4 2 3 4 5" xfId="10052" xr:uid="{D028C474-1FF5-4157-BCDA-E1966AFB18CF}"/>
    <cellStyle name="40% - Accent4 2 3 5" xfId="1927" xr:uid="{00000000-0005-0000-0000-0000D8050000}"/>
    <cellStyle name="40% - Accent4 2 3 5 2" xfId="4156" xr:uid="{00000000-0005-0000-0000-0000D9050000}"/>
    <cellStyle name="40% - Accent4 2 3 5 2 2" xfId="8378" xr:uid="{00000000-0005-0000-0000-0000DA050000}"/>
    <cellStyle name="40% - Accent4 2 3 5 2 2 2" xfId="25269" xr:uid="{95B8661D-CD0E-4139-BA4A-96A148D18885}"/>
    <cellStyle name="40% - Accent4 2 3 5 2 2 3" xfId="16828" xr:uid="{248AC583-246C-4996-BFDD-41E4AA336FFB}"/>
    <cellStyle name="40% - Accent4 2 3 5 2 3" xfId="21051" xr:uid="{935A413C-BCFD-467A-9309-C95A04FF6267}"/>
    <cellStyle name="40% - Accent4 2 3 5 2 4" xfId="12610" xr:uid="{901653D6-859C-402D-83D3-F649A8F4DAD3}"/>
    <cellStyle name="40% - Accent4 2 3 5 3" xfId="6233" xr:uid="{00000000-0005-0000-0000-0000DB050000}"/>
    <cellStyle name="40% - Accent4 2 3 5 3 2" xfId="23124" xr:uid="{307BDE50-3339-42F9-94FA-5723F4C19844}"/>
    <cellStyle name="40% - Accent4 2 3 5 3 3" xfId="14683" xr:uid="{85D40A82-AB3D-432E-A27F-F0BF7A9F6306}"/>
    <cellStyle name="40% - Accent4 2 3 5 4" xfId="18906" xr:uid="{DD5DBA1F-16E9-459E-8546-012BEA64A506}"/>
    <cellStyle name="40% - Accent4 2 3 5 5" xfId="10465" xr:uid="{16985468-13B0-4BFD-850F-F3FE9DA460BF}"/>
    <cellStyle name="40% - Accent4 2 3 6" xfId="2340" xr:uid="{00000000-0005-0000-0000-0000DC050000}"/>
    <cellStyle name="40% - Accent4 2 3 6 2" xfId="6646" xr:uid="{00000000-0005-0000-0000-0000DD050000}"/>
    <cellStyle name="40% - Accent4 2 3 6 2 2" xfId="23537" xr:uid="{246120A5-CE3A-4853-B9A2-E0536BE46C25}"/>
    <cellStyle name="40% - Accent4 2 3 6 2 3" xfId="15096" xr:uid="{D9C55FA7-6FF2-4DC8-9D6F-754B04EAAF51}"/>
    <cellStyle name="40% - Accent4 2 3 6 3" xfId="19319" xr:uid="{CAF7DB30-2B9E-481A-BB20-B881B65B6C2D}"/>
    <cellStyle name="40% - Accent4 2 3 6 4" xfId="10878" xr:uid="{26DE96DE-BF68-462A-B8DB-DC2BA16505B1}"/>
    <cellStyle name="40% - Accent4 2 3 7" xfId="4580" xr:uid="{00000000-0005-0000-0000-0000DE050000}"/>
    <cellStyle name="40% - Accent4 2 3 7 2" xfId="21471" xr:uid="{955D474E-58F1-422B-9CF6-2FAE0837A226}"/>
    <cellStyle name="40% - Accent4 2 3 7 3" xfId="13030" xr:uid="{DD7E87F1-1437-4B43-B0FD-3E1991C57AE6}"/>
    <cellStyle name="40% - Accent4 2 3 8" xfId="17253" xr:uid="{9B86B3D7-D969-421E-927F-69C9AE0EC39F}"/>
    <cellStyle name="40% - Accent4 2 3 9" xfId="8812" xr:uid="{6A9EAED3-C535-485A-8E13-6F59EF3BBB2C}"/>
    <cellStyle name="40% - Accent4 2 4" xfId="643" xr:uid="{00000000-0005-0000-0000-0000DF050000}"/>
    <cellStyle name="40% - Accent4 2 4 2" xfId="2914" xr:uid="{00000000-0005-0000-0000-0000E0050000}"/>
    <cellStyle name="40% - Accent4 2 4 2 2" xfId="7136" xr:uid="{00000000-0005-0000-0000-0000E1050000}"/>
    <cellStyle name="40% - Accent4 2 4 2 2 2" xfId="24027" xr:uid="{A6DB7375-641B-4324-B8DC-456EB6293571}"/>
    <cellStyle name="40% - Accent4 2 4 2 2 3" xfId="15586" xr:uid="{26D96365-2382-4789-9DA8-2BCCA3002B2A}"/>
    <cellStyle name="40% - Accent4 2 4 2 3" xfId="19809" xr:uid="{F9E3B4DA-7606-421D-BED6-A86045713E11}"/>
    <cellStyle name="40% - Accent4 2 4 2 4" xfId="11368" xr:uid="{976D2C07-BAF2-45ED-90A1-2DB901D89A1E}"/>
    <cellStyle name="40% - Accent4 2 4 3" xfId="4991" xr:uid="{00000000-0005-0000-0000-0000E2050000}"/>
    <cellStyle name="40% - Accent4 2 4 3 2" xfId="21882" xr:uid="{4A8AB033-E168-4FA6-80F1-08C246115AAC}"/>
    <cellStyle name="40% - Accent4 2 4 3 3" xfId="13441" xr:uid="{297701EB-5A3A-489F-BCA8-F26927FC751E}"/>
    <cellStyle name="40% - Accent4 2 4 4" xfId="17664" xr:uid="{4AAB0188-C340-43A0-BB1E-D79690241979}"/>
    <cellStyle name="40% - Accent4 2 4 5" xfId="9223" xr:uid="{DCF1FB67-FCA1-4164-BA95-08DEDBADEE5E}"/>
    <cellStyle name="40% - Accent4 2 5" xfId="1096" xr:uid="{00000000-0005-0000-0000-0000E3050000}"/>
    <cellStyle name="40% - Accent4 2 5 2" xfId="3327" xr:uid="{00000000-0005-0000-0000-0000E4050000}"/>
    <cellStyle name="40% - Accent4 2 5 2 2" xfId="7549" xr:uid="{00000000-0005-0000-0000-0000E5050000}"/>
    <cellStyle name="40% - Accent4 2 5 2 2 2" xfId="24440" xr:uid="{E150B95E-8DF2-443B-BC11-FD28E502E16B}"/>
    <cellStyle name="40% - Accent4 2 5 2 2 3" xfId="15999" xr:uid="{1E55849F-7226-4C25-AC52-5ABED9EBE6E6}"/>
    <cellStyle name="40% - Accent4 2 5 2 3" xfId="20222" xr:uid="{0CD21C2B-55BD-4C21-9FAB-334E6A95CC4E}"/>
    <cellStyle name="40% - Accent4 2 5 2 4" xfId="11781" xr:uid="{3A4BAEDC-2F0C-4174-9000-1DFF5743E55F}"/>
    <cellStyle name="40% - Accent4 2 5 3" xfId="5404" xr:uid="{00000000-0005-0000-0000-0000E6050000}"/>
    <cellStyle name="40% - Accent4 2 5 3 2" xfId="22295" xr:uid="{7DF6D3F9-41F0-47F9-95F0-668780259046}"/>
    <cellStyle name="40% - Accent4 2 5 3 3" xfId="13854" xr:uid="{E8686399-F07E-4AE6-BF40-1A237DF3713B}"/>
    <cellStyle name="40% - Accent4 2 5 4" xfId="18077" xr:uid="{71BA6C5F-D452-4176-9BEF-80868EB7084A}"/>
    <cellStyle name="40% - Accent4 2 5 5" xfId="9636" xr:uid="{D5512676-C5F9-4819-A3C7-EE6FB1B211D7}"/>
    <cellStyle name="40% - Accent4 2 6" xfId="1510" xr:uid="{00000000-0005-0000-0000-0000E7050000}"/>
    <cellStyle name="40% - Accent4 2 6 2" xfId="3740" xr:uid="{00000000-0005-0000-0000-0000E8050000}"/>
    <cellStyle name="40% - Accent4 2 6 2 2" xfId="7962" xr:uid="{00000000-0005-0000-0000-0000E9050000}"/>
    <cellStyle name="40% - Accent4 2 6 2 2 2" xfId="24853" xr:uid="{46B896F5-D2EB-4481-A037-259D94195DCA}"/>
    <cellStyle name="40% - Accent4 2 6 2 2 3" xfId="16412" xr:uid="{B9970A4A-AF1D-42AE-88AA-59740897BD57}"/>
    <cellStyle name="40% - Accent4 2 6 2 3" xfId="20635" xr:uid="{6A5940C2-AD06-44E3-B1EC-D57DD8CFC7E6}"/>
    <cellStyle name="40% - Accent4 2 6 2 4" xfId="12194" xr:uid="{21B741EB-4F51-4690-9C71-A9AC8B7CE185}"/>
    <cellStyle name="40% - Accent4 2 6 3" xfId="5817" xr:uid="{00000000-0005-0000-0000-0000EA050000}"/>
    <cellStyle name="40% - Accent4 2 6 3 2" xfId="22708" xr:uid="{25ABAE82-7A9F-4315-A9B3-A8BFC4353E79}"/>
    <cellStyle name="40% - Accent4 2 6 3 3" xfId="14267" xr:uid="{D6DA43B0-9374-481E-AE6A-93653DB5B205}"/>
    <cellStyle name="40% - Accent4 2 6 4" xfId="18490" xr:uid="{4CA1C223-B56A-423A-9FFC-3CBA3265E8C6}"/>
    <cellStyle name="40% - Accent4 2 6 5" xfId="10049" xr:uid="{64B65B79-8FA5-4042-BDAB-CF41B596FBF3}"/>
    <cellStyle name="40% - Accent4 2 7" xfId="1924" xr:uid="{00000000-0005-0000-0000-0000EB050000}"/>
    <cellStyle name="40% - Accent4 2 7 2" xfId="4153" xr:uid="{00000000-0005-0000-0000-0000EC050000}"/>
    <cellStyle name="40% - Accent4 2 7 2 2" xfId="8375" xr:uid="{00000000-0005-0000-0000-0000ED050000}"/>
    <cellStyle name="40% - Accent4 2 7 2 2 2" xfId="25266" xr:uid="{B123AE79-A7C3-4B89-9D12-64612CA893B8}"/>
    <cellStyle name="40% - Accent4 2 7 2 2 3" xfId="16825" xr:uid="{095D2B6B-C42B-49E2-A348-B09445A4FD29}"/>
    <cellStyle name="40% - Accent4 2 7 2 3" xfId="21048" xr:uid="{BE17EC8B-E2A3-472E-A1C2-13AB500E2541}"/>
    <cellStyle name="40% - Accent4 2 7 2 4" xfId="12607" xr:uid="{0B972DF9-235D-45F8-B148-2AE6768968C1}"/>
    <cellStyle name="40% - Accent4 2 7 3" xfId="6230" xr:uid="{00000000-0005-0000-0000-0000EE050000}"/>
    <cellStyle name="40% - Accent4 2 7 3 2" xfId="23121" xr:uid="{091787D0-9449-455F-99A0-9203087711C5}"/>
    <cellStyle name="40% - Accent4 2 7 3 3" xfId="14680" xr:uid="{DB894CE8-BF94-4A9F-9047-A8F741E09E8A}"/>
    <cellStyle name="40% - Accent4 2 7 4" xfId="18903" xr:uid="{F08E0544-35CD-46F4-BA2C-D088EBA24EEB}"/>
    <cellStyle name="40% - Accent4 2 7 5" xfId="10462" xr:uid="{AED256F8-0737-4854-82E5-27AE7C3A6B89}"/>
    <cellStyle name="40% - Accent4 2 8" xfId="2337" xr:uid="{00000000-0005-0000-0000-0000EF050000}"/>
    <cellStyle name="40% - Accent4 2 8 2" xfId="6643" xr:uid="{00000000-0005-0000-0000-0000F0050000}"/>
    <cellStyle name="40% - Accent4 2 8 2 2" xfId="23534" xr:uid="{5E27DC3F-6252-42B2-B8F2-A5F735AAED4A}"/>
    <cellStyle name="40% - Accent4 2 8 2 3" xfId="15093" xr:uid="{2D1B25B1-D6E3-4A47-9ECF-FB5A53D4BE0C}"/>
    <cellStyle name="40% - Accent4 2 8 3" xfId="19316" xr:uid="{5C2EEFF0-FC28-4DB7-8142-294E45ED852D}"/>
    <cellStyle name="40% - Accent4 2 8 4" xfId="10875" xr:uid="{EFD81F7B-5374-4383-B75E-99798F775BC7}"/>
    <cellStyle name="40% - Accent4 2 9" xfId="4577" xr:uid="{00000000-0005-0000-0000-0000F1050000}"/>
    <cellStyle name="40% - Accent4 2 9 2" xfId="21468" xr:uid="{A9371BE3-89D8-46F8-B547-3B0ED04274EC}"/>
    <cellStyle name="40% - Accent4 2 9 3" xfId="13027" xr:uid="{DEB71625-E650-4FA5-9647-82FC6219DAF4}"/>
    <cellStyle name="40% - Accent4 3" xfId="78" xr:uid="{00000000-0005-0000-0000-0000F2050000}"/>
    <cellStyle name="40% - Accent4 3 10" xfId="8813" xr:uid="{3D52CCBC-0049-4C81-89A2-AA8D7EB37EC1}"/>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2 2 2" xfId="24032" xr:uid="{6E5FF152-9374-4A1E-8770-24A7778299A5}"/>
    <cellStyle name="40% - Accent4 3 2 2 2 2 3" xfId="15591" xr:uid="{138DFFE0-8AB7-49AB-98BF-8C655488A8A9}"/>
    <cellStyle name="40% - Accent4 3 2 2 2 3" xfId="19814" xr:uid="{C955C2AD-21A1-453D-A2CA-A378DC5602C1}"/>
    <cellStyle name="40% - Accent4 3 2 2 2 4" xfId="11373" xr:uid="{270BDD1B-B0D0-44B2-9CED-77BD4860CCFA}"/>
    <cellStyle name="40% - Accent4 3 2 2 3" xfId="4996" xr:uid="{00000000-0005-0000-0000-0000F7050000}"/>
    <cellStyle name="40% - Accent4 3 2 2 3 2" xfId="21887" xr:uid="{3D385033-B589-47DE-BF74-70B088E6D9E9}"/>
    <cellStyle name="40% - Accent4 3 2 2 3 3" xfId="13446" xr:uid="{419626E0-121E-4B93-8607-7154B5F5D180}"/>
    <cellStyle name="40% - Accent4 3 2 2 4" xfId="17669" xr:uid="{6F088C64-A363-4ABD-A5E4-B38A117A9661}"/>
    <cellStyle name="40% - Accent4 3 2 2 5" xfId="9228" xr:uid="{6335573C-E2B9-450A-A5BB-10C049EBD2FD}"/>
    <cellStyle name="40% - Accent4 3 2 3" xfId="1101" xr:uid="{00000000-0005-0000-0000-0000F8050000}"/>
    <cellStyle name="40% - Accent4 3 2 3 2" xfId="3332" xr:uid="{00000000-0005-0000-0000-0000F9050000}"/>
    <cellStyle name="40% - Accent4 3 2 3 2 2" xfId="7554" xr:uid="{00000000-0005-0000-0000-0000FA050000}"/>
    <cellStyle name="40% - Accent4 3 2 3 2 2 2" xfId="24445" xr:uid="{93CD263F-2FBD-40FA-90E3-0D29B231FB70}"/>
    <cellStyle name="40% - Accent4 3 2 3 2 2 3" xfId="16004" xr:uid="{F8856645-1D1F-4644-9BE3-2ED782681BDA}"/>
    <cellStyle name="40% - Accent4 3 2 3 2 3" xfId="20227" xr:uid="{D2FDFEBB-2886-405A-8155-14EF2A277381}"/>
    <cellStyle name="40% - Accent4 3 2 3 2 4" xfId="11786" xr:uid="{1D4003D6-0FC0-48C4-B900-77728E7CBFB2}"/>
    <cellStyle name="40% - Accent4 3 2 3 3" xfId="5409" xr:uid="{00000000-0005-0000-0000-0000FB050000}"/>
    <cellStyle name="40% - Accent4 3 2 3 3 2" xfId="22300" xr:uid="{A22D0DE4-69E4-4582-9F9F-5E867982EBD2}"/>
    <cellStyle name="40% - Accent4 3 2 3 3 3" xfId="13859" xr:uid="{65E68ED5-40BF-49F8-A755-CA0D122D23E5}"/>
    <cellStyle name="40% - Accent4 3 2 3 4" xfId="18082" xr:uid="{4BAD79D2-6192-4D1D-95D7-177A95AE62D6}"/>
    <cellStyle name="40% - Accent4 3 2 3 5" xfId="9641" xr:uid="{20314012-6862-4FBD-BB78-9D0FFA8EC459}"/>
    <cellStyle name="40% - Accent4 3 2 4" xfId="1515" xr:uid="{00000000-0005-0000-0000-0000FC050000}"/>
    <cellStyle name="40% - Accent4 3 2 4 2" xfId="3745" xr:uid="{00000000-0005-0000-0000-0000FD050000}"/>
    <cellStyle name="40% - Accent4 3 2 4 2 2" xfId="7967" xr:uid="{00000000-0005-0000-0000-0000FE050000}"/>
    <cellStyle name="40% - Accent4 3 2 4 2 2 2" xfId="24858" xr:uid="{F5D3D62A-770C-46D4-8386-9E1EAA336220}"/>
    <cellStyle name="40% - Accent4 3 2 4 2 2 3" xfId="16417" xr:uid="{89AC0737-6369-4E88-BC27-1A1E72DA7118}"/>
    <cellStyle name="40% - Accent4 3 2 4 2 3" xfId="20640" xr:uid="{99F35BA6-F9BC-46EE-914F-4F2E83FDBD87}"/>
    <cellStyle name="40% - Accent4 3 2 4 2 4" xfId="12199" xr:uid="{990C2E3E-0F04-4F66-A5BB-A516F2CC7D4C}"/>
    <cellStyle name="40% - Accent4 3 2 4 3" xfId="5822" xr:uid="{00000000-0005-0000-0000-0000FF050000}"/>
    <cellStyle name="40% - Accent4 3 2 4 3 2" xfId="22713" xr:uid="{5D182ABC-F79B-4613-B69A-7C854DEDEA86}"/>
    <cellStyle name="40% - Accent4 3 2 4 3 3" xfId="14272" xr:uid="{48E913C8-7CA1-4F68-9A05-F67214603FFA}"/>
    <cellStyle name="40% - Accent4 3 2 4 4" xfId="18495" xr:uid="{54BD8BDD-33FC-4C6D-8DE4-58B2053C9251}"/>
    <cellStyle name="40% - Accent4 3 2 4 5" xfId="10054" xr:uid="{2AD78892-C427-4A5D-8FB3-9E5172396A08}"/>
    <cellStyle name="40% - Accent4 3 2 5" xfId="1929" xr:uid="{00000000-0005-0000-0000-000000060000}"/>
    <cellStyle name="40% - Accent4 3 2 5 2" xfId="4158" xr:uid="{00000000-0005-0000-0000-000001060000}"/>
    <cellStyle name="40% - Accent4 3 2 5 2 2" xfId="8380" xr:uid="{00000000-0005-0000-0000-000002060000}"/>
    <cellStyle name="40% - Accent4 3 2 5 2 2 2" xfId="25271" xr:uid="{7A80CCF3-3F9E-4E43-9F92-5185754D861A}"/>
    <cellStyle name="40% - Accent4 3 2 5 2 2 3" xfId="16830" xr:uid="{63A127FB-B0E7-4E32-858A-DEDBC90E485E}"/>
    <cellStyle name="40% - Accent4 3 2 5 2 3" xfId="21053" xr:uid="{672B5F4C-13CD-4429-8EBB-E5B350BF4CBC}"/>
    <cellStyle name="40% - Accent4 3 2 5 2 4" xfId="12612" xr:uid="{D978F1B4-9624-4EC6-9A11-B4EA62C6A3F5}"/>
    <cellStyle name="40% - Accent4 3 2 5 3" xfId="6235" xr:uid="{00000000-0005-0000-0000-000003060000}"/>
    <cellStyle name="40% - Accent4 3 2 5 3 2" xfId="23126" xr:uid="{4DA50918-142D-496F-84D7-22A381622B19}"/>
    <cellStyle name="40% - Accent4 3 2 5 3 3" xfId="14685" xr:uid="{7D2ABF68-BD52-4B3A-832D-33536B564F94}"/>
    <cellStyle name="40% - Accent4 3 2 5 4" xfId="18908" xr:uid="{A06E66C5-B396-4391-AC94-7170FBE222D5}"/>
    <cellStyle name="40% - Accent4 3 2 5 5" xfId="10467" xr:uid="{FBB9FAB9-4415-409C-818B-FAC89252D008}"/>
    <cellStyle name="40% - Accent4 3 2 6" xfId="2342" xr:uid="{00000000-0005-0000-0000-000004060000}"/>
    <cellStyle name="40% - Accent4 3 2 6 2" xfId="6648" xr:uid="{00000000-0005-0000-0000-000005060000}"/>
    <cellStyle name="40% - Accent4 3 2 6 2 2" xfId="23539" xr:uid="{FF9813E0-6DE1-4E22-93C4-6B8B63D6DB5B}"/>
    <cellStyle name="40% - Accent4 3 2 6 2 3" xfId="15098" xr:uid="{14FA1D0E-3B7E-4F63-BB77-DB286F338437}"/>
    <cellStyle name="40% - Accent4 3 2 6 3" xfId="19321" xr:uid="{F2FB83FA-7583-40A4-B0E9-628AA08AB8EC}"/>
    <cellStyle name="40% - Accent4 3 2 6 4" xfId="10880" xr:uid="{DE17528E-705F-460F-AD96-4EDD3C1D29FB}"/>
    <cellStyle name="40% - Accent4 3 2 7" xfId="4582" xr:uid="{00000000-0005-0000-0000-000006060000}"/>
    <cellStyle name="40% - Accent4 3 2 7 2" xfId="21473" xr:uid="{98FAB2D9-2433-476C-8184-25AA1D7DB0C3}"/>
    <cellStyle name="40% - Accent4 3 2 7 3" xfId="13032" xr:uid="{D7C83E90-DB82-4A51-A7AD-3BE0BBF85AD9}"/>
    <cellStyle name="40% - Accent4 3 2 8" xfId="17255" xr:uid="{3BFE10A3-A5D7-4E80-8BDE-D0C75B08F1F7}"/>
    <cellStyle name="40% - Accent4 3 2 9" xfId="8814" xr:uid="{3A82D24E-FFB3-41A9-BD0D-2A1E2B35960B}"/>
    <cellStyle name="40% - Accent4 3 3" xfId="647" xr:uid="{00000000-0005-0000-0000-000007060000}"/>
    <cellStyle name="40% - Accent4 3 3 2" xfId="2918" xr:uid="{00000000-0005-0000-0000-000008060000}"/>
    <cellStyle name="40% - Accent4 3 3 2 2" xfId="7140" xr:uid="{00000000-0005-0000-0000-000009060000}"/>
    <cellStyle name="40% - Accent4 3 3 2 2 2" xfId="24031" xr:uid="{EE3F1541-DFC9-41F5-B309-1E09B02143EA}"/>
    <cellStyle name="40% - Accent4 3 3 2 2 3" xfId="15590" xr:uid="{4B83FE51-D581-4E26-BA6D-032BCD67382F}"/>
    <cellStyle name="40% - Accent4 3 3 2 3" xfId="19813" xr:uid="{55826EA9-5F82-49F1-ADEF-54A0035C7DBD}"/>
    <cellStyle name="40% - Accent4 3 3 2 4" xfId="11372" xr:uid="{4BFC45E2-E008-4ECF-AEAE-22134CA363E1}"/>
    <cellStyle name="40% - Accent4 3 3 3" xfId="4995" xr:uid="{00000000-0005-0000-0000-00000A060000}"/>
    <cellStyle name="40% - Accent4 3 3 3 2" xfId="21886" xr:uid="{8C2017FD-45D4-4F1F-AAE3-C38A51A95476}"/>
    <cellStyle name="40% - Accent4 3 3 3 3" xfId="13445" xr:uid="{5B63D7AB-B26F-4BB6-91BD-4BE453984DE4}"/>
    <cellStyle name="40% - Accent4 3 3 4" xfId="17668" xr:uid="{0C330F62-6761-40A0-B35F-48CD659F1E72}"/>
    <cellStyle name="40% - Accent4 3 3 5" xfId="9227" xr:uid="{0D0751C7-4989-4C5D-9D53-BCFFE9B37675}"/>
    <cellStyle name="40% - Accent4 3 4" xfId="1100" xr:uid="{00000000-0005-0000-0000-00000B060000}"/>
    <cellStyle name="40% - Accent4 3 4 2" xfId="3331" xr:uid="{00000000-0005-0000-0000-00000C060000}"/>
    <cellStyle name="40% - Accent4 3 4 2 2" xfId="7553" xr:uid="{00000000-0005-0000-0000-00000D060000}"/>
    <cellStyle name="40% - Accent4 3 4 2 2 2" xfId="24444" xr:uid="{842B39AF-E7EB-4809-97F9-981F804515FF}"/>
    <cellStyle name="40% - Accent4 3 4 2 2 3" xfId="16003" xr:uid="{47FDA1E3-D3A4-4B1D-8322-83A313A60891}"/>
    <cellStyle name="40% - Accent4 3 4 2 3" xfId="20226" xr:uid="{97C151CE-96B2-477A-8201-900984E48785}"/>
    <cellStyle name="40% - Accent4 3 4 2 4" xfId="11785" xr:uid="{6C19745B-0969-4241-894E-371E4E60FB2D}"/>
    <cellStyle name="40% - Accent4 3 4 3" xfId="5408" xr:uid="{00000000-0005-0000-0000-00000E060000}"/>
    <cellStyle name="40% - Accent4 3 4 3 2" xfId="22299" xr:uid="{F338243B-8AB7-4153-A716-FB7FB1C3BFD2}"/>
    <cellStyle name="40% - Accent4 3 4 3 3" xfId="13858" xr:uid="{1B3FA3A1-AD8F-4EED-A8A4-A08494F397D7}"/>
    <cellStyle name="40% - Accent4 3 4 4" xfId="18081" xr:uid="{2E8252EA-3A67-4150-8F70-AF769EEC4D01}"/>
    <cellStyle name="40% - Accent4 3 4 5" xfId="9640" xr:uid="{BEAE5B16-1A27-4167-A467-A6A327777334}"/>
    <cellStyle name="40% - Accent4 3 5" xfId="1514" xr:uid="{00000000-0005-0000-0000-00000F060000}"/>
    <cellStyle name="40% - Accent4 3 5 2" xfId="3744" xr:uid="{00000000-0005-0000-0000-000010060000}"/>
    <cellStyle name="40% - Accent4 3 5 2 2" xfId="7966" xr:uid="{00000000-0005-0000-0000-000011060000}"/>
    <cellStyle name="40% - Accent4 3 5 2 2 2" xfId="24857" xr:uid="{D93B8073-4A68-4F6A-B0EA-7B432278042B}"/>
    <cellStyle name="40% - Accent4 3 5 2 2 3" xfId="16416" xr:uid="{F0F02673-7132-4281-9191-05D492AB44F1}"/>
    <cellStyle name="40% - Accent4 3 5 2 3" xfId="20639" xr:uid="{DA68E75F-6780-457E-B783-8662C53371F6}"/>
    <cellStyle name="40% - Accent4 3 5 2 4" xfId="12198" xr:uid="{EFC27FCA-FB96-4151-B604-F39C92A1B980}"/>
    <cellStyle name="40% - Accent4 3 5 3" xfId="5821" xr:uid="{00000000-0005-0000-0000-000012060000}"/>
    <cellStyle name="40% - Accent4 3 5 3 2" xfId="22712" xr:uid="{3F6E5A46-2D13-4C54-A0DE-7BE9284B7D8A}"/>
    <cellStyle name="40% - Accent4 3 5 3 3" xfId="14271" xr:uid="{01F0E00F-914D-42CC-ADE2-34C85E147355}"/>
    <cellStyle name="40% - Accent4 3 5 4" xfId="18494" xr:uid="{FF150EBF-E8FD-4D26-B360-3F8864B8FFED}"/>
    <cellStyle name="40% - Accent4 3 5 5" xfId="10053" xr:uid="{BCF93ABF-5A79-47CA-9067-FC84DCD12670}"/>
    <cellStyle name="40% - Accent4 3 6" xfId="1928" xr:uid="{00000000-0005-0000-0000-000013060000}"/>
    <cellStyle name="40% - Accent4 3 6 2" xfId="4157" xr:uid="{00000000-0005-0000-0000-000014060000}"/>
    <cellStyle name="40% - Accent4 3 6 2 2" xfId="8379" xr:uid="{00000000-0005-0000-0000-000015060000}"/>
    <cellStyle name="40% - Accent4 3 6 2 2 2" xfId="25270" xr:uid="{4C520F9C-40F6-4629-98AF-570B13FCAAB4}"/>
    <cellStyle name="40% - Accent4 3 6 2 2 3" xfId="16829" xr:uid="{CA81B4ED-5E46-40CB-BF92-4ECD24E9439C}"/>
    <cellStyle name="40% - Accent4 3 6 2 3" xfId="21052" xr:uid="{9F99429D-6AA8-44FA-A59B-3268F4D841D1}"/>
    <cellStyle name="40% - Accent4 3 6 2 4" xfId="12611" xr:uid="{E822E930-D697-49EB-B4E4-E4DB14ABD2CB}"/>
    <cellStyle name="40% - Accent4 3 6 3" xfId="6234" xr:uid="{00000000-0005-0000-0000-000016060000}"/>
    <cellStyle name="40% - Accent4 3 6 3 2" xfId="23125" xr:uid="{FA1FDE4A-8274-4E7E-8AB7-58C0FE1CB47B}"/>
    <cellStyle name="40% - Accent4 3 6 3 3" xfId="14684" xr:uid="{96939F2D-EABB-4D0C-A21C-D313C93AFC83}"/>
    <cellStyle name="40% - Accent4 3 6 4" xfId="18907" xr:uid="{8AE94F48-C097-4647-890B-B374F4CDC722}"/>
    <cellStyle name="40% - Accent4 3 6 5" xfId="10466" xr:uid="{A4FD55DA-60CD-4382-99C5-40454C5EE9B5}"/>
    <cellStyle name="40% - Accent4 3 7" xfId="2341" xr:uid="{00000000-0005-0000-0000-000017060000}"/>
    <cellStyle name="40% - Accent4 3 7 2" xfId="6647" xr:uid="{00000000-0005-0000-0000-000018060000}"/>
    <cellStyle name="40% - Accent4 3 7 2 2" xfId="23538" xr:uid="{A802F958-CD54-4DCD-8555-4E4830708FCD}"/>
    <cellStyle name="40% - Accent4 3 7 2 3" xfId="15097" xr:uid="{04BF0CEA-B2C8-4151-840E-EBFBE3B27797}"/>
    <cellStyle name="40% - Accent4 3 7 3" xfId="19320" xr:uid="{0D2C2656-2443-4924-BAF5-B1F4A71269DD}"/>
    <cellStyle name="40% - Accent4 3 7 4" xfId="10879" xr:uid="{18C59AA4-C79F-4538-AAA1-7A7F08A670EE}"/>
    <cellStyle name="40% - Accent4 3 8" xfId="4581" xr:uid="{00000000-0005-0000-0000-000019060000}"/>
    <cellStyle name="40% - Accent4 3 8 2" xfId="21472" xr:uid="{271EECBE-FD7B-4E11-9528-4742ECB5553E}"/>
    <cellStyle name="40% - Accent4 3 8 3" xfId="13031" xr:uid="{6841DCCC-06AD-4D15-9EE7-592DF0FA6212}"/>
    <cellStyle name="40% - Accent4 3 9" xfId="17254" xr:uid="{AC84EA0E-AD1C-476C-845E-214C25540DDF}"/>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2 2 2" xfId="24033" xr:uid="{32153F2F-2B2A-4178-8911-C059E63DA672}"/>
    <cellStyle name="40% - Accent4 4 2 2 2 3" xfId="15592" xr:uid="{4A60D5ED-78C1-4202-81B3-8250AB94C877}"/>
    <cellStyle name="40% - Accent4 4 2 2 3" xfId="19815" xr:uid="{22D8FCA4-9A4B-4512-976F-98FDDD40EC68}"/>
    <cellStyle name="40% - Accent4 4 2 2 4" xfId="11374" xr:uid="{93B05E6C-4B31-4F74-9167-62602648384F}"/>
    <cellStyle name="40% - Accent4 4 2 3" xfId="4997" xr:uid="{00000000-0005-0000-0000-00001E060000}"/>
    <cellStyle name="40% - Accent4 4 2 3 2" xfId="21888" xr:uid="{DF5B5F2F-CFE4-4937-95DF-7BBF01907A5A}"/>
    <cellStyle name="40% - Accent4 4 2 3 3" xfId="13447" xr:uid="{5EA43F17-5B28-4EDA-BB19-4AD14AFAA32B}"/>
    <cellStyle name="40% - Accent4 4 2 4" xfId="17670" xr:uid="{7D5E842D-1073-49EA-816B-B01875FA5ED6}"/>
    <cellStyle name="40% - Accent4 4 2 5" xfId="9229" xr:uid="{BC9BB0C9-299F-431D-A6DF-E173A03BFF6E}"/>
    <cellStyle name="40% - Accent4 4 3" xfId="1102" xr:uid="{00000000-0005-0000-0000-00001F060000}"/>
    <cellStyle name="40% - Accent4 4 3 2" xfId="3333" xr:uid="{00000000-0005-0000-0000-000020060000}"/>
    <cellStyle name="40% - Accent4 4 3 2 2" xfId="7555" xr:uid="{00000000-0005-0000-0000-000021060000}"/>
    <cellStyle name="40% - Accent4 4 3 2 2 2" xfId="24446" xr:uid="{60B1180B-EE9F-4116-9302-2A082826471A}"/>
    <cellStyle name="40% - Accent4 4 3 2 2 3" xfId="16005" xr:uid="{A910C3E7-80DE-4B01-B5BC-0A891C1FA336}"/>
    <cellStyle name="40% - Accent4 4 3 2 3" xfId="20228" xr:uid="{076D57B5-0933-41CA-B642-0394D422994A}"/>
    <cellStyle name="40% - Accent4 4 3 2 4" xfId="11787" xr:uid="{55008D16-642C-4971-971E-8F5FAD208A12}"/>
    <cellStyle name="40% - Accent4 4 3 3" xfId="5410" xr:uid="{00000000-0005-0000-0000-000022060000}"/>
    <cellStyle name="40% - Accent4 4 3 3 2" xfId="22301" xr:uid="{8BE45B1C-1FD3-4C55-9710-82135C822F92}"/>
    <cellStyle name="40% - Accent4 4 3 3 3" xfId="13860" xr:uid="{09468CB1-F2B0-4FE1-934B-A7C409BD5417}"/>
    <cellStyle name="40% - Accent4 4 3 4" xfId="18083" xr:uid="{317613AC-3983-4998-837A-C1BE9203A79B}"/>
    <cellStyle name="40% - Accent4 4 3 5" xfId="9642" xr:uid="{9EFCBC59-C55E-4778-AE9B-2C628D7F39A0}"/>
    <cellStyle name="40% - Accent4 4 4" xfId="1516" xr:uid="{00000000-0005-0000-0000-000023060000}"/>
    <cellStyle name="40% - Accent4 4 4 2" xfId="3746" xr:uid="{00000000-0005-0000-0000-000024060000}"/>
    <cellStyle name="40% - Accent4 4 4 2 2" xfId="7968" xr:uid="{00000000-0005-0000-0000-000025060000}"/>
    <cellStyle name="40% - Accent4 4 4 2 2 2" xfId="24859" xr:uid="{D55C01B2-0362-43F2-A699-762DA51089D3}"/>
    <cellStyle name="40% - Accent4 4 4 2 2 3" xfId="16418" xr:uid="{416F3A6E-1F4F-4CE7-93E4-5C9584C9D1B8}"/>
    <cellStyle name="40% - Accent4 4 4 2 3" xfId="20641" xr:uid="{16A524EF-7189-489F-9DFD-DD0F4305710D}"/>
    <cellStyle name="40% - Accent4 4 4 2 4" xfId="12200" xr:uid="{2173F77F-10C4-4496-918A-B99644A17132}"/>
    <cellStyle name="40% - Accent4 4 4 3" xfId="5823" xr:uid="{00000000-0005-0000-0000-000026060000}"/>
    <cellStyle name="40% - Accent4 4 4 3 2" xfId="22714" xr:uid="{16CCD845-EB49-4624-BC22-BAB3977871D7}"/>
    <cellStyle name="40% - Accent4 4 4 3 3" xfId="14273" xr:uid="{CD1BFCCF-3018-47E2-B55D-5D3E7F0F97EF}"/>
    <cellStyle name="40% - Accent4 4 4 4" xfId="18496" xr:uid="{830026BE-D9F8-4DAF-BF45-9E61B1AD9223}"/>
    <cellStyle name="40% - Accent4 4 4 5" xfId="10055" xr:uid="{A61D87EC-8064-4678-A5B8-D9647532642D}"/>
    <cellStyle name="40% - Accent4 4 5" xfId="1930" xr:uid="{00000000-0005-0000-0000-000027060000}"/>
    <cellStyle name="40% - Accent4 4 5 2" xfId="4159" xr:uid="{00000000-0005-0000-0000-000028060000}"/>
    <cellStyle name="40% - Accent4 4 5 2 2" xfId="8381" xr:uid="{00000000-0005-0000-0000-000029060000}"/>
    <cellStyle name="40% - Accent4 4 5 2 2 2" xfId="25272" xr:uid="{3C919F0D-9C09-4176-8492-680F126938FF}"/>
    <cellStyle name="40% - Accent4 4 5 2 2 3" xfId="16831" xr:uid="{993F27D7-47AE-4EA3-AE23-6D22F65445D0}"/>
    <cellStyle name="40% - Accent4 4 5 2 3" xfId="21054" xr:uid="{17ECE51C-EBA1-4182-9B32-D9CA074767BA}"/>
    <cellStyle name="40% - Accent4 4 5 2 4" xfId="12613" xr:uid="{4FFB138F-6C0C-4CAB-9C59-475B5260DAD5}"/>
    <cellStyle name="40% - Accent4 4 5 3" xfId="6236" xr:uid="{00000000-0005-0000-0000-00002A060000}"/>
    <cellStyle name="40% - Accent4 4 5 3 2" xfId="23127" xr:uid="{668A253F-42CE-42B0-B230-542CA61472C3}"/>
    <cellStyle name="40% - Accent4 4 5 3 3" xfId="14686" xr:uid="{E2CA395A-52D3-494B-879E-057E8FB58CB8}"/>
    <cellStyle name="40% - Accent4 4 5 4" xfId="18909" xr:uid="{1E26119C-E4A0-4F05-A5CA-01FC43E0AED1}"/>
    <cellStyle name="40% - Accent4 4 5 5" xfId="10468" xr:uid="{B048EA57-5407-4751-9184-5D80D3C04BFD}"/>
    <cellStyle name="40% - Accent4 4 6" xfId="2343" xr:uid="{00000000-0005-0000-0000-00002B060000}"/>
    <cellStyle name="40% - Accent4 4 6 2" xfId="6649" xr:uid="{00000000-0005-0000-0000-00002C060000}"/>
    <cellStyle name="40% - Accent4 4 6 2 2" xfId="23540" xr:uid="{73FAD293-4695-4558-92AF-2BA2D053254D}"/>
    <cellStyle name="40% - Accent4 4 6 2 3" xfId="15099" xr:uid="{D3F60775-4CFA-419B-A286-E78B577E93C6}"/>
    <cellStyle name="40% - Accent4 4 6 3" xfId="19322" xr:uid="{04D98426-3074-4D96-8B4B-1FDBD3298D2D}"/>
    <cellStyle name="40% - Accent4 4 6 4" xfId="10881" xr:uid="{87ADE269-46DD-46D7-9164-9F7F4384CE34}"/>
    <cellStyle name="40% - Accent4 4 7" xfId="4583" xr:uid="{00000000-0005-0000-0000-00002D060000}"/>
    <cellStyle name="40% - Accent4 4 7 2" xfId="21474" xr:uid="{6180E4E5-86AD-4F93-B904-D736BCE51282}"/>
    <cellStyle name="40% - Accent4 4 7 3" xfId="13033" xr:uid="{AB2D3C9F-4EDE-49DF-869A-4702200AA01F}"/>
    <cellStyle name="40% - Accent4 4 8" xfId="17256" xr:uid="{8CD57FAA-3296-4E15-BC0C-97D22DE2C3F5}"/>
    <cellStyle name="40% - Accent4 4 9" xfId="8815" xr:uid="{557A4FD2-DE4D-4E77-B2CC-DA34F858849B}"/>
    <cellStyle name="40% - Accent4 5" xfId="642" xr:uid="{00000000-0005-0000-0000-00002E060000}"/>
    <cellStyle name="40% - Accent4 5 2" xfId="2913" xr:uid="{00000000-0005-0000-0000-00002F060000}"/>
    <cellStyle name="40% - Accent4 5 2 2" xfId="7135" xr:uid="{00000000-0005-0000-0000-000030060000}"/>
    <cellStyle name="40% - Accent4 5 2 2 2" xfId="24026" xr:uid="{6B00EF76-F954-440D-AA34-383C54C6660E}"/>
    <cellStyle name="40% - Accent4 5 2 2 3" xfId="15585" xr:uid="{533EF75D-3A65-4BAC-97D0-074E6B6734CC}"/>
    <cellStyle name="40% - Accent4 5 2 3" xfId="19808" xr:uid="{E891A702-098C-4AB0-B48E-AEB322569133}"/>
    <cellStyle name="40% - Accent4 5 2 4" xfId="11367" xr:uid="{2377413B-0535-409D-8DE5-4B15514FAA20}"/>
    <cellStyle name="40% - Accent4 5 3" xfId="4990" xr:uid="{00000000-0005-0000-0000-000031060000}"/>
    <cellStyle name="40% - Accent4 5 3 2" xfId="21881" xr:uid="{3F47F4F8-98DD-4EBC-A0DC-D7634ABDFC0A}"/>
    <cellStyle name="40% - Accent4 5 3 3" xfId="13440" xr:uid="{AD4DC0A5-B5EA-4F92-BE23-E7EE473B4A6F}"/>
    <cellStyle name="40% - Accent4 5 4" xfId="17663" xr:uid="{CC5136A9-71C6-454E-95FF-BA0850C771D9}"/>
    <cellStyle name="40% - Accent4 5 5" xfId="9222" xr:uid="{3CF162C7-73DC-4091-8066-4675921E0773}"/>
    <cellStyle name="40% - Accent4 6" xfId="1095" xr:uid="{00000000-0005-0000-0000-000032060000}"/>
    <cellStyle name="40% - Accent4 6 2" xfId="3326" xr:uid="{00000000-0005-0000-0000-000033060000}"/>
    <cellStyle name="40% - Accent4 6 2 2" xfId="7548" xr:uid="{00000000-0005-0000-0000-000034060000}"/>
    <cellStyle name="40% - Accent4 6 2 2 2" xfId="24439" xr:uid="{7DA03057-624F-4B02-8A59-1D5F7728A826}"/>
    <cellStyle name="40% - Accent4 6 2 2 3" xfId="15998" xr:uid="{D72D8234-4A3A-4856-A10C-543AF9019153}"/>
    <cellStyle name="40% - Accent4 6 2 3" xfId="20221" xr:uid="{89B39594-7AA4-45E7-A8FB-E306E347F6DE}"/>
    <cellStyle name="40% - Accent4 6 2 4" xfId="11780" xr:uid="{51C64DE1-4EA0-419B-AB27-F1C16CA59DF0}"/>
    <cellStyle name="40% - Accent4 6 3" xfId="5403" xr:uid="{00000000-0005-0000-0000-000035060000}"/>
    <cellStyle name="40% - Accent4 6 3 2" xfId="22294" xr:uid="{9D7A1DCB-9F01-4AE9-8FAF-13857E9CFE88}"/>
    <cellStyle name="40% - Accent4 6 3 3" xfId="13853" xr:uid="{9CA204CE-0407-469D-A02A-25CE3A4E28E9}"/>
    <cellStyle name="40% - Accent4 6 4" xfId="18076" xr:uid="{5818C574-2A93-4C55-9524-32020F905327}"/>
    <cellStyle name="40% - Accent4 6 5" xfId="9635" xr:uid="{513F1E37-B0D5-4DFF-BFF4-5C1971CB8DCF}"/>
    <cellStyle name="40% - Accent4 7" xfId="1509" xr:uid="{00000000-0005-0000-0000-000036060000}"/>
    <cellStyle name="40% - Accent4 7 2" xfId="3739" xr:uid="{00000000-0005-0000-0000-000037060000}"/>
    <cellStyle name="40% - Accent4 7 2 2" xfId="7961" xr:uid="{00000000-0005-0000-0000-000038060000}"/>
    <cellStyle name="40% - Accent4 7 2 2 2" xfId="24852" xr:uid="{6294597A-A665-40C6-8C27-259A697ED9B0}"/>
    <cellStyle name="40% - Accent4 7 2 2 3" xfId="16411" xr:uid="{21D8A2C1-4C8A-4E1B-BFA6-87051C659495}"/>
    <cellStyle name="40% - Accent4 7 2 3" xfId="20634" xr:uid="{1C9A285F-96DA-4AA0-89CA-F10D96663090}"/>
    <cellStyle name="40% - Accent4 7 2 4" xfId="12193" xr:uid="{19FE25D4-D9E3-4F9F-82CF-FD2FBB83BF90}"/>
    <cellStyle name="40% - Accent4 7 3" xfId="5816" xr:uid="{00000000-0005-0000-0000-000039060000}"/>
    <cellStyle name="40% - Accent4 7 3 2" xfId="22707" xr:uid="{5E3C0003-D1C3-40D0-ABB4-44BE1204BBC7}"/>
    <cellStyle name="40% - Accent4 7 3 3" xfId="14266" xr:uid="{AAB97C27-DB8C-4640-BF40-E95C55B2B410}"/>
    <cellStyle name="40% - Accent4 7 4" xfId="18489" xr:uid="{7E26237A-87F4-41C4-A40B-0AF3DB5FF620}"/>
    <cellStyle name="40% - Accent4 7 5" xfId="10048" xr:uid="{275639BB-42C4-48F0-8D34-A33DFCC8BEA8}"/>
    <cellStyle name="40% - Accent4 8" xfId="1923" xr:uid="{00000000-0005-0000-0000-00003A060000}"/>
    <cellStyle name="40% - Accent4 8 2" xfId="4152" xr:uid="{00000000-0005-0000-0000-00003B060000}"/>
    <cellStyle name="40% - Accent4 8 2 2" xfId="8374" xr:uid="{00000000-0005-0000-0000-00003C060000}"/>
    <cellStyle name="40% - Accent4 8 2 2 2" xfId="25265" xr:uid="{02059AED-43E4-49BC-A486-898984DED3F1}"/>
    <cellStyle name="40% - Accent4 8 2 2 3" xfId="16824" xr:uid="{96CD558F-B173-45BE-AE19-582657C806FE}"/>
    <cellStyle name="40% - Accent4 8 2 3" xfId="21047" xr:uid="{CFF9143D-3FBE-4982-8495-849039094E7F}"/>
    <cellStyle name="40% - Accent4 8 2 4" xfId="12606" xr:uid="{B0E8C9DD-A8B6-4298-BBEB-176A028EAB52}"/>
    <cellStyle name="40% - Accent4 8 3" xfId="6229" xr:uid="{00000000-0005-0000-0000-00003D060000}"/>
    <cellStyle name="40% - Accent4 8 3 2" xfId="23120" xr:uid="{63AD7BCC-8B80-490A-A27F-6DA293308FD5}"/>
    <cellStyle name="40% - Accent4 8 3 3" xfId="14679" xr:uid="{BD1141F5-C68E-45DF-BB4F-4E938B1E719B}"/>
    <cellStyle name="40% - Accent4 8 4" xfId="18902" xr:uid="{B2C62015-3BCC-4A99-9BD9-DF01976E2810}"/>
    <cellStyle name="40% - Accent4 8 5" xfId="10461" xr:uid="{3DDC44FD-E44F-4365-B5D2-64DD5995E038}"/>
    <cellStyle name="40% - Accent4 9" xfId="2336" xr:uid="{00000000-0005-0000-0000-00003E060000}"/>
    <cellStyle name="40% - Accent4 9 2" xfId="6642" xr:uid="{00000000-0005-0000-0000-00003F060000}"/>
    <cellStyle name="40% - Accent4 9 2 2" xfId="23533" xr:uid="{04A1E3EE-916D-4DFB-A39F-2A4CE5416513}"/>
    <cellStyle name="40% - Accent4 9 2 3" xfId="15092" xr:uid="{BA28E1F4-E6CF-40BC-AE41-D4DD13FDF220}"/>
    <cellStyle name="40% - Accent4 9 3" xfId="19315" xr:uid="{DB930817-C1EF-4073-B156-82BD6BBBBC97}"/>
    <cellStyle name="40% - Accent4 9 4" xfId="10874" xr:uid="{24C7E89D-34EE-4383-BDF1-91CB76356FF2}"/>
    <cellStyle name="40% - Accent5" xfId="81" builtinId="47" customBuiltin="1"/>
    <cellStyle name="40% - Accent5 10" xfId="4584" xr:uid="{00000000-0005-0000-0000-000041060000}"/>
    <cellStyle name="40% - Accent5 10 2" xfId="21475" xr:uid="{CADC5E9C-27B8-49EF-BA40-4F2225972021}"/>
    <cellStyle name="40% - Accent5 10 3" xfId="13034" xr:uid="{BF49F387-C388-4441-B689-A3DF44BD3A84}"/>
    <cellStyle name="40% - Accent5 11" xfId="17257" xr:uid="{F187297F-DE4F-4EFE-9B53-952CE4BA5044}"/>
    <cellStyle name="40% - Accent5 12" xfId="8816" xr:uid="{A4DB5847-78A7-40CA-9065-229A21F081FD}"/>
    <cellStyle name="40% - Accent5 2" xfId="82" xr:uid="{00000000-0005-0000-0000-000042060000}"/>
    <cellStyle name="40% - Accent5 2 10" xfId="17258" xr:uid="{F0683BF1-B9D1-43F0-92FB-1868094E9659}"/>
    <cellStyle name="40% - Accent5 2 11" xfId="8817" xr:uid="{63992A99-B236-4F66-BCFC-9AB6894C5F0A}"/>
    <cellStyle name="40% - Accent5 2 2" xfId="83" xr:uid="{00000000-0005-0000-0000-000043060000}"/>
    <cellStyle name="40% - Accent5 2 2 10" xfId="8818" xr:uid="{9F5EDE08-9B8F-4B1A-9199-E4A346AD630B}"/>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2 2 2" xfId="24037" xr:uid="{33445532-4320-48A9-AF9A-824FE07ED6BD}"/>
    <cellStyle name="40% - Accent5 2 2 2 2 2 2 3" xfId="15596" xr:uid="{3402D0F4-3633-4D0E-8487-83F588DE6CE5}"/>
    <cellStyle name="40% - Accent5 2 2 2 2 2 3" xfId="19819" xr:uid="{7030FCC4-A93F-4B56-82C7-34FBAC4A64E6}"/>
    <cellStyle name="40% - Accent5 2 2 2 2 2 4" xfId="11378" xr:uid="{F4F6E289-4D29-4BFC-BEAB-5DE5A1B9846C}"/>
    <cellStyle name="40% - Accent5 2 2 2 2 3" xfId="5001" xr:uid="{00000000-0005-0000-0000-000048060000}"/>
    <cellStyle name="40% - Accent5 2 2 2 2 3 2" xfId="21892" xr:uid="{795F6584-7E4F-48A2-A028-A71F838A7A77}"/>
    <cellStyle name="40% - Accent5 2 2 2 2 3 3" xfId="13451" xr:uid="{2131F891-2C0C-4C52-AE10-2725A3BA406F}"/>
    <cellStyle name="40% - Accent5 2 2 2 2 4" xfId="17674" xr:uid="{758B303D-5A14-4F82-B8C4-FA6D46779563}"/>
    <cellStyle name="40% - Accent5 2 2 2 2 5" xfId="9233" xr:uid="{AA4234DF-3ED0-484A-B3E0-B1BE89C51E0A}"/>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2 2 2" xfId="24450" xr:uid="{4ED1D524-9FD0-4A38-964A-FB92C761E7D0}"/>
    <cellStyle name="40% - Accent5 2 2 2 3 2 2 3" xfId="16009" xr:uid="{4A189E77-1D1D-43AB-8F37-BE79B174D646}"/>
    <cellStyle name="40% - Accent5 2 2 2 3 2 3" xfId="20232" xr:uid="{567850AE-AA16-4452-9304-18E0DE0E7D9F}"/>
    <cellStyle name="40% - Accent5 2 2 2 3 2 4" xfId="11791" xr:uid="{3454DA1C-4887-43FB-94BA-538FBBB2A877}"/>
    <cellStyle name="40% - Accent5 2 2 2 3 3" xfId="5414" xr:uid="{00000000-0005-0000-0000-00004C060000}"/>
    <cellStyle name="40% - Accent5 2 2 2 3 3 2" xfId="22305" xr:uid="{09AFF903-717D-440C-8255-F42AFBDB3576}"/>
    <cellStyle name="40% - Accent5 2 2 2 3 3 3" xfId="13864" xr:uid="{3F36940B-4AEC-408F-99C4-52CCB175491B}"/>
    <cellStyle name="40% - Accent5 2 2 2 3 4" xfId="18087" xr:uid="{E325F9A1-76B9-4DA7-916E-534E0C484E5E}"/>
    <cellStyle name="40% - Accent5 2 2 2 3 5" xfId="9646" xr:uid="{CAD63929-1E32-4E37-B6A6-A4BBC04666E8}"/>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2 2 2" xfId="24863" xr:uid="{B38F3D39-805A-4D9B-B0C6-4AD8B90FE11D}"/>
    <cellStyle name="40% - Accent5 2 2 2 4 2 2 3" xfId="16422" xr:uid="{A5177889-ED7F-4459-A45C-FEB1401991B0}"/>
    <cellStyle name="40% - Accent5 2 2 2 4 2 3" xfId="20645" xr:uid="{E76705A0-549A-4AEF-83DA-2E9CB0DD0B7D}"/>
    <cellStyle name="40% - Accent5 2 2 2 4 2 4" xfId="12204" xr:uid="{BB6E02F0-3617-4B72-9998-BDC033F96459}"/>
    <cellStyle name="40% - Accent5 2 2 2 4 3" xfId="5827" xr:uid="{00000000-0005-0000-0000-000050060000}"/>
    <cellStyle name="40% - Accent5 2 2 2 4 3 2" xfId="22718" xr:uid="{B7932141-C25A-43D0-A460-8C780D6DCA38}"/>
    <cellStyle name="40% - Accent5 2 2 2 4 3 3" xfId="14277" xr:uid="{C28007B4-705C-49F1-B084-2F37A98FB3A1}"/>
    <cellStyle name="40% - Accent5 2 2 2 4 4" xfId="18500" xr:uid="{CFB53BD6-13DD-4922-BC14-3025779329A6}"/>
    <cellStyle name="40% - Accent5 2 2 2 4 5" xfId="10059" xr:uid="{4846DF0B-E46A-4456-B289-1F0762EEFA32}"/>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2 2 2" xfId="25276" xr:uid="{5CE5A751-4B81-4A5C-B266-100AB5AF0C31}"/>
    <cellStyle name="40% - Accent5 2 2 2 5 2 2 3" xfId="16835" xr:uid="{40CE3A13-2E17-4E22-844C-75F458160A8A}"/>
    <cellStyle name="40% - Accent5 2 2 2 5 2 3" xfId="21058" xr:uid="{B07C856D-EED4-4875-B3FE-8DCCDE1CBE16}"/>
    <cellStyle name="40% - Accent5 2 2 2 5 2 4" xfId="12617" xr:uid="{809E951E-7172-4682-8E12-724C7605909E}"/>
    <cellStyle name="40% - Accent5 2 2 2 5 3" xfId="6240" xr:uid="{00000000-0005-0000-0000-000054060000}"/>
    <cellStyle name="40% - Accent5 2 2 2 5 3 2" xfId="23131" xr:uid="{7E9E98F4-E6C5-441F-9398-9EBFE7DD05EA}"/>
    <cellStyle name="40% - Accent5 2 2 2 5 3 3" xfId="14690" xr:uid="{374FE049-39AB-4D5D-8710-18E02DF287B5}"/>
    <cellStyle name="40% - Accent5 2 2 2 5 4" xfId="18913" xr:uid="{5C595664-6F76-45BE-9CDE-F75C400E821D}"/>
    <cellStyle name="40% - Accent5 2 2 2 5 5" xfId="10472" xr:uid="{F7BD28B5-C43D-4C10-970D-69FFD6BB16A1}"/>
    <cellStyle name="40% - Accent5 2 2 2 6" xfId="2347" xr:uid="{00000000-0005-0000-0000-000055060000}"/>
    <cellStyle name="40% - Accent5 2 2 2 6 2" xfId="6653" xr:uid="{00000000-0005-0000-0000-000056060000}"/>
    <cellStyle name="40% - Accent5 2 2 2 6 2 2" xfId="23544" xr:uid="{ED352C27-99AC-410E-B424-25567D0BE33A}"/>
    <cellStyle name="40% - Accent5 2 2 2 6 2 3" xfId="15103" xr:uid="{C56A11F0-0B2C-4DE9-A729-803E4EE13F15}"/>
    <cellStyle name="40% - Accent5 2 2 2 6 3" xfId="19326" xr:uid="{C57AA86D-6735-43E1-947A-7C66065EEDEA}"/>
    <cellStyle name="40% - Accent5 2 2 2 6 4" xfId="10885" xr:uid="{7DDC4388-7B73-4AAB-8BBC-9BAA504F1317}"/>
    <cellStyle name="40% - Accent5 2 2 2 7" xfId="4587" xr:uid="{00000000-0005-0000-0000-000057060000}"/>
    <cellStyle name="40% - Accent5 2 2 2 7 2" xfId="21478" xr:uid="{73E86065-03CA-4425-A8EB-DE782488D345}"/>
    <cellStyle name="40% - Accent5 2 2 2 7 3" xfId="13037" xr:uid="{5299499F-8486-48DE-B14A-D3B59F903136}"/>
    <cellStyle name="40% - Accent5 2 2 2 8" xfId="17260" xr:uid="{873FA443-331C-4217-B480-5B54005FA165}"/>
    <cellStyle name="40% - Accent5 2 2 2 9" xfId="8819" xr:uid="{F19F7E70-B522-4C17-9A39-1A44CA30E8B5}"/>
    <cellStyle name="40% - Accent5 2 2 3" xfId="652" xr:uid="{00000000-0005-0000-0000-000058060000}"/>
    <cellStyle name="40% - Accent5 2 2 3 2" xfId="2923" xr:uid="{00000000-0005-0000-0000-000059060000}"/>
    <cellStyle name="40% - Accent5 2 2 3 2 2" xfId="7145" xr:uid="{00000000-0005-0000-0000-00005A060000}"/>
    <cellStyle name="40% - Accent5 2 2 3 2 2 2" xfId="24036" xr:uid="{4E7CE31F-9F55-470C-A651-EDAE5B6E9640}"/>
    <cellStyle name="40% - Accent5 2 2 3 2 2 3" xfId="15595" xr:uid="{01A67D81-88F6-455D-ABC9-6A8A8A9DA101}"/>
    <cellStyle name="40% - Accent5 2 2 3 2 3" xfId="19818" xr:uid="{B2BD596A-C9D2-4E30-B00B-C8119053C4F8}"/>
    <cellStyle name="40% - Accent5 2 2 3 2 4" xfId="11377" xr:uid="{B30FF7F8-CE2A-4B19-A8B1-4D9C0B09871B}"/>
    <cellStyle name="40% - Accent5 2 2 3 3" xfId="5000" xr:uid="{00000000-0005-0000-0000-00005B060000}"/>
    <cellStyle name="40% - Accent5 2 2 3 3 2" xfId="21891" xr:uid="{5B81AC98-0210-4B87-8EB3-4465D2BE2EF9}"/>
    <cellStyle name="40% - Accent5 2 2 3 3 3" xfId="13450" xr:uid="{57105DB2-3E48-4487-A961-E1A4CF3D3078}"/>
    <cellStyle name="40% - Accent5 2 2 3 4" xfId="17673" xr:uid="{A5A1744B-9C22-4859-B65F-969905283D1E}"/>
    <cellStyle name="40% - Accent5 2 2 3 5" xfId="9232" xr:uid="{A61BAA19-5EC9-4B51-AD7A-9D3B3D30BCDF}"/>
    <cellStyle name="40% - Accent5 2 2 4" xfId="1105" xr:uid="{00000000-0005-0000-0000-00005C060000}"/>
    <cellStyle name="40% - Accent5 2 2 4 2" xfId="3336" xr:uid="{00000000-0005-0000-0000-00005D060000}"/>
    <cellStyle name="40% - Accent5 2 2 4 2 2" xfId="7558" xr:uid="{00000000-0005-0000-0000-00005E060000}"/>
    <cellStyle name="40% - Accent5 2 2 4 2 2 2" xfId="24449" xr:uid="{665F2F20-F392-44ED-83DD-D88C9D1CBD48}"/>
    <cellStyle name="40% - Accent5 2 2 4 2 2 3" xfId="16008" xr:uid="{A4507A82-0279-4BC4-8B7B-A3BFF2BAD917}"/>
    <cellStyle name="40% - Accent5 2 2 4 2 3" xfId="20231" xr:uid="{23DBD75B-9D4C-4D26-B985-44C27B93C2C3}"/>
    <cellStyle name="40% - Accent5 2 2 4 2 4" xfId="11790" xr:uid="{B557EAA2-EDA7-48BC-B496-69126434B773}"/>
    <cellStyle name="40% - Accent5 2 2 4 3" xfId="5413" xr:uid="{00000000-0005-0000-0000-00005F060000}"/>
    <cellStyle name="40% - Accent5 2 2 4 3 2" xfId="22304" xr:uid="{6062740B-F3ED-45E3-879C-256B0BC8E8A1}"/>
    <cellStyle name="40% - Accent5 2 2 4 3 3" xfId="13863" xr:uid="{3A571906-0D48-4F84-B49E-81C22E845E84}"/>
    <cellStyle name="40% - Accent5 2 2 4 4" xfId="18086" xr:uid="{5F7ADCE0-BBA3-4035-A3BF-9E4B61533D31}"/>
    <cellStyle name="40% - Accent5 2 2 4 5" xfId="9645" xr:uid="{BC02A673-1A38-443E-B3A1-E7F1FB839172}"/>
    <cellStyle name="40% - Accent5 2 2 5" xfId="1519" xr:uid="{00000000-0005-0000-0000-000060060000}"/>
    <cellStyle name="40% - Accent5 2 2 5 2" xfId="3749" xr:uid="{00000000-0005-0000-0000-000061060000}"/>
    <cellStyle name="40% - Accent5 2 2 5 2 2" xfId="7971" xr:uid="{00000000-0005-0000-0000-000062060000}"/>
    <cellStyle name="40% - Accent5 2 2 5 2 2 2" xfId="24862" xr:uid="{EEE2674E-0171-486C-A14A-B4C5B6696E4E}"/>
    <cellStyle name="40% - Accent5 2 2 5 2 2 3" xfId="16421" xr:uid="{B0B632FA-EC18-4DDF-B90E-88D5E736E113}"/>
    <cellStyle name="40% - Accent5 2 2 5 2 3" xfId="20644" xr:uid="{988286E2-107C-4B11-9B38-21DF63A83581}"/>
    <cellStyle name="40% - Accent5 2 2 5 2 4" xfId="12203" xr:uid="{03272463-B945-4EB3-9B8A-97E95284ACFC}"/>
    <cellStyle name="40% - Accent5 2 2 5 3" xfId="5826" xr:uid="{00000000-0005-0000-0000-000063060000}"/>
    <cellStyle name="40% - Accent5 2 2 5 3 2" xfId="22717" xr:uid="{89B47D1D-597B-42E9-BD42-5FD4DCF8175D}"/>
    <cellStyle name="40% - Accent5 2 2 5 3 3" xfId="14276" xr:uid="{CF8B89B4-2342-48F2-9965-E18476BF0A57}"/>
    <cellStyle name="40% - Accent5 2 2 5 4" xfId="18499" xr:uid="{19B5ACBA-399E-4379-BFA5-0F01E55DA488}"/>
    <cellStyle name="40% - Accent5 2 2 5 5" xfId="10058" xr:uid="{503788E3-EAD3-49F4-9E4E-0BC8137CAB35}"/>
    <cellStyle name="40% - Accent5 2 2 6" xfId="1933" xr:uid="{00000000-0005-0000-0000-000064060000}"/>
    <cellStyle name="40% - Accent5 2 2 6 2" xfId="4162" xr:uid="{00000000-0005-0000-0000-000065060000}"/>
    <cellStyle name="40% - Accent5 2 2 6 2 2" xfId="8384" xr:uid="{00000000-0005-0000-0000-000066060000}"/>
    <cellStyle name="40% - Accent5 2 2 6 2 2 2" xfId="25275" xr:uid="{B4B3B4D4-A943-4CB5-94AD-AECA055FA27D}"/>
    <cellStyle name="40% - Accent5 2 2 6 2 2 3" xfId="16834" xr:uid="{BE3DEC5B-D471-4E5B-BAA6-51BCA5B560BA}"/>
    <cellStyle name="40% - Accent5 2 2 6 2 3" xfId="21057" xr:uid="{4F7B3EB0-92DA-4459-BB99-E64DD4C6F562}"/>
    <cellStyle name="40% - Accent5 2 2 6 2 4" xfId="12616" xr:uid="{CD68E100-9311-49F6-87AE-001C21340F15}"/>
    <cellStyle name="40% - Accent5 2 2 6 3" xfId="6239" xr:uid="{00000000-0005-0000-0000-000067060000}"/>
    <cellStyle name="40% - Accent5 2 2 6 3 2" xfId="23130" xr:uid="{DBDF6C7C-C0A8-4F35-A0C9-8008985AE942}"/>
    <cellStyle name="40% - Accent5 2 2 6 3 3" xfId="14689" xr:uid="{79C043C4-E0C2-40A5-AC5B-2E7383714743}"/>
    <cellStyle name="40% - Accent5 2 2 6 4" xfId="18912" xr:uid="{8E88A918-5C32-4947-B004-C011811D09F6}"/>
    <cellStyle name="40% - Accent5 2 2 6 5" xfId="10471" xr:uid="{87CB2EB2-094A-4923-B2AA-E72263F7A7B9}"/>
    <cellStyle name="40% - Accent5 2 2 7" xfId="2346" xr:uid="{00000000-0005-0000-0000-000068060000}"/>
    <cellStyle name="40% - Accent5 2 2 7 2" xfId="6652" xr:uid="{00000000-0005-0000-0000-000069060000}"/>
    <cellStyle name="40% - Accent5 2 2 7 2 2" xfId="23543" xr:uid="{512B2C85-CD65-467A-B6D9-E80CC95716F7}"/>
    <cellStyle name="40% - Accent5 2 2 7 2 3" xfId="15102" xr:uid="{E5B9A45D-4FEE-4C32-B92F-D789062766BF}"/>
    <cellStyle name="40% - Accent5 2 2 7 3" xfId="19325" xr:uid="{E73619C8-004F-4B03-A1D2-8C71CCE5E7CC}"/>
    <cellStyle name="40% - Accent5 2 2 7 4" xfId="10884" xr:uid="{285E258C-2C78-4AA0-9BF3-6944B9CF9B6F}"/>
    <cellStyle name="40% - Accent5 2 2 8" xfId="4586" xr:uid="{00000000-0005-0000-0000-00006A060000}"/>
    <cellStyle name="40% - Accent5 2 2 8 2" xfId="21477" xr:uid="{6EB7D97B-4AFE-445F-A587-28F771722527}"/>
    <cellStyle name="40% - Accent5 2 2 8 3" xfId="13036" xr:uid="{A0070C1A-1B4A-4FEF-8AF5-5A22FDC1FE82}"/>
    <cellStyle name="40% - Accent5 2 2 9" xfId="17259" xr:uid="{2D4B086D-9E1A-45EB-8561-407CB39FA3FB}"/>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2 2 2" xfId="24038" xr:uid="{9F4448AB-1BA9-4736-8726-B5B7D53C3E03}"/>
    <cellStyle name="40% - Accent5 2 3 2 2 2 3" xfId="15597" xr:uid="{34A7DA52-78FF-4091-B664-C3F320567209}"/>
    <cellStyle name="40% - Accent5 2 3 2 2 3" xfId="19820" xr:uid="{F14CFAE6-37AE-434F-83B1-A4903A49DC2A}"/>
    <cellStyle name="40% - Accent5 2 3 2 2 4" xfId="11379" xr:uid="{EC42E705-F539-46B0-84FF-010641333B5F}"/>
    <cellStyle name="40% - Accent5 2 3 2 3" xfId="5002" xr:uid="{00000000-0005-0000-0000-00006F060000}"/>
    <cellStyle name="40% - Accent5 2 3 2 3 2" xfId="21893" xr:uid="{F420AC0B-85C6-4D90-AADA-E736A4422875}"/>
    <cellStyle name="40% - Accent5 2 3 2 3 3" xfId="13452" xr:uid="{DA173D32-B239-40D1-BEB0-47E9614657BB}"/>
    <cellStyle name="40% - Accent5 2 3 2 4" xfId="17675" xr:uid="{44B2AFE5-39A5-4DB8-B1F6-959E570E51C5}"/>
    <cellStyle name="40% - Accent5 2 3 2 5" xfId="9234" xr:uid="{DFDBAE61-8C4F-45D3-9874-EDACC71F0BD8}"/>
    <cellStyle name="40% - Accent5 2 3 3" xfId="1107" xr:uid="{00000000-0005-0000-0000-000070060000}"/>
    <cellStyle name="40% - Accent5 2 3 3 2" xfId="3338" xr:uid="{00000000-0005-0000-0000-000071060000}"/>
    <cellStyle name="40% - Accent5 2 3 3 2 2" xfId="7560" xr:uid="{00000000-0005-0000-0000-000072060000}"/>
    <cellStyle name="40% - Accent5 2 3 3 2 2 2" xfId="24451" xr:uid="{635DD701-B702-46CC-94EC-7A0BE7B4CC9C}"/>
    <cellStyle name="40% - Accent5 2 3 3 2 2 3" xfId="16010" xr:uid="{855C777F-A684-400F-9700-A8827A706966}"/>
    <cellStyle name="40% - Accent5 2 3 3 2 3" xfId="20233" xr:uid="{ABC5CA46-B095-413E-9447-C57F037581B4}"/>
    <cellStyle name="40% - Accent5 2 3 3 2 4" xfId="11792" xr:uid="{83CFA5A6-1A9D-4636-BA18-61F4CE361540}"/>
    <cellStyle name="40% - Accent5 2 3 3 3" xfId="5415" xr:uid="{00000000-0005-0000-0000-000073060000}"/>
    <cellStyle name="40% - Accent5 2 3 3 3 2" xfId="22306" xr:uid="{5E544307-F36E-4F71-886C-70A8F3B7BAD2}"/>
    <cellStyle name="40% - Accent5 2 3 3 3 3" xfId="13865" xr:uid="{E8D0A42E-3A02-40C5-BA45-2C39E1E22BDB}"/>
    <cellStyle name="40% - Accent5 2 3 3 4" xfId="18088" xr:uid="{E3526EA8-2C3C-49DB-94EA-D7FF2454EA22}"/>
    <cellStyle name="40% - Accent5 2 3 3 5" xfId="9647" xr:uid="{60F6E575-9C8F-48B6-AFB4-A778BD11FB0B}"/>
    <cellStyle name="40% - Accent5 2 3 4" xfId="1521" xr:uid="{00000000-0005-0000-0000-000074060000}"/>
    <cellStyle name="40% - Accent5 2 3 4 2" xfId="3751" xr:uid="{00000000-0005-0000-0000-000075060000}"/>
    <cellStyle name="40% - Accent5 2 3 4 2 2" xfId="7973" xr:uid="{00000000-0005-0000-0000-000076060000}"/>
    <cellStyle name="40% - Accent5 2 3 4 2 2 2" xfId="24864" xr:uid="{4513D048-19E7-4C9E-93C6-1768BB0A6D82}"/>
    <cellStyle name="40% - Accent5 2 3 4 2 2 3" xfId="16423" xr:uid="{2EF440A2-9231-40AC-B47F-7998E7D4B3D4}"/>
    <cellStyle name="40% - Accent5 2 3 4 2 3" xfId="20646" xr:uid="{9B60FB78-4A9D-41AF-A18D-B4CAB63988AA}"/>
    <cellStyle name="40% - Accent5 2 3 4 2 4" xfId="12205" xr:uid="{8713376B-0799-415D-BD8F-3B8EB79E83B5}"/>
    <cellStyle name="40% - Accent5 2 3 4 3" xfId="5828" xr:uid="{00000000-0005-0000-0000-000077060000}"/>
    <cellStyle name="40% - Accent5 2 3 4 3 2" xfId="22719" xr:uid="{DD736181-134A-4BB2-BE38-219FA03BDEC4}"/>
    <cellStyle name="40% - Accent5 2 3 4 3 3" xfId="14278" xr:uid="{771AD70D-30F4-40E5-8349-F45478B19E05}"/>
    <cellStyle name="40% - Accent5 2 3 4 4" xfId="18501" xr:uid="{E1DE9E45-34AF-489B-8C3D-A3610C098C0B}"/>
    <cellStyle name="40% - Accent5 2 3 4 5" xfId="10060" xr:uid="{22363ECE-B0F4-4BD6-B39E-468141D855FB}"/>
    <cellStyle name="40% - Accent5 2 3 5" xfId="1935" xr:uid="{00000000-0005-0000-0000-000078060000}"/>
    <cellStyle name="40% - Accent5 2 3 5 2" xfId="4164" xr:uid="{00000000-0005-0000-0000-000079060000}"/>
    <cellStyle name="40% - Accent5 2 3 5 2 2" xfId="8386" xr:uid="{00000000-0005-0000-0000-00007A060000}"/>
    <cellStyle name="40% - Accent5 2 3 5 2 2 2" xfId="25277" xr:uid="{904509DB-D445-4AAA-9DFC-7F281778489E}"/>
    <cellStyle name="40% - Accent5 2 3 5 2 2 3" xfId="16836" xr:uid="{E9D186C2-0393-4577-803B-D00F195E1648}"/>
    <cellStyle name="40% - Accent5 2 3 5 2 3" xfId="21059" xr:uid="{1829F654-AC72-49D2-8A49-D0AFB824002C}"/>
    <cellStyle name="40% - Accent5 2 3 5 2 4" xfId="12618" xr:uid="{0CDA51EF-DCCF-42A8-8556-1EA7C0F73362}"/>
    <cellStyle name="40% - Accent5 2 3 5 3" xfId="6241" xr:uid="{00000000-0005-0000-0000-00007B060000}"/>
    <cellStyle name="40% - Accent5 2 3 5 3 2" xfId="23132" xr:uid="{F4A64D9A-55FB-4517-B527-3306BDA58B2B}"/>
    <cellStyle name="40% - Accent5 2 3 5 3 3" xfId="14691" xr:uid="{F81E7BC2-799E-44E3-BBC1-A12F99C77C66}"/>
    <cellStyle name="40% - Accent5 2 3 5 4" xfId="18914" xr:uid="{6A35E278-BB21-4607-AD83-A2A02C476B6C}"/>
    <cellStyle name="40% - Accent5 2 3 5 5" xfId="10473" xr:uid="{E07D9D95-C03C-41A6-99AE-CBEFE1482C70}"/>
    <cellStyle name="40% - Accent5 2 3 6" xfId="2348" xr:uid="{00000000-0005-0000-0000-00007C060000}"/>
    <cellStyle name="40% - Accent5 2 3 6 2" xfId="6654" xr:uid="{00000000-0005-0000-0000-00007D060000}"/>
    <cellStyle name="40% - Accent5 2 3 6 2 2" xfId="23545" xr:uid="{97E0710A-B92C-41AE-B8F7-10FD13E16496}"/>
    <cellStyle name="40% - Accent5 2 3 6 2 3" xfId="15104" xr:uid="{1A26D530-0DA3-477B-A5D4-BCAD1888DB94}"/>
    <cellStyle name="40% - Accent5 2 3 6 3" xfId="19327" xr:uid="{85D84EB3-63F8-4DBF-953A-6313AA655C5D}"/>
    <cellStyle name="40% - Accent5 2 3 6 4" xfId="10886" xr:uid="{CF37391A-ECDC-429E-A644-0DB76489AD54}"/>
    <cellStyle name="40% - Accent5 2 3 7" xfId="4588" xr:uid="{00000000-0005-0000-0000-00007E060000}"/>
    <cellStyle name="40% - Accent5 2 3 7 2" xfId="21479" xr:uid="{96B3A591-6AC8-4B3C-8607-ADE339D1D29A}"/>
    <cellStyle name="40% - Accent5 2 3 7 3" xfId="13038" xr:uid="{C36D5AA5-C889-436B-9A62-8ED1D6E8D8CD}"/>
    <cellStyle name="40% - Accent5 2 3 8" xfId="17261" xr:uid="{186E433E-ED2B-4CFD-9319-5B84D252B184}"/>
    <cellStyle name="40% - Accent5 2 3 9" xfId="8820" xr:uid="{B6E68C97-177B-40A2-BFA9-6066B4704B15}"/>
    <cellStyle name="40% - Accent5 2 4" xfId="651" xr:uid="{00000000-0005-0000-0000-00007F060000}"/>
    <cellStyle name="40% - Accent5 2 4 2" xfId="2922" xr:uid="{00000000-0005-0000-0000-000080060000}"/>
    <cellStyle name="40% - Accent5 2 4 2 2" xfId="7144" xr:uid="{00000000-0005-0000-0000-000081060000}"/>
    <cellStyle name="40% - Accent5 2 4 2 2 2" xfId="24035" xr:uid="{A5BFC5DF-2D75-47CE-929C-1B1DB6581E41}"/>
    <cellStyle name="40% - Accent5 2 4 2 2 3" xfId="15594" xr:uid="{608FC43A-0BF9-42E4-9042-68C19E911619}"/>
    <cellStyle name="40% - Accent5 2 4 2 3" xfId="19817" xr:uid="{13E91A5F-9A59-4DD7-8D46-FE3982BCDEC1}"/>
    <cellStyle name="40% - Accent5 2 4 2 4" xfId="11376" xr:uid="{CD99064C-32EB-4FE1-AB21-18126F7F110A}"/>
    <cellStyle name="40% - Accent5 2 4 3" xfId="4999" xr:uid="{00000000-0005-0000-0000-000082060000}"/>
    <cellStyle name="40% - Accent5 2 4 3 2" xfId="21890" xr:uid="{0AA3913B-C82B-4E75-976A-D79327791DE0}"/>
    <cellStyle name="40% - Accent5 2 4 3 3" xfId="13449" xr:uid="{74405FEE-CF58-48F0-B38D-C51B2A4713AD}"/>
    <cellStyle name="40% - Accent5 2 4 4" xfId="17672" xr:uid="{6638BB9A-C048-407E-80D5-A5C00637F03A}"/>
    <cellStyle name="40% - Accent5 2 4 5" xfId="9231" xr:uid="{7733C0C6-C118-487F-9194-44CA208B9D03}"/>
    <cellStyle name="40% - Accent5 2 5" xfId="1104" xr:uid="{00000000-0005-0000-0000-000083060000}"/>
    <cellStyle name="40% - Accent5 2 5 2" xfId="3335" xr:uid="{00000000-0005-0000-0000-000084060000}"/>
    <cellStyle name="40% - Accent5 2 5 2 2" xfId="7557" xr:uid="{00000000-0005-0000-0000-000085060000}"/>
    <cellStyle name="40% - Accent5 2 5 2 2 2" xfId="24448" xr:uid="{45E7456B-6C9F-4B28-A8E7-EA44EB96D4BE}"/>
    <cellStyle name="40% - Accent5 2 5 2 2 3" xfId="16007" xr:uid="{1881A65B-8CAD-43C1-9A53-C17A131DE97A}"/>
    <cellStyle name="40% - Accent5 2 5 2 3" xfId="20230" xr:uid="{07B9E231-B195-4045-8DE1-5AE34AA8E4F1}"/>
    <cellStyle name="40% - Accent5 2 5 2 4" xfId="11789" xr:uid="{53D8F75A-A563-4944-8ECB-0C16E5535755}"/>
    <cellStyle name="40% - Accent5 2 5 3" xfId="5412" xr:uid="{00000000-0005-0000-0000-000086060000}"/>
    <cellStyle name="40% - Accent5 2 5 3 2" xfId="22303" xr:uid="{A169D5AF-2B2C-4E6B-A8EE-292BFBCE84B2}"/>
    <cellStyle name="40% - Accent5 2 5 3 3" xfId="13862" xr:uid="{72FB923D-46FA-4DD0-BF34-285C7662F620}"/>
    <cellStyle name="40% - Accent5 2 5 4" xfId="18085" xr:uid="{E37129EC-34FD-4510-967C-20769D593119}"/>
    <cellStyle name="40% - Accent5 2 5 5" xfId="9644" xr:uid="{11EFC34D-9902-45EF-92C7-168777FC1593}"/>
    <cellStyle name="40% - Accent5 2 6" xfId="1518" xr:uid="{00000000-0005-0000-0000-000087060000}"/>
    <cellStyle name="40% - Accent5 2 6 2" xfId="3748" xr:uid="{00000000-0005-0000-0000-000088060000}"/>
    <cellStyle name="40% - Accent5 2 6 2 2" xfId="7970" xr:uid="{00000000-0005-0000-0000-000089060000}"/>
    <cellStyle name="40% - Accent5 2 6 2 2 2" xfId="24861" xr:uid="{6D15A918-AB79-4DEA-B3F7-B95A3E805751}"/>
    <cellStyle name="40% - Accent5 2 6 2 2 3" xfId="16420" xr:uid="{77A92754-72A2-42A4-8AE6-5EF45C1AEFED}"/>
    <cellStyle name="40% - Accent5 2 6 2 3" xfId="20643" xr:uid="{9716ACA2-79BA-498F-BF40-36A03BB92130}"/>
    <cellStyle name="40% - Accent5 2 6 2 4" xfId="12202" xr:uid="{FF7BA30F-C089-46F5-B067-727F385351EA}"/>
    <cellStyle name="40% - Accent5 2 6 3" xfId="5825" xr:uid="{00000000-0005-0000-0000-00008A060000}"/>
    <cellStyle name="40% - Accent5 2 6 3 2" xfId="22716" xr:uid="{57D75616-3DB6-46CA-B36C-05BD6AB5B5A3}"/>
    <cellStyle name="40% - Accent5 2 6 3 3" xfId="14275" xr:uid="{22D84AD5-2796-45EE-A3C4-D6A982BE0D42}"/>
    <cellStyle name="40% - Accent5 2 6 4" xfId="18498" xr:uid="{C38CED03-51A1-43C5-963D-91FB7530D60B}"/>
    <cellStyle name="40% - Accent5 2 6 5" xfId="10057" xr:uid="{0BBFB330-6E93-402B-9118-95F7887C1197}"/>
    <cellStyle name="40% - Accent5 2 7" xfId="1932" xr:uid="{00000000-0005-0000-0000-00008B060000}"/>
    <cellStyle name="40% - Accent5 2 7 2" xfId="4161" xr:uid="{00000000-0005-0000-0000-00008C060000}"/>
    <cellStyle name="40% - Accent5 2 7 2 2" xfId="8383" xr:uid="{00000000-0005-0000-0000-00008D060000}"/>
    <cellStyle name="40% - Accent5 2 7 2 2 2" xfId="25274" xr:uid="{67373DD0-8B90-45FD-A9E9-818DAA981111}"/>
    <cellStyle name="40% - Accent5 2 7 2 2 3" xfId="16833" xr:uid="{914B2850-123E-4AD4-A9B0-90DC992C342A}"/>
    <cellStyle name="40% - Accent5 2 7 2 3" xfId="21056" xr:uid="{BB2E2184-E347-489C-B711-9E976D2078FE}"/>
    <cellStyle name="40% - Accent5 2 7 2 4" xfId="12615" xr:uid="{3BEE4C7D-24B3-43EA-BEE3-95785EF2ED21}"/>
    <cellStyle name="40% - Accent5 2 7 3" xfId="6238" xr:uid="{00000000-0005-0000-0000-00008E060000}"/>
    <cellStyle name="40% - Accent5 2 7 3 2" xfId="23129" xr:uid="{EF644A01-B9CD-4B39-8341-942F70A1F30C}"/>
    <cellStyle name="40% - Accent5 2 7 3 3" xfId="14688" xr:uid="{FB6BD9EE-F119-4165-A904-4CED3093646E}"/>
    <cellStyle name="40% - Accent5 2 7 4" xfId="18911" xr:uid="{1DE0B9D1-431A-44C1-9366-77F79CFD10AD}"/>
    <cellStyle name="40% - Accent5 2 7 5" xfId="10470" xr:uid="{B4F534BE-B1FA-4DBD-A675-D287838EA931}"/>
    <cellStyle name="40% - Accent5 2 8" xfId="2345" xr:uid="{00000000-0005-0000-0000-00008F060000}"/>
    <cellStyle name="40% - Accent5 2 8 2" xfId="6651" xr:uid="{00000000-0005-0000-0000-000090060000}"/>
    <cellStyle name="40% - Accent5 2 8 2 2" xfId="23542" xr:uid="{2728893F-914B-4D87-8D78-7655FDADA412}"/>
    <cellStyle name="40% - Accent5 2 8 2 3" xfId="15101" xr:uid="{F99C3925-77E1-4C8D-8D82-28324E502C94}"/>
    <cellStyle name="40% - Accent5 2 8 3" xfId="19324" xr:uid="{C9B3691F-9589-4D00-92F2-1D07506A23FE}"/>
    <cellStyle name="40% - Accent5 2 8 4" xfId="10883" xr:uid="{3875A1E8-9D87-420D-8EEA-0BF3DB3FB139}"/>
    <cellStyle name="40% - Accent5 2 9" xfId="4585" xr:uid="{00000000-0005-0000-0000-000091060000}"/>
    <cellStyle name="40% - Accent5 2 9 2" xfId="21476" xr:uid="{68E87DAC-F7DF-456D-A509-40B4B6449A38}"/>
    <cellStyle name="40% - Accent5 2 9 3" xfId="13035" xr:uid="{4BE1915E-5B05-4DBE-AC21-13743AF79D17}"/>
    <cellStyle name="40% - Accent5 3" xfId="86" xr:uid="{00000000-0005-0000-0000-000092060000}"/>
    <cellStyle name="40% - Accent5 3 10" xfId="8821" xr:uid="{564753E3-3B92-412A-B8B6-285E62E7CFC4}"/>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2 2 2" xfId="24040" xr:uid="{83C80726-90AE-4519-9FE7-8DA47F5608A5}"/>
    <cellStyle name="40% - Accent5 3 2 2 2 2 3" xfId="15599" xr:uid="{99C1F6D9-A7DB-4608-B24F-EA5145D5BB65}"/>
    <cellStyle name="40% - Accent5 3 2 2 2 3" xfId="19822" xr:uid="{05BFDCE1-C946-40B0-8BD4-DBD654E22AE9}"/>
    <cellStyle name="40% - Accent5 3 2 2 2 4" xfId="11381" xr:uid="{5D9F5776-A101-4FD7-8E76-0033677F85B5}"/>
    <cellStyle name="40% - Accent5 3 2 2 3" xfId="5004" xr:uid="{00000000-0005-0000-0000-000097060000}"/>
    <cellStyle name="40% - Accent5 3 2 2 3 2" xfId="21895" xr:uid="{D887046F-7567-4F59-AE8E-987F6C70ABFC}"/>
    <cellStyle name="40% - Accent5 3 2 2 3 3" xfId="13454" xr:uid="{B38AAA3E-6D3E-470E-9437-AC294821F756}"/>
    <cellStyle name="40% - Accent5 3 2 2 4" xfId="17677" xr:uid="{8FBEE03A-62B9-4DBA-B0D1-125386C7BF4D}"/>
    <cellStyle name="40% - Accent5 3 2 2 5" xfId="9236" xr:uid="{12B458FB-8C0F-452A-AD49-FCDEBDC722B9}"/>
    <cellStyle name="40% - Accent5 3 2 3" xfId="1109" xr:uid="{00000000-0005-0000-0000-000098060000}"/>
    <cellStyle name="40% - Accent5 3 2 3 2" xfId="3340" xr:uid="{00000000-0005-0000-0000-000099060000}"/>
    <cellStyle name="40% - Accent5 3 2 3 2 2" xfId="7562" xr:uid="{00000000-0005-0000-0000-00009A060000}"/>
    <cellStyle name="40% - Accent5 3 2 3 2 2 2" xfId="24453" xr:uid="{F3AF9799-86E0-4D80-B86F-FF0B49F197BC}"/>
    <cellStyle name="40% - Accent5 3 2 3 2 2 3" xfId="16012" xr:uid="{F4537926-63F8-4F3D-BFD3-5BBC8F84166C}"/>
    <cellStyle name="40% - Accent5 3 2 3 2 3" xfId="20235" xr:uid="{27F93B8F-D608-439E-AB92-5411A56AFA2A}"/>
    <cellStyle name="40% - Accent5 3 2 3 2 4" xfId="11794" xr:uid="{5E3EBBD3-17C0-4178-891E-00F140BD024D}"/>
    <cellStyle name="40% - Accent5 3 2 3 3" xfId="5417" xr:uid="{00000000-0005-0000-0000-00009B060000}"/>
    <cellStyle name="40% - Accent5 3 2 3 3 2" xfId="22308" xr:uid="{4ACEED08-DC13-422F-B17F-E51F842DA8F5}"/>
    <cellStyle name="40% - Accent5 3 2 3 3 3" xfId="13867" xr:uid="{CFED5AE4-37AA-4EB5-8FB6-3A0AD8863229}"/>
    <cellStyle name="40% - Accent5 3 2 3 4" xfId="18090" xr:uid="{21F4C665-B9BB-4959-A35A-B7541A30BCCA}"/>
    <cellStyle name="40% - Accent5 3 2 3 5" xfId="9649" xr:uid="{6385F4B8-553B-4EA6-BE7A-F010E0475B8D}"/>
    <cellStyle name="40% - Accent5 3 2 4" xfId="1523" xr:uid="{00000000-0005-0000-0000-00009C060000}"/>
    <cellStyle name="40% - Accent5 3 2 4 2" xfId="3753" xr:uid="{00000000-0005-0000-0000-00009D060000}"/>
    <cellStyle name="40% - Accent5 3 2 4 2 2" xfId="7975" xr:uid="{00000000-0005-0000-0000-00009E060000}"/>
    <cellStyle name="40% - Accent5 3 2 4 2 2 2" xfId="24866" xr:uid="{FCDB9D63-FCEA-41ED-B420-2712111236B9}"/>
    <cellStyle name="40% - Accent5 3 2 4 2 2 3" xfId="16425" xr:uid="{5D429EC8-8314-4F9D-AC92-38C11EAD2019}"/>
    <cellStyle name="40% - Accent5 3 2 4 2 3" xfId="20648" xr:uid="{EFDDB8F2-3366-4ACB-BE52-6C579AB2F7DF}"/>
    <cellStyle name="40% - Accent5 3 2 4 2 4" xfId="12207" xr:uid="{992EFFF6-0979-4277-8476-4AB420C03AB5}"/>
    <cellStyle name="40% - Accent5 3 2 4 3" xfId="5830" xr:uid="{00000000-0005-0000-0000-00009F060000}"/>
    <cellStyle name="40% - Accent5 3 2 4 3 2" xfId="22721" xr:uid="{F5B2DEFA-A0E1-48BB-911D-91126C8DFBA5}"/>
    <cellStyle name="40% - Accent5 3 2 4 3 3" xfId="14280" xr:uid="{55DBF3E3-2D8D-4413-B777-28BDE41591AE}"/>
    <cellStyle name="40% - Accent5 3 2 4 4" xfId="18503" xr:uid="{E34825DE-49C7-42DA-A6CE-907FA0E6CBD5}"/>
    <cellStyle name="40% - Accent5 3 2 4 5" xfId="10062" xr:uid="{B23B4589-481B-4EF9-B151-D6D14DD5B489}"/>
    <cellStyle name="40% - Accent5 3 2 5" xfId="1937" xr:uid="{00000000-0005-0000-0000-0000A0060000}"/>
    <cellStyle name="40% - Accent5 3 2 5 2" xfId="4166" xr:uid="{00000000-0005-0000-0000-0000A1060000}"/>
    <cellStyle name="40% - Accent5 3 2 5 2 2" xfId="8388" xr:uid="{00000000-0005-0000-0000-0000A2060000}"/>
    <cellStyle name="40% - Accent5 3 2 5 2 2 2" xfId="25279" xr:uid="{8BBC997E-40F3-406B-ABAD-702042A0B62A}"/>
    <cellStyle name="40% - Accent5 3 2 5 2 2 3" xfId="16838" xr:uid="{776E7ACE-992B-4241-A6C6-D4EA69D5AD04}"/>
    <cellStyle name="40% - Accent5 3 2 5 2 3" xfId="21061" xr:uid="{2AC3200C-82B8-41C4-9F54-5F7BC561D7A7}"/>
    <cellStyle name="40% - Accent5 3 2 5 2 4" xfId="12620" xr:uid="{E143766B-B3CE-424C-8409-AF05AA0A7425}"/>
    <cellStyle name="40% - Accent5 3 2 5 3" xfId="6243" xr:uid="{00000000-0005-0000-0000-0000A3060000}"/>
    <cellStyle name="40% - Accent5 3 2 5 3 2" xfId="23134" xr:uid="{D16372CA-353B-4A9F-AEFC-31DC0CA7DDD6}"/>
    <cellStyle name="40% - Accent5 3 2 5 3 3" xfId="14693" xr:uid="{00D54E5C-BD43-4D31-A2F5-C3D5DCDB5C8F}"/>
    <cellStyle name="40% - Accent5 3 2 5 4" xfId="18916" xr:uid="{72653D1E-9043-4DC3-ABF4-194871922CC2}"/>
    <cellStyle name="40% - Accent5 3 2 5 5" xfId="10475" xr:uid="{D5E4C48E-0157-4721-8C0A-B66D92094EE7}"/>
    <cellStyle name="40% - Accent5 3 2 6" xfId="2350" xr:uid="{00000000-0005-0000-0000-0000A4060000}"/>
    <cellStyle name="40% - Accent5 3 2 6 2" xfId="6656" xr:uid="{00000000-0005-0000-0000-0000A5060000}"/>
    <cellStyle name="40% - Accent5 3 2 6 2 2" xfId="23547" xr:uid="{ED154A46-3DD3-4A95-BB99-32BADED4551F}"/>
    <cellStyle name="40% - Accent5 3 2 6 2 3" xfId="15106" xr:uid="{CAB6C37E-CF51-43B9-A40A-8399A7A2E5CD}"/>
    <cellStyle name="40% - Accent5 3 2 6 3" xfId="19329" xr:uid="{9B8675E7-3C8A-4DED-99EA-3BFC618B6C6B}"/>
    <cellStyle name="40% - Accent5 3 2 6 4" xfId="10888" xr:uid="{2879F63F-BE62-497D-8C6F-44174610EC6D}"/>
    <cellStyle name="40% - Accent5 3 2 7" xfId="4590" xr:uid="{00000000-0005-0000-0000-0000A6060000}"/>
    <cellStyle name="40% - Accent5 3 2 7 2" xfId="21481" xr:uid="{D9DDDACA-6854-499E-8E51-54995A9C01B4}"/>
    <cellStyle name="40% - Accent5 3 2 7 3" xfId="13040" xr:uid="{BE05B386-EFB0-4BF4-B0FA-EEA1ECD1AF17}"/>
    <cellStyle name="40% - Accent5 3 2 8" xfId="17263" xr:uid="{1906E58E-115E-424D-BC51-795E6BB0D604}"/>
    <cellStyle name="40% - Accent5 3 2 9" xfId="8822" xr:uid="{42F2BB1D-2F00-44C7-85AC-C6B6027EB473}"/>
    <cellStyle name="40% - Accent5 3 3" xfId="655" xr:uid="{00000000-0005-0000-0000-0000A7060000}"/>
    <cellStyle name="40% - Accent5 3 3 2" xfId="2926" xr:uid="{00000000-0005-0000-0000-0000A8060000}"/>
    <cellStyle name="40% - Accent5 3 3 2 2" xfId="7148" xr:uid="{00000000-0005-0000-0000-0000A9060000}"/>
    <cellStyle name="40% - Accent5 3 3 2 2 2" xfId="24039" xr:uid="{23742B4D-342A-45FD-8C60-E1D1C6C4D492}"/>
    <cellStyle name="40% - Accent5 3 3 2 2 3" xfId="15598" xr:uid="{23CC2367-367B-4D50-B71E-ED5E923F5302}"/>
    <cellStyle name="40% - Accent5 3 3 2 3" xfId="19821" xr:uid="{C990EEF1-B733-4974-820E-CC397E9137CC}"/>
    <cellStyle name="40% - Accent5 3 3 2 4" xfId="11380" xr:uid="{D8750198-A4F1-4FF4-9279-6DA64FC66E00}"/>
    <cellStyle name="40% - Accent5 3 3 3" xfId="5003" xr:uid="{00000000-0005-0000-0000-0000AA060000}"/>
    <cellStyle name="40% - Accent5 3 3 3 2" xfId="21894" xr:uid="{A87D8E34-278F-48F0-A2DB-318DB1E93685}"/>
    <cellStyle name="40% - Accent5 3 3 3 3" xfId="13453" xr:uid="{A11CCA3B-C4D3-4B88-A281-1E5F41BBB3C1}"/>
    <cellStyle name="40% - Accent5 3 3 4" xfId="17676" xr:uid="{3B25E1CD-E67A-4201-B434-74462BFCD6E3}"/>
    <cellStyle name="40% - Accent5 3 3 5" xfId="9235" xr:uid="{D0106D6D-4CBD-4CA7-B33E-337AA0386DA1}"/>
    <cellStyle name="40% - Accent5 3 4" xfId="1108" xr:uid="{00000000-0005-0000-0000-0000AB060000}"/>
    <cellStyle name="40% - Accent5 3 4 2" xfId="3339" xr:uid="{00000000-0005-0000-0000-0000AC060000}"/>
    <cellStyle name="40% - Accent5 3 4 2 2" xfId="7561" xr:uid="{00000000-0005-0000-0000-0000AD060000}"/>
    <cellStyle name="40% - Accent5 3 4 2 2 2" xfId="24452" xr:uid="{B0E8BEA1-AAFB-4340-8B3E-C4B2170242D4}"/>
    <cellStyle name="40% - Accent5 3 4 2 2 3" xfId="16011" xr:uid="{CFBB2C1B-5FE1-4176-878C-EA16DF93267B}"/>
    <cellStyle name="40% - Accent5 3 4 2 3" xfId="20234" xr:uid="{25500575-27B1-4D29-9B3C-8FA25D425453}"/>
    <cellStyle name="40% - Accent5 3 4 2 4" xfId="11793" xr:uid="{E1806351-7D17-4FFB-96AE-ACCB42D055A6}"/>
    <cellStyle name="40% - Accent5 3 4 3" xfId="5416" xr:uid="{00000000-0005-0000-0000-0000AE060000}"/>
    <cellStyle name="40% - Accent5 3 4 3 2" xfId="22307" xr:uid="{750D4A28-3FCF-4A3B-830C-DC8BE4E3C3FA}"/>
    <cellStyle name="40% - Accent5 3 4 3 3" xfId="13866" xr:uid="{76E94510-92C8-4737-B641-8F78BFFC4C1C}"/>
    <cellStyle name="40% - Accent5 3 4 4" xfId="18089" xr:uid="{B9F1005C-680A-4A08-83CA-4A7C57059E0C}"/>
    <cellStyle name="40% - Accent5 3 4 5" xfId="9648" xr:uid="{FD0F9FC1-EA99-47FB-B039-5B34BE34C7B0}"/>
    <cellStyle name="40% - Accent5 3 5" xfId="1522" xr:uid="{00000000-0005-0000-0000-0000AF060000}"/>
    <cellStyle name="40% - Accent5 3 5 2" xfId="3752" xr:uid="{00000000-0005-0000-0000-0000B0060000}"/>
    <cellStyle name="40% - Accent5 3 5 2 2" xfId="7974" xr:uid="{00000000-0005-0000-0000-0000B1060000}"/>
    <cellStyle name="40% - Accent5 3 5 2 2 2" xfId="24865" xr:uid="{3DA2A92C-3872-49E8-9352-4704A388B2C4}"/>
    <cellStyle name="40% - Accent5 3 5 2 2 3" xfId="16424" xr:uid="{030ED94A-E914-4E38-A487-C1A7F693DD84}"/>
    <cellStyle name="40% - Accent5 3 5 2 3" xfId="20647" xr:uid="{DF44EBE7-31CA-489C-84E2-1579B72DA34C}"/>
    <cellStyle name="40% - Accent5 3 5 2 4" xfId="12206" xr:uid="{CAA99CBA-24E4-473D-9058-C54142AD0B53}"/>
    <cellStyle name="40% - Accent5 3 5 3" xfId="5829" xr:uid="{00000000-0005-0000-0000-0000B2060000}"/>
    <cellStyle name="40% - Accent5 3 5 3 2" xfId="22720" xr:uid="{372782ED-BA2E-4BA3-A47A-9BF6F4E1F081}"/>
    <cellStyle name="40% - Accent5 3 5 3 3" xfId="14279" xr:uid="{C2E433CD-7374-4DDC-9788-6B3163752C7A}"/>
    <cellStyle name="40% - Accent5 3 5 4" xfId="18502" xr:uid="{9632FEE4-D73B-474B-87E2-2DC785E15875}"/>
    <cellStyle name="40% - Accent5 3 5 5" xfId="10061" xr:uid="{82BC1032-49AF-4DFE-8F09-BB9380A9B219}"/>
    <cellStyle name="40% - Accent5 3 6" xfId="1936" xr:uid="{00000000-0005-0000-0000-0000B3060000}"/>
    <cellStyle name="40% - Accent5 3 6 2" xfId="4165" xr:uid="{00000000-0005-0000-0000-0000B4060000}"/>
    <cellStyle name="40% - Accent5 3 6 2 2" xfId="8387" xr:uid="{00000000-0005-0000-0000-0000B5060000}"/>
    <cellStyle name="40% - Accent5 3 6 2 2 2" xfId="25278" xr:uid="{2668EB64-B544-4CA8-907B-ECEE5C7E606A}"/>
    <cellStyle name="40% - Accent5 3 6 2 2 3" xfId="16837" xr:uid="{5C3CF539-0660-41F1-AAAC-EFDC54F9C107}"/>
    <cellStyle name="40% - Accent5 3 6 2 3" xfId="21060" xr:uid="{9B6CE1DD-0029-4AE6-A571-B61923064CF4}"/>
    <cellStyle name="40% - Accent5 3 6 2 4" xfId="12619" xr:uid="{A34535FF-31AC-4A53-872B-3A89BB8177B6}"/>
    <cellStyle name="40% - Accent5 3 6 3" xfId="6242" xr:uid="{00000000-0005-0000-0000-0000B6060000}"/>
    <cellStyle name="40% - Accent5 3 6 3 2" xfId="23133" xr:uid="{570101CA-EAAC-4026-A920-6BC4D68D8FC1}"/>
    <cellStyle name="40% - Accent5 3 6 3 3" xfId="14692" xr:uid="{3253CBB3-C353-4738-B73B-DBC08E5D08A8}"/>
    <cellStyle name="40% - Accent5 3 6 4" xfId="18915" xr:uid="{0B0FE232-B62A-4495-BD48-1DB3F527EC1E}"/>
    <cellStyle name="40% - Accent5 3 6 5" xfId="10474" xr:uid="{B30063B2-F15A-4494-99EC-C45A8C34E64E}"/>
    <cellStyle name="40% - Accent5 3 7" xfId="2349" xr:uid="{00000000-0005-0000-0000-0000B7060000}"/>
    <cellStyle name="40% - Accent5 3 7 2" xfId="6655" xr:uid="{00000000-0005-0000-0000-0000B8060000}"/>
    <cellStyle name="40% - Accent5 3 7 2 2" xfId="23546" xr:uid="{4673574A-B739-4C82-97E5-2748305AFB3E}"/>
    <cellStyle name="40% - Accent5 3 7 2 3" xfId="15105" xr:uid="{B00DDABA-A90F-421C-8FDD-3393F447391D}"/>
    <cellStyle name="40% - Accent5 3 7 3" xfId="19328" xr:uid="{5F3A8810-BFC9-4E89-8C0B-0378B42DD0A2}"/>
    <cellStyle name="40% - Accent5 3 7 4" xfId="10887" xr:uid="{992A371D-E87F-4C27-9C3B-D4B87DDDC4C2}"/>
    <cellStyle name="40% - Accent5 3 8" xfId="4589" xr:uid="{00000000-0005-0000-0000-0000B9060000}"/>
    <cellStyle name="40% - Accent5 3 8 2" xfId="21480" xr:uid="{DB13CFFB-23DF-4140-9CE8-EF22947F5F6D}"/>
    <cellStyle name="40% - Accent5 3 8 3" xfId="13039" xr:uid="{68442834-4DB1-4482-B5C2-E58054D28B14}"/>
    <cellStyle name="40% - Accent5 3 9" xfId="17262" xr:uid="{9B6AE8CD-15E6-4F27-845E-667D8883C403}"/>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2 2 2" xfId="24041" xr:uid="{9FE18B35-66A9-4305-A199-3F5214C4E8E5}"/>
    <cellStyle name="40% - Accent5 4 2 2 2 3" xfId="15600" xr:uid="{CC9527A8-E1C3-4B11-96DA-1C137FF139E2}"/>
    <cellStyle name="40% - Accent5 4 2 2 3" xfId="19823" xr:uid="{B7826549-E78D-4F3B-86F6-3746C9007FA8}"/>
    <cellStyle name="40% - Accent5 4 2 2 4" xfId="11382" xr:uid="{DA3F2FB2-2772-41BF-B6D3-6E562F151732}"/>
    <cellStyle name="40% - Accent5 4 2 3" xfId="5005" xr:uid="{00000000-0005-0000-0000-0000BE060000}"/>
    <cellStyle name="40% - Accent5 4 2 3 2" xfId="21896" xr:uid="{150807D7-8BE1-4B4C-85C6-1815F05B75D2}"/>
    <cellStyle name="40% - Accent5 4 2 3 3" xfId="13455" xr:uid="{86E86278-1067-4204-B41C-82E1D1FFAED1}"/>
    <cellStyle name="40% - Accent5 4 2 4" xfId="17678" xr:uid="{C785DBAA-26E5-45A6-9C74-4B7642296D92}"/>
    <cellStyle name="40% - Accent5 4 2 5" xfId="9237" xr:uid="{9B1621BB-63FE-4643-8D76-3DB88171D0FB}"/>
    <cellStyle name="40% - Accent5 4 3" xfId="1110" xr:uid="{00000000-0005-0000-0000-0000BF060000}"/>
    <cellStyle name="40% - Accent5 4 3 2" xfId="3341" xr:uid="{00000000-0005-0000-0000-0000C0060000}"/>
    <cellStyle name="40% - Accent5 4 3 2 2" xfId="7563" xr:uid="{00000000-0005-0000-0000-0000C1060000}"/>
    <cellStyle name="40% - Accent5 4 3 2 2 2" xfId="24454" xr:uid="{7B838F0A-0064-4C82-A215-F3DA9F72C5C5}"/>
    <cellStyle name="40% - Accent5 4 3 2 2 3" xfId="16013" xr:uid="{8D6ECD26-4484-4477-A3DA-F43B21675991}"/>
    <cellStyle name="40% - Accent5 4 3 2 3" xfId="20236" xr:uid="{23D61730-854D-45E0-9E1B-948C1ECC5377}"/>
    <cellStyle name="40% - Accent5 4 3 2 4" xfId="11795" xr:uid="{C5C71AAD-B3E6-4018-AA2B-2DF999B49CF3}"/>
    <cellStyle name="40% - Accent5 4 3 3" xfId="5418" xr:uid="{00000000-0005-0000-0000-0000C2060000}"/>
    <cellStyle name="40% - Accent5 4 3 3 2" xfId="22309" xr:uid="{16842A87-48E0-450C-888F-8F25818A8167}"/>
    <cellStyle name="40% - Accent5 4 3 3 3" xfId="13868" xr:uid="{6C0DCD82-2552-48A5-BF29-2C6695E4A47E}"/>
    <cellStyle name="40% - Accent5 4 3 4" xfId="18091" xr:uid="{FC352780-ACE9-4111-BB45-6352E521E212}"/>
    <cellStyle name="40% - Accent5 4 3 5" xfId="9650" xr:uid="{6043F253-E27D-4EE0-B87B-4438D62D25B4}"/>
    <cellStyle name="40% - Accent5 4 4" xfId="1524" xr:uid="{00000000-0005-0000-0000-0000C3060000}"/>
    <cellStyle name="40% - Accent5 4 4 2" xfId="3754" xr:uid="{00000000-0005-0000-0000-0000C4060000}"/>
    <cellStyle name="40% - Accent5 4 4 2 2" xfId="7976" xr:uid="{00000000-0005-0000-0000-0000C5060000}"/>
    <cellStyle name="40% - Accent5 4 4 2 2 2" xfId="24867" xr:uid="{BA86F75C-7020-4D29-996C-D3EF0B872B34}"/>
    <cellStyle name="40% - Accent5 4 4 2 2 3" xfId="16426" xr:uid="{2308DB33-C9E1-4FF5-A218-3C0FD3EFD904}"/>
    <cellStyle name="40% - Accent5 4 4 2 3" xfId="20649" xr:uid="{BB0F3FB8-93AE-45E5-B493-0553F1669C9D}"/>
    <cellStyle name="40% - Accent5 4 4 2 4" xfId="12208" xr:uid="{08D10DD3-9957-408F-B19E-6632D5B87B0F}"/>
    <cellStyle name="40% - Accent5 4 4 3" xfId="5831" xr:uid="{00000000-0005-0000-0000-0000C6060000}"/>
    <cellStyle name="40% - Accent5 4 4 3 2" xfId="22722" xr:uid="{1FDF63B0-C6F5-4B15-A386-11331C596AC1}"/>
    <cellStyle name="40% - Accent5 4 4 3 3" xfId="14281" xr:uid="{E270F675-BBDC-4CA5-8283-23B33147BAE0}"/>
    <cellStyle name="40% - Accent5 4 4 4" xfId="18504" xr:uid="{87418F67-9414-4274-AEB5-4CB22489E2C1}"/>
    <cellStyle name="40% - Accent5 4 4 5" xfId="10063" xr:uid="{60341B2F-060B-4A99-BC5B-03BC09CA542E}"/>
    <cellStyle name="40% - Accent5 4 5" xfId="1938" xr:uid="{00000000-0005-0000-0000-0000C7060000}"/>
    <cellStyle name="40% - Accent5 4 5 2" xfId="4167" xr:uid="{00000000-0005-0000-0000-0000C8060000}"/>
    <cellStyle name="40% - Accent5 4 5 2 2" xfId="8389" xr:uid="{00000000-0005-0000-0000-0000C9060000}"/>
    <cellStyle name="40% - Accent5 4 5 2 2 2" xfId="25280" xr:uid="{4AFB2349-EF01-4941-9CAA-D459CFEB25BD}"/>
    <cellStyle name="40% - Accent5 4 5 2 2 3" xfId="16839" xr:uid="{C9BD4D1D-4E73-491C-B98F-2378F1D445A7}"/>
    <cellStyle name="40% - Accent5 4 5 2 3" xfId="21062" xr:uid="{BA2883D1-85FA-4C3C-B7DB-4C8DE82B980A}"/>
    <cellStyle name="40% - Accent5 4 5 2 4" xfId="12621" xr:uid="{62C38A8E-841A-466E-A4F9-F88EFC8F7CDD}"/>
    <cellStyle name="40% - Accent5 4 5 3" xfId="6244" xr:uid="{00000000-0005-0000-0000-0000CA060000}"/>
    <cellStyle name="40% - Accent5 4 5 3 2" xfId="23135" xr:uid="{7952772B-D545-436A-8B8E-D48B2F385EC1}"/>
    <cellStyle name="40% - Accent5 4 5 3 3" xfId="14694" xr:uid="{C725BFF8-DE74-412B-A0C2-AE3F9F9B4180}"/>
    <cellStyle name="40% - Accent5 4 5 4" xfId="18917" xr:uid="{EB81FCEB-54D8-4F54-A9A0-186D6C403EFB}"/>
    <cellStyle name="40% - Accent5 4 5 5" xfId="10476" xr:uid="{6DC63A88-4377-44EC-B06E-0A6FAAE936B1}"/>
    <cellStyle name="40% - Accent5 4 6" xfId="2351" xr:uid="{00000000-0005-0000-0000-0000CB060000}"/>
    <cellStyle name="40% - Accent5 4 6 2" xfId="6657" xr:uid="{00000000-0005-0000-0000-0000CC060000}"/>
    <cellStyle name="40% - Accent5 4 6 2 2" xfId="23548" xr:uid="{C5CE7DD8-F16F-4350-9947-6F45ED6DC363}"/>
    <cellStyle name="40% - Accent5 4 6 2 3" xfId="15107" xr:uid="{D5B71446-7AB8-48E2-995A-C6CD1325DF29}"/>
    <cellStyle name="40% - Accent5 4 6 3" xfId="19330" xr:uid="{1B13E863-927E-42CB-B8C1-D6EA761093D6}"/>
    <cellStyle name="40% - Accent5 4 6 4" xfId="10889" xr:uid="{1E6F0B7B-7AE1-409E-9C17-6E1834F566CA}"/>
    <cellStyle name="40% - Accent5 4 7" xfId="4591" xr:uid="{00000000-0005-0000-0000-0000CD060000}"/>
    <cellStyle name="40% - Accent5 4 7 2" xfId="21482" xr:uid="{97B74069-6C92-42A5-B44A-3A1800D7F383}"/>
    <cellStyle name="40% - Accent5 4 7 3" xfId="13041" xr:uid="{2E71B808-7040-43D2-89CD-DDBB01C7068F}"/>
    <cellStyle name="40% - Accent5 4 8" xfId="17264" xr:uid="{7C259DFA-53B7-4760-B74F-F9E98D5C888C}"/>
    <cellStyle name="40% - Accent5 4 9" xfId="8823" xr:uid="{EF19CC76-C6CD-4786-849B-495B70DF4E68}"/>
    <cellStyle name="40% - Accent5 5" xfId="650" xr:uid="{00000000-0005-0000-0000-0000CE060000}"/>
    <cellStyle name="40% - Accent5 5 2" xfId="2921" xr:uid="{00000000-0005-0000-0000-0000CF060000}"/>
    <cellStyle name="40% - Accent5 5 2 2" xfId="7143" xr:uid="{00000000-0005-0000-0000-0000D0060000}"/>
    <cellStyle name="40% - Accent5 5 2 2 2" xfId="24034" xr:uid="{D38E331B-3E38-4A6E-8C89-65E15656C40D}"/>
    <cellStyle name="40% - Accent5 5 2 2 3" xfId="15593" xr:uid="{E2FA54EF-B2B3-4B61-868A-D72008B6D85C}"/>
    <cellStyle name="40% - Accent5 5 2 3" xfId="19816" xr:uid="{B51C74D3-87E3-45E0-ABBE-55535D297302}"/>
    <cellStyle name="40% - Accent5 5 2 4" xfId="11375" xr:uid="{FB6709BC-C17E-48D4-922B-B4A51F2A82C4}"/>
    <cellStyle name="40% - Accent5 5 3" xfId="4998" xr:uid="{00000000-0005-0000-0000-0000D1060000}"/>
    <cellStyle name="40% - Accent5 5 3 2" xfId="21889" xr:uid="{5D0E0033-56D1-4DD9-A672-FD6BAE23C5B5}"/>
    <cellStyle name="40% - Accent5 5 3 3" xfId="13448" xr:uid="{67728BE0-A6C3-48BC-9C6A-F11F9F73243A}"/>
    <cellStyle name="40% - Accent5 5 4" xfId="17671" xr:uid="{1C3E5C0F-60E1-4886-8E2A-A3249AC10BD4}"/>
    <cellStyle name="40% - Accent5 5 5" xfId="9230" xr:uid="{CDFFF3A1-7044-400F-B9B0-3DF178949DA5}"/>
    <cellStyle name="40% - Accent5 6" xfId="1103" xr:uid="{00000000-0005-0000-0000-0000D2060000}"/>
    <cellStyle name="40% - Accent5 6 2" xfId="3334" xr:uid="{00000000-0005-0000-0000-0000D3060000}"/>
    <cellStyle name="40% - Accent5 6 2 2" xfId="7556" xr:uid="{00000000-0005-0000-0000-0000D4060000}"/>
    <cellStyle name="40% - Accent5 6 2 2 2" xfId="24447" xr:uid="{7C172832-CB3A-47D0-921E-2673D54DF57C}"/>
    <cellStyle name="40% - Accent5 6 2 2 3" xfId="16006" xr:uid="{6DA65299-3533-49E5-8C7B-BD11B4F95AE7}"/>
    <cellStyle name="40% - Accent5 6 2 3" xfId="20229" xr:uid="{DC0C36A9-BB1A-4A57-A7DD-F8BADE9C6F93}"/>
    <cellStyle name="40% - Accent5 6 2 4" xfId="11788" xr:uid="{56AEDCE8-78F3-4256-A2B5-13FD18F1D781}"/>
    <cellStyle name="40% - Accent5 6 3" xfId="5411" xr:uid="{00000000-0005-0000-0000-0000D5060000}"/>
    <cellStyle name="40% - Accent5 6 3 2" xfId="22302" xr:uid="{6035C3EA-A677-4544-9947-1789ED2EEAA0}"/>
    <cellStyle name="40% - Accent5 6 3 3" xfId="13861" xr:uid="{504C9291-56E9-49E4-B0AA-049FC060B07F}"/>
    <cellStyle name="40% - Accent5 6 4" xfId="18084" xr:uid="{2F324935-6CEE-4CB9-98BE-4C43D72E5157}"/>
    <cellStyle name="40% - Accent5 6 5" xfId="9643" xr:uid="{89E6FF5E-9610-472C-98AF-C99135762B1A}"/>
    <cellStyle name="40% - Accent5 7" xfId="1517" xr:uid="{00000000-0005-0000-0000-0000D6060000}"/>
    <cellStyle name="40% - Accent5 7 2" xfId="3747" xr:uid="{00000000-0005-0000-0000-0000D7060000}"/>
    <cellStyle name="40% - Accent5 7 2 2" xfId="7969" xr:uid="{00000000-0005-0000-0000-0000D8060000}"/>
    <cellStyle name="40% - Accent5 7 2 2 2" xfId="24860" xr:uid="{BAD13B8C-62D8-4927-B2BE-3478072D6297}"/>
    <cellStyle name="40% - Accent5 7 2 2 3" xfId="16419" xr:uid="{C88805C1-CFCE-4AD4-844A-6D84B46ACBF8}"/>
    <cellStyle name="40% - Accent5 7 2 3" xfId="20642" xr:uid="{FEABA35C-6D55-460F-AEAD-C62D37D1873C}"/>
    <cellStyle name="40% - Accent5 7 2 4" xfId="12201" xr:uid="{7A78504D-A759-4C43-982C-7B7835B01E33}"/>
    <cellStyle name="40% - Accent5 7 3" xfId="5824" xr:uid="{00000000-0005-0000-0000-0000D9060000}"/>
    <cellStyle name="40% - Accent5 7 3 2" xfId="22715" xr:uid="{1C702CF7-48E7-4B48-966A-5AD4A5EFF68A}"/>
    <cellStyle name="40% - Accent5 7 3 3" xfId="14274" xr:uid="{43373F40-AA5F-4D53-903C-2983B61CD78F}"/>
    <cellStyle name="40% - Accent5 7 4" xfId="18497" xr:uid="{DD4D5615-7EAA-4F8F-ACE7-6067E1CF4431}"/>
    <cellStyle name="40% - Accent5 7 5" xfId="10056" xr:uid="{F6309BF6-9EE2-40B7-B335-D59247040063}"/>
    <cellStyle name="40% - Accent5 8" xfId="1931" xr:uid="{00000000-0005-0000-0000-0000DA060000}"/>
    <cellStyle name="40% - Accent5 8 2" xfId="4160" xr:uid="{00000000-0005-0000-0000-0000DB060000}"/>
    <cellStyle name="40% - Accent5 8 2 2" xfId="8382" xr:uid="{00000000-0005-0000-0000-0000DC060000}"/>
    <cellStyle name="40% - Accent5 8 2 2 2" xfId="25273" xr:uid="{7B3AFB3E-20A7-4C13-9D2B-ACBF17E7A364}"/>
    <cellStyle name="40% - Accent5 8 2 2 3" xfId="16832" xr:uid="{5D0B729F-00B2-4F5E-9A36-ADF9ECF71EC1}"/>
    <cellStyle name="40% - Accent5 8 2 3" xfId="21055" xr:uid="{2C6175DB-9C84-4A05-ADE3-900811077B37}"/>
    <cellStyle name="40% - Accent5 8 2 4" xfId="12614" xr:uid="{F8FB52A9-E6E4-47F4-84FB-94494A5A9EBE}"/>
    <cellStyle name="40% - Accent5 8 3" xfId="6237" xr:uid="{00000000-0005-0000-0000-0000DD060000}"/>
    <cellStyle name="40% - Accent5 8 3 2" xfId="23128" xr:uid="{768F351F-60F7-41E8-A149-C67E4460A6C2}"/>
    <cellStyle name="40% - Accent5 8 3 3" xfId="14687" xr:uid="{40A2C9F4-DF1D-4E59-A651-E001ED7D4F47}"/>
    <cellStyle name="40% - Accent5 8 4" xfId="18910" xr:uid="{029D3CB3-C53B-4F77-B504-38570EA46E55}"/>
    <cellStyle name="40% - Accent5 8 5" xfId="10469" xr:uid="{8AD471FB-7BB8-4894-9D51-1B9E2809C845}"/>
    <cellStyle name="40% - Accent5 9" xfId="2344" xr:uid="{00000000-0005-0000-0000-0000DE060000}"/>
    <cellStyle name="40% - Accent5 9 2" xfId="6650" xr:uid="{00000000-0005-0000-0000-0000DF060000}"/>
    <cellStyle name="40% - Accent5 9 2 2" xfId="23541" xr:uid="{51ABF747-93BB-40CB-A3B2-CE1D19AB6950}"/>
    <cellStyle name="40% - Accent5 9 2 3" xfId="15100" xr:uid="{AA2B5833-FE06-44E4-995E-8912EBC48A42}"/>
    <cellStyle name="40% - Accent5 9 3" xfId="19323" xr:uid="{5B76BA96-5D37-4385-97D8-CB8E982BF389}"/>
    <cellStyle name="40% - Accent5 9 4" xfId="10882" xr:uid="{A745FE07-E99F-4C36-A8E3-380C5BC101F5}"/>
    <cellStyle name="40% - Accent6" xfId="89" builtinId="51" customBuiltin="1"/>
    <cellStyle name="40% - Accent6 10" xfId="4592" xr:uid="{00000000-0005-0000-0000-0000E1060000}"/>
    <cellStyle name="40% - Accent6 10 2" xfId="21483" xr:uid="{FA091D43-81FF-46FF-8BA5-01AB2D230C70}"/>
    <cellStyle name="40% - Accent6 10 3" xfId="13042" xr:uid="{AA870CEB-847B-46A6-829C-73650DDF1E5C}"/>
    <cellStyle name="40% - Accent6 11" xfId="17265" xr:uid="{38E4FB08-CE9E-4A22-AECE-857C24377CB9}"/>
    <cellStyle name="40% - Accent6 12" xfId="8824" xr:uid="{CCEF92DC-4251-485A-B92F-32DEF03BCD09}"/>
    <cellStyle name="40% - Accent6 2" xfId="90" xr:uid="{00000000-0005-0000-0000-0000E2060000}"/>
    <cellStyle name="40% - Accent6 2 10" xfId="17266" xr:uid="{A0485EA6-EAF6-4B04-A22C-86A6CD4BB396}"/>
    <cellStyle name="40% - Accent6 2 11" xfId="8825" xr:uid="{2CD8A070-58FD-4DEC-9521-3A558EB817C9}"/>
    <cellStyle name="40% - Accent6 2 2" xfId="91" xr:uid="{00000000-0005-0000-0000-0000E3060000}"/>
    <cellStyle name="40% - Accent6 2 2 10" xfId="8826" xr:uid="{54D2F6E3-9EC4-4D53-B5DF-DD794068A4F9}"/>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2 2 2" xfId="24045" xr:uid="{0A20EA32-5FCA-4FB8-9A44-C694F37BF97E}"/>
    <cellStyle name="40% - Accent6 2 2 2 2 2 2 3" xfId="15604" xr:uid="{0534CF23-8972-4BC2-A0C1-FC0F2C1FB874}"/>
    <cellStyle name="40% - Accent6 2 2 2 2 2 3" xfId="19827" xr:uid="{AD08932F-AF32-4F5D-AA42-AE0BD135915E}"/>
    <cellStyle name="40% - Accent6 2 2 2 2 2 4" xfId="11386" xr:uid="{4E878148-D768-4C08-B39A-90F5AABB25B5}"/>
    <cellStyle name="40% - Accent6 2 2 2 2 3" xfId="5009" xr:uid="{00000000-0005-0000-0000-0000E8060000}"/>
    <cellStyle name="40% - Accent6 2 2 2 2 3 2" xfId="21900" xr:uid="{28C19DCA-2ACB-49D5-8424-6DA6F3AE1983}"/>
    <cellStyle name="40% - Accent6 2 2 2 2 3 3" xfId="13459" xr:uid="{32E5EB9E-8222-4B15-808E-501C0DD08DB5}"/>
    <cellStyle name="40% - Accent6 2 2 2 2 4" xfId="17682" xr:uid="{B5A6877A-13E5-4D14-A7EA-23A10A8D05AB}"/>
    <cellStyle name="40% - Accent6 2 2 2 2 5" xfId="9241" xr:uid="{A20E2F0E-2BB8-4917-8417-788D17BC2045}"/>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2 2 2" xfId="24458" xr:uid="{29F2852A-C6DC-4C8E-8EE8-8203314727F9}"/>
    <cellStyle name="40% - Accent6 2 2 2 3 2 2 3" xfId="16017" xr:uid="{022F80DA-35B4-4211-8164-B76BEFE9DCED}"/>
    <cellStyle name="40% - Accent6 2 2 2 3 2 3" xfId="20240" xr:uid="{421E0BAC-756B-44CE-8CF2-2B1580D47C41}"/>
    <cellStyle name="40% - Accent6 2 2 2 3 2 4" xfId="11799" xr:uid="{5D1A20C6-2ED8-43E5-878E-4230355A71CF}"/>
    <cellStyle name="40% - Accent6 2 2 2 3 3" xfId="5422" xr:uid="{00000000-0005-0000-0000-0000EC060000}"/>
    <cellStyle name="40% - Accent6 2 2 2 3 3 2" xfId="22313" xr:uid="{2585EDCF-A18B-4A12-AC32-24968FCFCE5A}"/>
    <cellStyle name="40% - Accent6 2 2 2 3 3 3" xfId="13872" xr:uid="{15277E1E-5311-4D5E-ABF5-194D6E1C89D1}"/>
    <cellStyle name="40% - Accent6 2 2 2 3 4" xfId="18095" xr:uid="{BA790E6E-D95B-486B-9097-AB30829C384E}"/>
    <cellStyle name="40% - Accent6 2 2 2 3 5" xfId="9654" xr:uid="{CC56166E-055B-4DDF-8050-FC632FE75952}"/>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2 2 2" xfId="24871" xr:uid="{B73F49E1-780E-4469-BB84-17ED41D1A5D9}"/>
    <cellStyle name="40% - Accent6 2 2 2 4 2 2 3" xfId="16430" xr:uid="{128D2181-3799-4442-8F7C-276FF5912C4C}"/>
    <cellStyle name="40% - Accent6 2 2 2 4 2 3" xfId="20653" xr:uid="{DBFEF0CD-E247-423F-9F34-0E7876E46F7B}"/>
    <cellStyle name="40% - Accent6 2 2 2 4 2 4" xfId="12212" xr:uid="{49B7EAD2-0487-45AB-A07F-E189858B9B0C}"/>
    <cellStyle name="40% - Accent6 2 2 2 4 3" xfId="5835" xr:uid="{00000000-0005-0000-0000-0000F0060000}"/>
    <cellStyle name="40% - Accent6 2 2 2 4 3 2" xfId="22726" xr:uid="{80F55E86-48EA-4CA2-A8B2-50EE03427079}"/>
    <cellStyle name="40% - Accent6 2 2 2 4 3 3" xfId="14285" xr:uid="{1B3EAA00-3FA7-453E-9097-7FA7B3F18273}"/>
    <cellStyle name="40% - Accent6 2 2 2 4 4" xfId="18508" xr:uid="{7E3F4F03-99AD-4B5D-84A6-7D67CF705D05}"/>
    <cellStyle name="40% - Accent6 2 2 2 4 5" xfId="10067" xr:uid="{E6A45B59-B63F-428C-BC0A-40B1410C9882}"/>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2 2 2" xfId="25284" xr:uid="{0740C1CB-0370-4666-9BB8-841E94D242A3}"/>
    <cellStyle name="40% - Accent6 2 2 2 5 2 2 3" xfId="16843" xr:uid="{9ABFF559-C71F-4811-957D-611CEB2D60EC}"/>
    <cellStyle name="40% - Accent6 2 2 2 5 2 3" xfId="21066" xr:uid="{41989D5C-35B1-4438-8B39-CBAABBF77AA0}"/>
    <cellStyle name="40% - Accent6 2 2 2 5 2 4" xfId="12625" xr:uid="{28A76992-9046-4BC1-88A5-B602412F155A}"/>
    <cellStyle name="40% - Accent6 2 2 2 5 3" xfId="6248" xr:uid="{00000000-0005-0000-0000-0000F4060000}"/>
    <cellStyle name="40% - Accent6 2 2 2 5 3 2" xfId="23139" xr:uid="{C611A62C-6823-4FB2-9506-69561E21E153}"/>
    <cellStyle name="40% - Accent6 2 2 2 5 3 3" xfId="14698" xr:uid="{9DE51FE6-6C65-4FFE-B87F-8B5C67C46A4C}"/>
    <cellStyle name="40% - Accent6 2 2 2 5 4" xfId="18921" xr:uid="{0F499454-5EB1-4A50-ADE1-37143DF76695}"/>
    <cellStyle name="40% - Accent6 2 2 2 5 5" xfId="10480" xr:uid="{CEFC2725-73FC-41E5-9823-BFB690D2E8F2}"/>
    <cellStyle name="40% - Accent6 2 2 2 6" xfId="2355" xr:uid="{00000000-0005-0000-0000-0000F5060000}"/>
    <cellStyle name="40% - Accent6 2 2 2 6 2" xfId="6661" xr:uid="{00000000-0005-0000-0000-0000F6060000}"/>
    <cellStyle name="40% - Accent6 2 2 2 6 2 2" xfId="23552" xr:uid="{171C05BE-7743-417C-98A3-D183DB07AA86}"/>
    <cellStyle name="40% - Accent6 2 2 2 6 2 3" xfId="15111" xr:uid="{EC60FF13-2A87-4070-8895-E29B3469402F}"/>
    <cellStyle name="40% - Accent6 2 2 2 6 3" xfId="19334" xr:uid="{18E8E0C6-C0DF-4FED-A070-4E5F1C976089}"/>
    <cellStyle name="40% - Accent6 2 2 2 6 4" xfId="10893" xr:uid="{AD196954-FBA3-46EF-BABA-4D04B1BB0104}"/>
    <cellStyle name="40% - Accent6 2 2 2 7" xfId="4595" xr:uid="{00000000-0005-0000-0000-0000F7060000}"/>
    <cellStyle name="40% - Accent6 2 2 2 7 2" xfId="21486" xr:uid="{2596BA35-4264-43D3-8474-5F9F5D4D6467}"/>
    <cellStyle name="40% - Accent6 2 2 2 7 3" xfId="13045" xr:uid="{423A0A3D-AB77-4A73-A494-83465101787B}"/>
    <cellStyle name="40% - Accent6 2 2 2 8" xfId="17268" xr:uid="{6E50FA6A-C172-459E-A24B-415C6A1C3F89}"/>
    <cellStyle name="40% - Accent6 2 2 2 9" xfId="8827" xr:uid="{128B5904-0423-4A77-8DEA-74AD5272DE4C}"/>
    <cellStyle name="40% - Accent6 2 2 3" xfId="660" xr:uid="{00000000-0005-0000-0000-0000F8060000}"/>
    <cellStyle name="40% - Accent6 2 2 3 2" xfId="2931" xr:uid="{00000000-0005-0000-0000-0000F9060000}"/>
    <cellStyle name="40% - Accent6 2 2 3 2 2" xfId="7153" xr:uid="{00000000-0005-0000-0000-0000FA060000}"/>
    <cellStyle name="40% - Accent6 2 2 3 2 2 2" xfId="24044" xr:uid="{8DDE3549-9CB9-4D9F-A2EC-DBFD1E63F936}"/>
    <cellStyle name="40% - Accent6 2 2 3 2 2 3" xfId="15603" xr:uid="{9B1F2F74-5718-434B-B698-F2C75D3C63C4}"/>
    <cellStyle name="40% - Accent6 2 2 3 2 3" xfId="19826" xr:uid="{430CBF92-5814-4A68-9CDF-BD5F67E9BDF5}"/>
    <cellStyle name="40% - Accent6 2 2 3 2 4" xfId="11385" xr:uid="{4877F3C5-E058-452B-A617-0E2139831945}"/>
    <cellStyle name="40% - Accent6 2 2 3 3" xfId="5008" xr:uid="{00000000-0005-0000-0000-0000FB060000}"/>
    <cellStyle name="40% - Accent6 2 2 3 3 2" xfId="21899" xr:uid="{DE27A01A-24D6-4A65-84CB-89CA27714306}"/>
    <cellStyle name="40% - Accent6 2 2 3 3 3" xfId="13458" xr:uid="{D195FFA9-59B8-479D-AAD4-FF87E7E7165A}"/>
    <cellStyle name="40% - Accent6 2 2 3 4" xfId="17681" xr:uid="{9CB9EEDD-FB59-49AB-8804-7757E841ADD2}"/>
    <cellStyle name="40% - Accent6 2 2 3 5" xfId="9240" xr:uid="{BDD93A6C-CB96-4B50-BFF3-4236EA7D1C31}"/>
    <cellStyle name="40% - Accent6 2 2 4" xfId="1113" xr:uid="{00000000-0005-0000-0000-0000FC060000}"/>
    <cellStyle name="40% - Accent6 2 2 4 2" xfId="3344" xr:uid="{00000000-0005-0000-0000-0000FD060000}"/>
    <cellStyle name="40% - Accent6 2 2 4 2 2" xfId="7566" xr:uid="{00000000-0005-0000-0000-0000FE060000}"/>
    <cellStyle name="40% - Accent6 2 2 4 2 2 2" xfId="24457" xr:uid="{E89B98FD-1253-4639-A225-72C95FD32B91}"/>
    <cellStyle name="40% - Accent6 2 2 4 2 2 3" xfId="16016" xr:uid="{BA3B46F5-8691-497F-A6A5-3D6B7E9A2CEE}"/>
    <cellStyle name="40% - Accent6 2 2 4 2 3" xfId="20239" xr:uid="{9288655A-87EA-48EF-A4C5-8A9B1784C922}"/>
    <cellStyle name="40% - Accent6 2 2 4 2 4" xfId="11798" xr:uid="{8338B947-8ED9-469D-AF1D-8BF4ADA978CA}"/>
    <cellStyle name="40% - Accent6 2 2 4 3" xfId="5421" xr:uid="{00000000-0005-0000-0000-0000FF060000}"/>
    <cellStyle name="40% - Accent6 2 2 4 3 2" xfId="22312" xr:uid="{EBD1DE8E-9735-4677-9882-FE661735A0AC}"/>
    <cellStyle name="40% - Accent6 2 2 4 3 3" xfId="13871" xr:uid="{3DD6B0A3-0BF1-4785-BBF1-64588E537293}"/>
    <cellStyle name="40% - Accent6 2 2 4 4" xfId="18094" xr:uid="{B663A97C-3C5A-40B3-AD31-FD2EDE1F548F}"/>
    <cellStyle name="40% - Accent6 2 2 4 5" xfId="9653" xr:uid="{2E1E77A1-24DD-4203-96E2-DD2FF6C745B8}"/>
    <cellStyle name="40% - Accent6 2 2 5" xfId="1527" xr:uid="{00000000-0005-0000-0000-000000070000}"/>
    <cellStyle name="40% - Accent6 2 2 5 2" xfId="3757" xr:uid="{00000000-0005-0000-0000-000001070000}"/>
    <cellStyle name="40% - Accent6 2 2 5 2 2" xfId="7979" xr:uid="{00000000-0005-0000-0000-000002070000}"/>
    <cellStyle name="40% - Accent6 2 2 5 2 2 2" xfId="24870" xr:uid="{23A601E4-3818-476B-B57F-71E830BC88AF}"/>
    <cellStyle name="40% - Accent6 2 2 5 2 2 3" xfId="16429" xr:uid="{353B300C-E381-464E-B97B-25108F195E6A}"/>
    <cellStyle name="40% - Accent6 2 2 5 2 3" xfId="20652" xr:uid="{328952E9-BA4B-4882-A6AB-1EBDAFAE9650}"/>
    <cellStyle name="40% - Accent6 2 2 5 2 4" xfId="12211" xr:uid="{8A2293B2-ACB0-4CA4-B2E6-9CCFDA4319D3}"/>
    <cellStyle name="40% - Accent6 2 2 5 3" xfId="5834" xr:uid="{00000000-0005-0000-0000-000003070000}"/>
    <cellStyle name="40% - Accent6 2 2 5 3 2" xfId="22725" xr:uid="{528999FF-1195-4A4B-A0CA-6DFDD42EECE1}"/>
    <cellStyle name="40% - Accent6 2 2 5 3 3" xfId="14284" xr:uid="{F8AB1E6B-E187-4463-A201-B0D0B60C7BF7}"/>
    <cellStyle name="40% - Accent6 2 2 5 4" xfId="18507" xr:uid="{B75F598F-E5E1-4970-8003-CCAD6C753262}"/>
    <cellStyle name="40% - Accent6 2 2 5 5" xfId="10066" xr:uid="{055DC8C7-F781-463E-BE7E-A6EE1599EF31}"/>
    <cellStyle name="40% - Accent6 2 2 6" xfId="1941" xr:uid="{00000000-0005-0000-0000-000004070000}"/>
    <cellStyle name="40% - Accent6 2 2 6 2" xfId="4170" xr:uid="{00000000-0005-0000-0000-000005070000}"/>
    <cellStyle name="40% - Accent6 2 2 6 2 2" xfId="8392" xr:uid="{00000000-0005-0000-0000-000006070000}"/>
    <cellStyle name="40% - Accent6 2 2 6 2 2 2" xfId="25283" xr:uid="{C005E233-FAC1-434B-AE72-D6BB941E58A4}"/>
    <cellStyle name="40% - Accent6 2 2 6 2 2 3" xfId="16842" xr:uid="{C4D8CADE-7E42-46B0-8F7E-BCAC9CD651A5}"/>
    <cellStyle name="40% - Accent6 2 2 6 2 3" xfId="21065" xr:uid="{C99D4BE8-D8AC-495B-AB13-738F9403D885}"/>
    <cellStyle name="40% - Accent6 2 2 6 2 4" xfId="12624" xr:uid="{24A90554-7A09-4938-A218-1D64BD654858}"/>
    <cellStyle name="40% - Accent6 2 2 6 3" xfId="6247" xr:uid="{00000000-0005-0000-0000-000007070000}"/>
    <cellStyle name="40% - Accent6 2 2 6 3 2" xfId="23138" xr:uid="{84BC33DF-3CD1-4724-B611-19F950762C14}"/>
    <cellStyle name="40% - Accent6 2 2 6 3 3" xfId="14697" xr:uid="{491422F8-4EA3-40E3-8080-6ACCC121BBCD}"/>
    <cellStyle name="40% - Accent6 2 2 6 4" xfId="18920" xr:uid="{48D0884A-1B81-4BD2-86D9-2CDEEB0AE269}"/>
    <cellStyle name="40% - Accent6 2 2 6 5" xfId="10479" xr:uid="{1F5BCF01-9759-486E-AE7C-E6A462E2B85A}"/>
    <cellStyle name="40% - Accent6 2 2 7" xfId="2354" xr:uid="{00000000-0005-0000-0000-000008070000}"/>
    <cellStyle name="40% - Accent6 2 2 7 2" xfId="6660" xr:uid="{00000000-0005-0000-0000-000009070000}"/>
    <cellStyle name="40% - Accent6 2 2 7 2 2" xfId="23551" xr:uid="{446AAEE4-85B7-4975-8055-CB5D6B80C91B}"/>
    <cellStyle name="40% - Accent6 2 2 7 2 3" xfId="15110" xr:uid="{B90C5035-64B8-4C0D-BE2D-99B1B2B5969E}"/>
    <cellStyle name="40% - Accent6 2 2 7 3" xfId="19333" xr:uid="{00D9B4E2-A615-431B-899C-4F029F4756EF}"/>
    <cellStyle name="40% - Accent6 2 2 7 4" xfId="10892" xr:uid="{F76C0BA4-6DC6-4BF1-A956-441A1C6D435F}"/>
    <cellStyle name="40% - Accent6 2 2 8" xfId="4594" xr:uid="{00000000-0005-0000-0000-00000A070000}"/>
    <cellStyle name="40% - Accent6 2 2 8 2" xfId="21485" xr:uid="{4DE1FE2F-B66D-4762-B43E-E1889EE199C5}"/>
    <cellStyle name="40% - Accent6 2 2 8 3" xfId="13044" xr:uid="{181902FE-BB15-491E-A2FE-315ADBAD0DC6}"/>
    <cellStyle name="40% - Accent6 2 2 9" xfId="17267" xr:uid="{25EF1601-A291-42D8-A600-3C2A65CCBBDE}"/>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2 2 2" xfId="24046" xr:uid="{CBA3ADF9-6A0A-4ECD-B717-8CAE6ED9B9FE}"/>
    <cellStyle name="40% - Accent6 2 3 2 2 2 3" xfId="15605" xr:uid="{A4A57328-A975-45C1-A42A-4FE3315C7518}"/>
    <cellStyle name="40% - Accent6 2 3 2 2 3" xfId="19828" xr:uid="{B4121CB4-62B1-4195-B121-A33FE3CF5E8E}"/>
    <cellStyle name="40% - Accent6 2 3 2 2 4" xfId="11387" xr:uid="{89C832E1-8E20-4F8E-B489-D178A3AE3DE2}"/>
    <cellStyle name="40% - Accent6 2 3 2 3" xfId="5010" xr:uid="{00000000-0005-0000-0000-00000F070000}"/>
    <cellStyle name="40% - Accent6 2 3 2 3 2" xfId="21901" xr:uid="{3B082715-42CA-4ECB-900D-B053232F8EE3}"/>
    <cellStyle name="40% - Accent6 2 3 2 3 3" xfId="13460" xr:uid="{BE9E8193-7034-4757-B0A2-C5F92389A716}"/>
    <cellStyle name="40% - Accent6 2 3 2 4" xfId="17683" xr:uid="{4D59A798-65A3-44BB-B976-BDDA64CAB494}"/>
    <cellStyle name="40% - Accent6 2 3 2 5" xfId="9242" xr:uid="{67320566-B80D-4F6E-803E-26C7CF51631B}"/>
    <cellStyle name="40% - Accent6 2 3 3" xfId="1115" xr:uid="{00000000-0005-0000-0000-000010070000}"/>
    <cellStyle name="40% - Accent6 2 3 3 2" xfId="3346" xr:uid="{00000000-0005-0000-0000-000011070000}"/>
    <cellStyle name="40% - Accent6 2 3 3 2 2" xfId="7568" xr:uid="{00000000-0005-0000-0000-000012070000}"/>
    <cellStyle name="40% - Accent6 2 3 3 2 2 2" xfId="24459" xr:uid="{3B1C4A5A-F832-4250-BB18-201E279FBDDD}"/>
    <cellStyle name="40% - Accent6 2 3 3 2 2 3" xfId="16018" xr:uid="{0BD1B35B-4150-4087-80BC-627B15C05C9B}"/>
    <cellStyle name="40% - Accent6 2 3 3 2 3" xfId="20241" xr:uid="{8FB02AAE-982B-41E7-B0BF-81CFEB6A79D5}"/>
    <cellStyle name="40% - Accent6 2 3 3 2 4" xfId="11800" xr:uid="{46B75EC2-537C-4A39-A022-C9ADE9970C51}"/>
    <cellStyle name="40% - Accent6 2 3 3 3" xfId="5423" xr:uid="{00000000-0005-0000-0000-000013070000}"/>
    <cellStyle name="40% - Accent6 2 3 3 3 2" xfId="22314" xr:uid="{65E8F291-B9CA-4F39-9115-5E1AC9777EDC}"/>
    <cellStyle name="40% - Accent6 2 3 3 3 3" xfId="13873" xr:uid="{E029E87C-7840-4573-89C5-C3D83E6014EB}"/>
    <cellStyle name="40% - Accent6 2 3 3 4" xfId="18096" xr:uid="{1A864B47-9203-40B9-B695-2CC0ECECE18B}"/>
    <cellStyle name="40% - Accent6 2 3 3 5" xfId="9655" xr:uid="{55D8807D-F2BD-4D5D-A445-26CE38E3FCEF}"/>
    <cellStyle name="40% - Accent6 2 3 4" xfId="1529" xr:uid="{00000000-0005-0000-0000-000014070000}"/>
    <cellStyle name="40% - Accent6 2 3 4 2" xfId="3759" xr:uid="{00000000-0005-0000-0000-000015070000}"/>
    <cellStyle name="40% - Accent6 2 3 4 2 2" xfId="7981" xr:uid="{00000000-0005-0000-0000-000016070000}"/>
    <cellStyle name="40% - Accent6 2 3 4 2 2 2" xfId="24872" xr:uid="{0A5EA29A-7A3B-4A4A-989D-032AF8F3CDD5}"/>
    <cellStyle name="40% - Accent6 2 3 4 2 2 3" xfId="16431" xr:uid="{EDBF4458-80F5-44D0-9DD9-E65AF7C08446}"/>
    <cellStyle name="40% - Accent6 2 3 4 2 3" xfId="20654" xr:uid="{7A96F3C3-231A-4C03-B3EA-ED5F473F3ABF}"/>
    <cellStyle name="40% - Accent6 2 3 4 2 4" xfId="12213" xr:uid="{15DA031C-712D-4E99-8A43-802BEEA76D83}"/>
    <cellStyle name="40% - Accent6 2 3 4 3" xfId="5836" xr:uid="{00000000-0005-0000-0000-000017070000}"/>
    <cellStyle name="40% - Accent6 2 3 4 3 2" xfId="22727" xr:uid="{49BAC7DE-52CA-4D76-A6CA-990553FC6129}"/>
    <cellStyle name="40% - Accent6 2 3 4 3 3" xfId="14286" xr:uid="{9DC9EE71-9B0D-42AF-B7BA-6D03BB42726F}"/>
    <cellStyle name="40% - Accent6 2 3 4 4" xfId="18509" xr:uid="{288D2059-AC40-4E06-86FA-5DA71A295C86}"/>
    <cellStyle name="40% - Accent6 2 3 4 5" xfId="10068" xr:uid="{A241F6FA-2354-4E76-BE5D-8F1184FC1C3F}"/>
    <cellStyle name="40% - Accent6 2 3 5" xfId="1943" xr:uid="{00000000-0005-0000-0000-000018070000}"/>
    <cellStyle name="40% - Accent6 2 3 5 2" xfId="4172" xr:uid="{00000000-0005-0000-0000-000019070000}"/>
    <cellStyle name="40% - Accent6 2 3 5 2 2" xfId="8394" xr:uid="{00000000-0005-0000-0000-00001A070000}"/>
    <cellStyle name="40% - Accent6 2 3 5 2 2 2" xfId="25285" xr:uid="{EA511E81-F12A-4F42-92BF-8ED34F760FC0}"/>
    <cellStyle name="40% - Accent6 2 3 5 2 2 3" xfId="16844" xr:uid="{2D018D3B-B1CA-4860-B188-EA8B873CE0A9}"/>
    <cellStyle name="40% - Accent6 2 3 5 2 3" xfId="21067" xr:uid="{4063FCE0-D4FA-4D27-943A-BA557897D24C}"/>
    <cellStyle name="40% - Accent6 2 3 5 2 4" xfId="12626" xr:uid="{C740D374-6C8A-4F68-B80D-5BB4BBAF4856}"/>
    <cellStyle name="40% - Accent6 2 3 5 3" xfId="6249" xr:uid="{00000000-0005-0000-0000-00001B070000}"/>
    <cellStyle name="40% - Accent6 2 3 5 3 2" xfId="23140" xr:uid="{8350CEEC-67C3-46DA-B5A5-F429B1756C5F}"/>
    <cellStyle name="40% - Accent6 2 3 5 3 3" xfId="14699" xr:uid="{EEBB4120-0B76-443E-83A9-714B0E004CC7}"/>
    <cellStyle name="40% - Accent6 2 3 5 4" xfId="18922" xr:uid="{FEAFDF55-112F-42E5-BA5E-CE908F2579D6}"/>
    <cellStyle name="40% - Accent6 2 3 5 5" xfId="10481" xr:uid="{2DF9A50D-FBA4-4861-82D9-D6590C4BE6A2}"/>
    <cellStyle name="40% - Accent6 2 3 6" xfId="2356" xr:uid="{00000000-0005-0000-0000-00001C070000}"/>
    <cellStyle name="40% - Accent6 2 3 6 2" xfId="6662" xr:uid="{00000000-0005-0000-0000-00001D070000}"/>
    <cellStyle name="40% - Accent6 2 3 6 2 2" xfId="23553" xr:uid="{D146F342-C5C3-4B73-8DD2-FF8159242377}"/>
    <cellStyle name="40% - Accent6 2 3 6 2 3" xfId="15112" xr:uid="{0DAEBACA-39F3-4CF2-8E51-995050C9C590}"/>
    <cellStyle name="40% - Accent6 2 3 6 3" xfId="19335" xr:uid="{BAE4460A-6FA2-4AE1-BE2E-55FF3DD87908}"/>
    <cellStyle name="40% - Accent6 2 3 6 4" xfId="10894" xr:uid="{C2089D1C-3DD7-4014-ABAF-E50A138931CB}"/>
    <cellStyle name="40% - Accent6 2 3 7" xfId="4596" xr:uid="{00000000-0005-0000-0000-00001E070000}"/>
    <cellStyle name="40% - Accent6 2 3 7 2" xfId="21487" xr:uid="{21C0E464-75EA-47ED-B97E-DAA1E8553D77}"/>
    <cellStyle name="40% - Accent6 2 3 7 3" xfId="13046" xr:uid="{23467EA3-6798-4B2E-A5FB-4197A4EBFA89}"/>
    <cellStyle name="40% - Accent6 2 3 8" xfId="17269" xr:uid="{0F12CCE7-DC53-47A6-A6C4-BF9F1B6D2EF2}"/>
    <cellStyle name="40% - Accent6 2 3 9" xfId="8828" xr:uid="{E964F46B-813A-4901-90D4-56A6EA52745F}"/>
    <cellStyle name="40% - Accent6 2 4" xfId="659" xr:uid="{00000000-0005-0000-0000-00001F070000}"/>
    <cellStyle name="40% - Accent6 2 4 2" xfId="2930" xr:uid="{00000000-0005-0000-0000-000020070000}"/>
    <cellStyle name="40% - Accent6 2 4 2 2" xfId="7152" xr:uid="{00000000-0005-0000-0000-000021070000}"/>
    <cellStyle name="40% - Accent6 2 4 2 2 2" xfId="24043" xr:uid="{9A1A745E-A972-424A-84A6-22E44FBC10F7}"/>
    <cellStyle name="40% - Accent6 2 4 2 2 3" xfId="15602" xr:uid="{2C9666EE-2FB0-4EB1-BA23-B579C1C6EE09}"/>
    <cellStyle name="40% - Accent6 2 4 2 3" xfId="19825" xr:uid="{252E8047-9B00-427D-855F-66D0C70C2903}"/>
    <cellStyle name="40% - Accent6 2 4 2 4" xfId="11384" xr:uid="{5D28BEA5-E940-4DD8-8A93-8EDC8B0DC654}"/>
    <cellStyle name="40% - Accent6 2 4 3" xfId="5007" xr:uid="{00000000-0005-0000-0000-000022070000}"/>
    <cellStyle name="40% - Accent6 2 4 3 2" xfId="21898" xr:uid="{33138D11-9543-4643-8289-35A4B222C407}"/>
    <cellStyle name="40% - Accent6 2 4 3 3" xfId="13457" xr:uid="{F6802E77-72B7-4639-80B8-3189A8FB234C}"/>
    <cellStyle name="40% - Accent6 2 4 4" xfId="17680" xr:uid="{7486E18D-8B9E-473B-9646-A1F0AEDF60BF}"/>
    <cellStyle name="40% - Accent6 2 4 5" xfId="9239" xr:uid="{3973CB99-8175-46D9-A9E7-80D6C97C1A2D}"/>
    <cellStyle name="40% - Accent6 2 5" xfId="1112" xr:uid="{00000000-0005-0000-0000-000023070000}"/>
    <cellStyle name="40% - Accent6 2 5 2" xfId="3343" xr:uid="{00000000-0005-0000-0000-000024070000}"/>
    <cellStyle name="40% - Accent6 2 5 2 2" xfId="7565" xr:uid="{00000000-0005-0000-0000-000025070000}"/>
    <cellStyle name="40% - Accent6 2 5 2 2 2" xfId="24456" xr:uid="{63C9960B-3D61-42AF-B1EE-FB5E9094F81D}"/>
    <cellStyle name="40% - Accent6 2 5 2 2 3" xfId="16015" xr:uid="{474C784A-8FEE-43C0-82AB-BAFB4C14B3C0}"/>
    <cellStyle name="40% - Accent6 2 5 2 3" xfId="20238" xr:uid="{8FCCDF13-CB02-4E07-A721-111FABE148B9}"/>
    <cellStyle name="40% - Accent6 2 5 2 4" xfId="11797" xr:uid="{98885106-0925-43E0-B7B1-F38581F3FB66}"/>
    <cellStyle name="40% - Accent6 2 5 3" xfId="5420" xr:uid="{00000000-0005-0000-0000-000026070000}"/>
    <cellStyle name="40% - Accent6 2 5 3 2" xfId="22311" xr:uid="{5711848C-3F6E-47E0-84E1-E32DC7EB359B}"/>
    <cellStyle name="40% - Accent6 2 5 3 3" xfId="13870" xr:uid="{1227B1C1-3DCB-4314-93F3-CD480EA2DAA3}"/>
    <cellStyle name="40% - Accent6 2 5 4" xfId="18093" xr:uid="{1090F226-ADB6-4F0F-BB07-5728DB1D5FE2}"/>
    <cellStyle name="40% - Accent6 2 5 5" xfId="9652" xr:uid="{09BE32A7-0131-44A7-AAC7-DFAB0D81E3C0}"/>
    <cellStyle name="40% - Accent6 2 6" xfId="1526" xr:uid="{00000000-0005-0000-0000-000027070000}"/>
    <cellStyle name="40% - Accent6 2 6 2" xfId="3756" xr:uid="{00000000-0005-0000-0000-000028070000}"/>
    <cellStyle name="40% - Accent6 2 6 2 2" xfId="7978" xr:uid="{00000000-0005-0000-0000-000029070000}"/>
    <cellStyle name="40% - Accent6 2 6 2 2 2" xfId="24869" xr:uid="{47A6CEA5-B154-45AB-A7FC-97EF1D2506E5}"/>
    <cellStyle name="40% - Accent6 2 6 2 2 3" xfId="16428" xr:uid="{4F2590EF-2D5F-43C1-8CAA-E938B07397E0}"/>
    <cellStyle name="40% - Accent6 2 6 2 3" xfId="20651" xr:uid="{A21D0A1A-3B6E-4997-97E3-29C424450D87}"/>
    <cellStyle name="40% - Accent6 2 6 2 4" xfId="12210" xr:uid="{766427BF-665A-47ED-B203-96CFB754B65B}"/>
    <cellStyle name="40% - Accent6 2 6 3" xfId="5833" xr:uid="{00000000-0005-0000-0000-00002A070000}"/>
    <cellStyle name="40% - Accent6 2 6 3 2" xfId="22724" xr:uid="{7B1A91A2-1E32-4891-8642-88726EEF41C7}"/>
    <cellStyle name="40% - Accent6 2 6 3 3" xfId="14283" xr:uid="{F380CE4B-660E-4FB9-B796-735CE5AD7521}"/>
    <cellStyle name="40% - Accent6 2 6 4" xfId="18506" xr:uid="{7A259157-EB51-438C-8E6A-35817B0BA116}"/>
    <cellStyle name="40% - Accent6 2 6 5" xfId="10065" xr:uid="{BC05BC34-ADB3-4D1F-AB44-9B2EE3C5259E}"/>
    <cellStyle name="40% - Accent6 2 7" xfId="1940" xr:uid="{00000000-0005-0000-0000-00002B070000}"/>
    <cellStyle name="40% - Accent6 2 7 2" xfId="4169" xr:uid="{00000000-0005-0000-0000-00002C070000}"/>
    <cellStyle name="40% - Accent6 2 7 2 2" xfId="8391" xr:uid="{00000000-0005-0000-0000-00002D070000}"/>
    <cellStyle name="40% - Accent6 2 7 2 2 2" xfId="25282" xr:uid="{D3BD2FFF-693F-4A76-8374-24C76A4F62F5}"/>
    <cellStyle name="40% - Accent6 2 7 2 2 3" xfId="16841" xr:uid="{2D8B2FAB-3537-457F-867A-72D2519A2BC0}"/>
    <cellStyle name="40% - Accent6 2 7 2 3" xfId="21064" xr:uid="{8BCC3F0C-2587-4FAA-98AA-C0C8B1802BA8}"/>
    <cellStyle name="40% - Accent6 2 7 2 4" xfId="12623" xr:uid="{BEB6B4E8-35E3-438C-B783-1A478A44208F}"/>
    <cellStyle name="40% - Accent6 2 7 3" xfId="6246" xr:uid="{00000000-0005-0000-0000-00002E070000}"/>
    <cellStyle name="40% - Accent6 2 7 3 2" xfId="23137" xr:uid="{968BA1F4-65AE-4D68-AE02-B36AB231003E}"/>
    <cellStyle name="40% - Accent6 2 7 3 3" xfId="14696" xr:uid="{1875B569-DD73-45A8-BEB2-7268E821AA96}"/>
    <cellStyle name="40% - Accent6 2 7 4" xfId="18919" xr:uid="{319E3775-3C2B-49E7-A05A-1961DB4CC643}"/>
    <cellStyle name="40% - Accent6 2 7 5" xfId="10478" xr:uid="{7494C7AB-D3D2-4021-9665-2438AB5B891F}"/>
    <cellStyle name="40% - Accent6 2 8" xfId="2353" xr:uid="{00000000-0005-0000-0000-00002F070000}"/>
    <cellStyle name="40% - Accent6 2 8 2" xfId="6659" xr:uid="{00000000-0005-0000-0000-000030070000}"/>
    <cellStyle name="40% - Accent6 2 8 2 2" xfId="23550" xr:uid="{8355CBF9-5E01-44BE-A2F0-E38546E56EF3}"/>
    <cellStyle name="40% - Accent6 2 8 2 3" xfId="15109" xr:uid="{CEE2BFE4-B081-4EFA-B15E-0E4AC0649177}"/>
    <cellStyle name="40% - Accent6 2 8 3" xfId="19332" xr:uid="{F4C25425-E913-4CC7-ACA3-5D3B1E1417C7}"/>
    <cellStyle name="40% - Accent6 2 8 4" xfId="10891" xr:uid="{8966B8AE-8B01-4272-98C0-B6DD6B260E6F}"/>
    <cellStyle name="40% - Accent6 2 9" xfId="4593" xr:uid="{00000000-0005-0000-0000-000031070000}"/>
    <cellStyle name="40% - Accent6 2 9 2" xfId="21484" xr:uid="{F0C61625-AB29-4109-9863-B79803B8C1BC}"/>
    <cellStyle name="40% - Accent6 2 9 3" xfId="13043" xr:uid="{1586591A-DB99-432E-84ED-7B50CE3F30D8}"/>
    <cellStyle name="40% - Accent6 3" xfId="94" xr:uid="{00000000-0005-0000-0000-000032070000}"/>
    <cellStyle name="40% - Accent6 3 10" xfId="8829" xr:uid="{A299C404-8811-4464-85F0-994D8ED2389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2 2 2" xfId="24048" xr:uid="{5FA673B3-869E-4FDB-BBD8-484B161E0BBB}"/>
    <cellStyle name="40% - Accent6 3 2 2 2 2 3" xfId="15607" xr:uid="{74CBFEEA-3640-4CB5-A95F-E974BF12B28F}"/>
    <cellStyle name="40% - Accent6 3 2 2 2 3" xfId="19830" xr:uid="{20226B98-F685-499A-AC7B-8674342E44F1}"/>
    <cellStyle name="40% - Accent6 3 2 2 2 4" xfId="11389" xr:uid="{FEBC6682-FC5F-46EC-A0BF-87445330FE12}"/>
    <cellStyle name="40% - Accent6 3 2 2 3" xfId="5012" xr:uid="{00000000-0005-0000-0000-000037070000}"/>
    <cellStyle name="40% - Accent6 3 2 2 3 2" xfId="21903" xr:uid="{008E85DD-D562-48A1-9EF4-65767E867E8F}"/>
    <cellStyle name="40% - Accent6 3 2 2 3 3" xfId="13462" xr:uid="{5B6D9750-2F69-4C80-B030-8A44089D471B}"/>
    <cellStyle name="40% - Accent6 3 2 2 4" xfId="17685" xr:uid="{846B66FA-188B-47D7-B077-C0F5FF3A332B}"/>
    <cellStyle name="40% - Accent6 3 2 2 5" xfId="9244" xr:uid="{98A88D5B-6A0E-4B17-90F5-5FF2C6BA6996}"/>
    <cellStyle name="40% - Accent6 3 2 3" xfId="1117" xr:uid="{00000000-0005-0000-0000-000038070000}"/>
    <cellStyle name="40% - Accent6 3 2 3 2" xfId="3348" xr:uid="{00000000-0005-0000-0000-000039070000}"/>
    <cellStyle name="40% - Accent6 3 2 3 2 2" xfId="7570" xr:uid="{00000000-0005-0000-0000-00003A070000}"/>
    <cellStyle name="40% - Accent6 3 2 3 2 2 2" xfId="24461" xr:uid="{7777690E-185E-4691-A79C-1946AB7D7D85}"/>
    <cellStyle name="40% - Accent6 3 2 3 2 2 3" xfId="16020" xr:uid="{7C7A77E0-FF40-4DB6-82DA-9A6513729AA9}"/>
    <cellStyle name="40% - Accent6 3 2 3 2 3" xfId="20243" xr:uid="{7901A4C4-C723-4C2E-AF78-6FD63EBC56CB}"/>
    <cellStyle name="40% - Accent6 3 2 3 2 4" xfId="11802" xr:uid="{F71AF7C9-2E93-456B-BC6F-606083F2A80A}"/>
    <cellStyle name="40% - Accent6 3 2 3 3" xfId="5425" xr:uid="{00000000-0005-0000-0000-00003B070000}"/>
    <cellStyle name="40% - Accent6 3 2 3 3 2" xfId="22316" xr:uid="{34594C38-FA9C-4593-BBCD-237D5B4D438C}"/>
    <cellStyle name="40% - Accent6 3 2 3 3 3" xfId="13875" xr:uid="{7645921D-27A5-4133-8268-2D5646E8DC87}"/>
    <cellStyle name="40% - Accent6 3 2 3 4" xfId="18098" xr:uid="{A87BB3CC-5E5D-431B-86BD-23934ACDF2F8}"/>
    <cellStyle name="40% - Accent6 3 2 3 5" xfId="9657" xr:uid="{7A35D176-7CC7-46E2-A922-9786BC11F9C1}"/>
    <cellStyle name="40% - Accent6 3 2 4" xfId="1531" xr:uid="{00000000-0005-0000-0000-00003C070000}"/>
    <cellStyle name="40% - Accent6 3 2 4 2" xfId="3761" xr:uid="{00000000-0005-0000-0000-00003D070000}"/>
    <cellStyle name="40% - Accent6 3 2 4 2 2" xfId="7983" xr:uid="{00000000-0005-0000-0000-00003E070000}"/>
    <cellStyle name="40% - Accent6 3 2 4 2 2 2" xfId="24874" xr:uid="{D36D8D43-01FF-4598-85AE-C82B7909D9F9}"/>
    <cellStyle name="40% - Accent6 3 2 4 2 2 3" xfId="16433" xr:uid="{C30CE8EA-758E-43F9-94A9-FE592EBB9371}"/>
    <cellStyle name="40% - Accent6 3 2 4 2 3" xfId="20656" xr:uid="{9499F691-EBB9-4828-BE4C-4FD6DCB0A605}"/>
    <cellStyle name="40% - Accent6 3 2 4 2 4" xfId="12215" xr:uid="{9E7E8A78-4F09-44EE-A498-89857A909A37}"/>
    <cellStyle name="40% - Accent6 3 2 4 3" xfId="5838" xr:uid="{00000000-0005-0000-0000-00003F070000}"/>
    <cellStyle name="40% - Accent6 3 2 4 3 2" xfId="22729" xr:uid="{30AA3A11-4637-4250-851D-AD8637C8D9D0}"/>
    <cellStyle name="40% - Accent6 3 2 4 3 3" xfId="14288" xr:uid="{C1A020FA-CCD5-416D-BC27-4AA452B2B7B9}"/>
    <cellStyle name="40% - Accent6 3 2 4 4" xfId="18511" xr:uid="{D9EC0465-DCA0-4631-B0C6-0B45ABFE29F7}"/>
    <cellStyle name="40% - Accent6 3 2 4 5" xfId="10070" xr:uid="{9FF70ABB-C4E9-48B5-8197-848E51F72966}"/>
    <cellStyle name="40% - Accent6 3 2 5" xfId="1945" xr:uid="{00000000-0005-0000-0000-000040070000}"/>
    <cellStyle name="40% - Accent6 3 2 5 2" xfId="4174" xr:uid="{00000000-0005-0000-0000-000041070000}"/>
    <cellStyle name="40% - Accent6 3 2 5 2 2" xfId="8396" xr:uid="{00000000-0005-0000-0000-000042070000}"/>
    <cellStyle name="40% - Accent6 3 2 5 2 2 2" xfId="25287" xr:uid="{C12B87CB-1C01-4C61-B53F-CDD069CD94C8}"/>
    <cellStyle name="40% - Accent6 3 2 5 2 2 3" xfId="16846" xr:uid="{3FDEBFB8-F52C-49EF-A932-4362311633DF}"/>
    <cellStyle name="40% - Accent6 3 2 5 2 3" xfId="21069" xr:uid="{8C253B7B-BE4C-4230-92FC-E48CEE941991}"/>
    <cellStyle name="40% - Accent6 3 2 5 2 4" xfId="12628" xr:uid="{57D0B7B6-A848-4AA5-9497-6C6E5D3AAAAF}"/>
    <cellStyle name="40% - Accent6 3 2 5 3" xfId="6251" xr:uid="{00000000-0005-0000-0000-000043070000}"/>
    <cellStyle name="40% - Accent6 3 2 5 3 2" xfId="23142" xr:uid="{127BB0F2-EBDB-4936-8791-6EB56261FB32}"/>
    <cellStyle name="40% - Accent6 3 2 5 3 3" xfId="14701" xr:uid="{A86D38A8-394C-418C-9FB8-5F3EEE45EE3A}"/>
    <cellStyle name="40% - Accent6 3 2 5 4" xfId="18924" xr:uid="{AC1AA016-D93B-49D4-A15B-E5E39D91E64A}"/>
    <cellStyle name="40% - Accent6 3 2 5 5" xfId="10483" xr:uid="{B45C23B0-FFBD-4418-AF7D-6F66BD57B451}"/>
    <cellStyle name="40% - Accent6 3 2 6" xfId="2358" xr:uid="{00000000-0005-0000-0000-000044070000}"/>
    <cellStyle name="40% - Accent6 3 2 6 2" xfId="6664" xr:uid="{00000000-0005-0000-0000-000045070000}"/>
    <cellStyle name="40% - Accent6 3 2 6 2 2" xfId="23555" xr:uid="{85EDD539-F332-4966-8987-983358E44A73}"/>
    <cellStyle name="40% - Accent6 3 2 6 2 3" xfId="15114" xr:uid="{3FE2EB0C-8026-4012-BDC5-CE2411C65989}"/>
    <cellStyle name="40% - Accent6 3 2 6 3" xfId="19337" xr:uid="{38301C27-3290-40A1-B563-D64BD868DAFE}"/>
    <cellStyle name="40% - Accent6 3 2 6 4" xfId="10896" xr:uid="{65EB04F6-8DF6-469B-8762-2CCD6DC3FF4A}"/>
    <cellStyle name="40% - Accent6 3 2 7" xfId="4598" xr:uid="{00000000-0005-0000-0000-000046070000}"/>
    <cellStyle name="40% - Accent6 3 2 7 2" xfId="21489" xr:uid="{49014253-C602-43FB-A22C-BD62160DCDF9}"/>
    <cellStyle name="40% - Accent6 3 2 7 3" xfId="13048" xr:uid="{A89AB298-DD91-40C2-8BF5-E7D5335CF896}"/>
    <cellStyle name="40% - Accent6 3 2 8" xfId="17271" xr:uid="{B4C10327-4BCF-40F0-AB0A-D83CC09EED40}"/>
    <cellStyle name="40% - Accent6 3 2 9" xfId="8830" xr:uid="{D829C85C-5265-476C-BAB6-74F2D4C778F4}"/>
    <cellStyle name="40% - Accent6 3 3" xfId="663" xr:uid="{00000000-0005-0000-0000-000047070000}"/>
    <cellStyle name="40% - Accent6 3 3 2" xfId="2934" xr:uid="{00000000-0005-0000-0000-000048070000}"/>
    <cellStyle name="40% - Accent6 3 3 2 2" xfId="7156" xr:uid="{00000000-0005-0000-0000-000049070000}"/>
    <cellStyle name="40% - Accent6 3 3 2 2 2" xfId="24047" xr:uid="{7B234671-3FE3-47D6-A1B7-20603990FA03}"/>
    <cellStyle name="40% - Accent6 3 3 2 2 3" xfId="15606" xr:uid="{CC9E6136-F8A2-4A07-8059-8BC4C11C9156}"/>
    <cellStyle name="40% - Accent6 3 3 2 3" xfId="19829" xr:uid="{83D5068C-078D-4352-993E-158F03233312}"/>
    <cellStyle name="40% - Accent6 3 3 2 4" xfId="11388" xr:uid="{E87A9287-ACE1-498E-AECA-A0266C22B377}"/>
    <cellStyle name="40% - Accent6 3 3 3" xfId="5011" xr:uid="{00000000-0005-0000-0000-00004A070000}"/>
    <cellStyle name="40% - Accent6 3 3 3 2" xfId="21902" xr:uid="{31E45702-9FDE-48B8-84DF-F27D90A320E3}"/>
    <cellStyle name="40% - Accent6 3 3 3 3" xfId="13461" xr:uid="{ED435F80-841D-4828-BC6C-B10EB4AE3452}"/>
    <cellStyle name="40% - Accent6 3 3 4" xfId="17684" xr:uid="{EE74FECD-C79D-4508-BBD3-58E0E802D7AC}"/>
    <cellStyle name="40% - Accent6 3 3 5" xfId="9243" xr:uid="{5B003153-9525-4438-B496-C8B638D35281}"/>
    <cellStyle name="40% - Accent6 3 4" xfId="1116" xr:uid="{00000000-0005-0000-0000-00004B070000}"/>
    <cellStyle name="40% - Accent6 3 4 2" xfId="3347" xr:uid="{00000000-0005-0000-0000-00004C070000}"/>
    <cellStyle name="40% - Accent6 3 4 2 2" xfId="7569" xr:uid="{00000000-0005-0000-0000-00004D070000}"/>
    <cellStyle name="40% - Accent6 3 4 2 2 2" xfId="24460" xr:uid="{C95C0649-51BB-4D4E-B99C-61B00C413EAA}"/>
    <cellStyle name="40% - Accent6 3 4 2 2 3" xfId="16019" xr:uid="{AF30FC6E-406B-4C92-8472-6E394FBC932A}"/>
    <cellStyle name="40% - Accent6 3 4 2 3" xfId="20242" xr:uid="{25AF8989-EE21-4E7D-843C-502A0D06362F}"/>
    <cellStyle name="40% - Accent6 3 4 2 4" xfId="11801" xr:uid="{67996D32-960C-4B59-BA53-04AC2B5981F2}"/>
    <cellStyle name="40% - Accent6 3 4 3" xfId="5424" xr:uid="{00000000-0005-0000-0000-00004E070000}"/>
    <cellStyle name="40% - Accent6 3 4 3 2" xfId="22315" xr:uid="{4BC08A2D-6A0C-432F-896D-1F1819F8BE67}"/>
    <cellStyle name="40% - Accent6 3 4 3 3" xfId="13874" xr:uid="{00277EAC-11B0-4894-A987-7E0B5A9EF1B5}"/>
    <cellStyle name="40% - Accent6 3 4 4" xfId="18097" xr:uid="{FE30F5FD-04F0-4866-87EA-ED3926D30F6C}"/>
    <cellStyle name="40% - Accent6 3 4 5" xfId="9656" xr:uid="{2D5704FE-1C71-4E06-9CB2-8A756D0F417C}"/>
    <cellStyle name="40% - Accent6 3 5" xfId="1530" xr:uid="{00000000-0005-0000-0000-00004F070000}"/>
    <cellStyle name="40% - Accent6 3 5 2" xfId="3760" xr:uid="{00000000-0005-0000-0000-000050070000}"/>
    <cellStyle name="40% - Accent6 3 5 2 2" xfId="7982" xr:uid="{00000000-0005-0000-0000-000051070000}"/>
    <cellStyle name="40% - Accent6 3 5 2 2 2" xfId="24873" xr:uid="{0291AB74-8F3F-4E41-BE01-A8099B9AD6F2}"/>
    <cellStyle name="40% - Accent6 3 5 2 2 3" xfId="16432" xr:uid="{674BBE46-0864-4528-AEC3-0ABFAB4BEDF0}"/>
    <cellStyle name="40% - Accent6 3 5 2 3" xfId="20655" xr:uid="{57E6EBE7-34BC-43FB-AB3D-A3A0756B0ABE}"/>
    <cellStyle name="40% - Accent6 3 5 2 4" xfId="12214" xr:uid="{B223BDD0-B4EF-4A47-8010-4E77B5437F3E}"/>
    <cellStyle name="40% - Accent6 3 5 3" xfId="5837" xr:uid="{00000000-0005-0000-0000-000052070000}"/>
    <cellStyle name="40% - Accent6 3 5 3 2" xfId="22728" xr:uid="{0113ADC6-8C16-418B-B1B7-2C821F22AAB0}"/>
    <cellStyle name="40% - Accent6 3 5 3 3" xfId="14287" xr:uid="{4F8C8B9A-24A1-4BAC-9354-B084C0DB975E}"/>
    <cellStyle name="40% - Accent6 3 5 4" xfId="18510" xr:uid="{6350D5DD-BB17-47B7-A2C4-AFE43AC41AB5}"/>
    <cellStyle name="40% - Accent6 3 5 5" xfId="10069" xr:uid="{F1947E6E-AD33-452C-BF69-BE14B9191D7B}"/>
    <cellStyle name="40% - Accent6 3 6" xfId="1944" xr:uid="{00000000-0005-0000-0000-000053070000}"/>
    <cellStyle name="40% - Accent6 3 6 2" xfId="4173" xr:uid="{00000000-0005-0000-0000-000054070000}"/>
    <cellStyle name="40% - Accent6 3 6 2 2" xfId="8395" xr:uid="{00000000-0005-0000-0000-000055070000}"/>
    <cellStyle name="40% - Accent6 3 6 2 2 2" xfId="25286" xr:uid="{9FDD863C-621C-450E-9DD6-84919B6FBBFB}"/>
    <cellStyle name="40% - Accent6 3 6 2 2 3" xfId="16845" xr:uid="{AFE98093-2019-4C3F-82B8-1C54D295580D}"/>
    <cellStyle name="40% - Accent6 3 6 2 3" xfId="21068" xr:uid="{4D43EA58-47FF-478C-B460-A084BEB58488}"/>
    <cellStyle name="40% - Accent6 3 6 2 4" xfId="12627" xr:uid="{E6E9FF56-0276-4748-B29E-9662657C2D2A}"/>
    <cellStyle name="40% - Accent6 3 6 3" xfId="6250" xr:uid="{00000000-0005-0000-0000-000056070000}"/>
    <cellStyle name="40% - Accent6 3 6 3 2" xfId="23141" xr:uid="{24E7DD23-2049-4221-89B1-F5A5CD87BF7E}"/>
    <cellStyle name="40% - Accent6 3 6 3 3" xfId="14700" xr:uid="{BB009ECE-5412-4F55-9125-0436CF93D50C}"/>
    <cellStyle name="40% - Accent6 3 6 4" xfId="18923" xr:uid="{DDD80F18-4508-4FED-A6F6-8FC721CBFDD0}"/>
    <cellStyle name="40% - Accent6 3 6 5" xfId="10482" xr:uid="{1F8B31C1-FF21-4080-9F0B-EE7F73231D61}"/>
    <cellStyle name="40% - Accent6 3 7" xfId="2357" xr:uid="{00000000-0005-0000-0000-000057070000}"/>
    <cellStyle name="40% - Accent6 3 7 2" xfId="6663" xr:uid="{00000000-0005-0000-0000-000058070000}"/>
    <cellStyle name="40% - Accent6 3 7 2 2" xfId="23554" xr:uid="{81A5D155-2851-4B25-9570-FBCEB392E183}"/>
    <cellStyle name="40% - Accent6 3 7 2 3" xfId="15113" xr:uid="{0CF576B9-ED47-4A57-BE00-25649FEB6228}"/>
    <cellStyle name="40% - Accent6 3 7 3" xfId="19336" xr:uid="{68735B6C-89BD-44E4-AF11-A9000EC8A9C6}"/>
    <cellStyle name="40% - Accent6 3 7 4" xfId="10895" xr:uid="{14EE2289-C266-4D5D-AEA1-C6B830459F57}"/>
    <cellStyle name="40% - Accent6 3 8" xfId="4597" xr:uid="{00000000-0005-0000-0000-000059070000}"/>
    <cellStyle name="40% - Accent6 3 8 2" xfId="21488" xr:uid="{97E0C227-CD07-49A8-8192-1FD77AEEADDF}"/>
    <cellStyle name="40% - Accent6 3 8 3" xfId="13047" xr:uid="{ED0C7808-767F-449E-A5A7-728435A4A3B2}"/>
    <cellStyle name="40% - Accent6 3 9" xfId="17270" xr:uid="{2071648D-4E9D-4438-B8F8-6763162DA27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2 2 2" xfId="24049" xr:uid="{7FB950F7-E005-4A96-8548-E5A9BEE9D6E6}"/>
    <cellStyle name="40% - Accent6 4 2 2 2 3" xfId="15608" xr:uid="{0ACAC286-F8D0-4441-B4EC-1F391895DAB6}"/>
    <cellStyle name="40% - Accent6 4 2 2 3" xfId="19831" xr:uid="{2F9396AF-0B0F-405F-8227-420BE6B87BDF}"/>
    <cellStyle name="40% - Accent6 4 2 2 4" xfId="11390" xr:uid="{E67612AE-C0B9-494E-9FB1-D0254AD01ECF}"/>
    <cellStyle name="40% - Accent6 4 2 3" xfId="5013" xr:uid="{00000000-0005-0000-0000-00005E070000}"/>
    <cellStyle name="40% - Accent6 4 2 3 2" xfId="21904" xr:uid="{FA2683FF-3993-4494-99E8-8490F18F806D}"/>
    <cellStyle name="40% - Accent6 4 2 3 3" xfId="13463" xr:uid="{AF672ED8-1192-4C81-9C30-E0F69A3E6BC5}"/>
    <cellStyle name="40% - Accent6 4 2 4" xfId="17686" xr:uid="{6109FC94-46A6-446A-8FDE-96B058D314BA}"/>
    <cellStyle name="40% - Accent6 4 2 5" xfId="9245" xr:uid="{C9833F96-B72F-439D-A5EA-DACB083AA9CB}"/>
    <cellStyle name="40% - Accent6 4 3" xfId="1118" xr:uid="{00000000-0005-0000-0000-00005F070000}"/>
    <cellStyle name="40% - Accent6 4 3 2" xfId="3349" xr:uid="{00000000-0005-0000-0000-000060070000}"/>
    <cellStyle name="40% - Accent6 4 3 2 2" xfId="7571" xr:uid="{00000000-0005-0000-0000-000061070000}"/>
    <cellStyle name="40% - Accent6 4 3 2 2 2" xfId="24462" xr:uid="{4AA6F949-77BA-4AF2-A3FE-F0301F049019}"/>
    <cellStyle name="40% - Accent6 4 3 2 2 3" xfId="16021" xr:uid="{7C3CE4DB-9A06-4121-B26A-F1B045FDF8B7}"/>
    <cellStyle name="40% - Accent6 4 3 2 3" xfId="20244" xr:uid="{A9C55385-F68A-4F0F-8E7F-43B16A79DB75}"/>
    <cellStyle name="40% - Accent6 4 3 2 4" xfId="11803" xr:uid="{6E2AE140-BA96-4F48-801F-7816F8AB858E}"/>
    <cellStyle name="40% - Accent6 4 3 3" xfId="5426" xr:uid="{00000000-0005-0000-0000-000062070000}"/>
    <cellStyle name="40% - Accent6 4 3 3 2" xfId="22317" xr:uid="{561CD088-FC93-4CF1-9E13-75DD5F1BEFD6}"/>
    <cellStyle name="40% - Accent6 4 3 3 3" xfId="13876" xr:uid="{44EEF968-3AC8-4182-8D8F-C1C63915E23A}"/>
    <cellStyle name="40% - Accent6 4 3 4" xfId="18099" xr:uid="{D0B68704-AD8F-4F7F-826C-0226AA5DEB11}"/>
    <cellStyle name="40% - Accent6 4 3 5" xfId="9658" xr:uid="{A5C3F956-303B-491D-BDC0-D8E996ED019E}"/>
    <cellStyle name="40% - Accent6 4 4" xfId="1532" xr:uid="{00000000-0005-0000-0000-000063070000}"/>
    <cellStyle name="40% - Accent6 4 4 2" xfId="3762" xr:uid="{00000000-0005-0000-0000-000064070000}"/>
    <cellStyle name="40% - Accent6 4 4 2 2" xfId="7984" xr:uid="{00000000-0005-0000-0000-000065070000}"/>
    <cellStyle name="40% - Accent6 4 4 2 2 2" xfId="24875" xr:uid="{1503FE27-AD54-4EBC-B5F1-6FBCD81BD99B}"/>
    <cellStyle name="40% - Accent6 4 4 2 2 3" xfId="16434" xr:uid="{B5080B66-5C55-4F31-BDBC-A27A34F296BD}"/>
    <cellStyle name="40% - Accent6 4 4 2 3" xfId="20657" xr:uid="{A84213AF-6923-4004-8E1E-51C0030919FF}"/>
    <cellStyle name="40% - Accent6 4 4 2 4" xfId="12216" xr:uid="{CF75CF1E-D8C4-409E-9E54-63C4CBED33F4}"/>
    <cellStyle name="40% - Accent6 4 4 3" xfId="5839" xr:uid="{00000000-0005-0000-0000-000066070000}"/>
    <cellStyle name="40% - Accent6 4 4 3 2" xfId="22730" xr:uid="{9089CF68-8F46-4C77-AB1E-188F936673C7}"/>
    <cellStyle name="40% - Accent6 4 4 3 3" xfId="14289" xr:uid="{8E9FD1A4-E757-4820-B3C2-61196E66F6EE}"/>
    <cellStyle name="40% - Accent6 4 4 4" xfId="18512" xr:uid="{1081F52E-AA05-4562-A7BB-60569A9C2344}"/>
    <cellStyle name="40% - Accent6 4 4 5" xfId="10071" xr:uid="{68E656EE-005C-4F81-80FF-473525F453F5}"/>
    <cellStyle name="40% - Accent6 4 5" xfId="1946" xr:uid="{00000000-0005-0000-0000-000067070000}"/>
    <cellStyle name="40% - Accent6 4 5 2" xfId="4175" xr:uid="{00000000-0005-0000-0000-000068070000}"/>
    <cellStyle name="40% - Accent6 4 5 2 2" xfId="8397" xr:uid="{00000000-0005-0000-0000-000069070000}"/>
    <cellStyle name="40% - Accent6 4 5 2 2 2" xfId="25288" xr:uid="{2AF0A7A5-81A4-4E07-B257-13D7BBCCD041}"/>
    <cellStyle name="40% - Accent6 4 5 2 2 3" xfId="16847" xr:uid="{DADC7CD7-A4A8-433F-81ED-22FE74BCE7E0}"/>
    <cellStyle name="40% - Accent6 4 5 2 3" xfId="21070" xr:uid="{5642969D-4D7F-4FEC-85C5-56A6938C1956}"/>
    <cellStyle name="40% - Accent6 4 5 2 4" xfId="12629" xr:uid="{198D410D-3BFD-4551-9500-ABA4621F9DBB}"/>
    <cellStyle name="40% - Accent6 4 5 3" xfId="6252" xr:uid="{00000000-0005-0000-0000-00006A070000}"/>
    <cellStyle name="40% - Accent6 4 5 3 2" xfId="23143" xr:uid="{4C491030-AB00-4191-BDDF-1FE07143C45B}"/>
    <cellStyle name="40% - Accent6 4 5 3 3" xfId="14702" xr:uid="{3D8FBF1B-92A5-42FE-B43D-6AC940CF5A40}"/>
    <cellStyle name="40% - Accent6 4 5 4" xfId="18925" xr:uid="{C4D93C52-EA06-4B2C-9298-2159618AB8E8}"/>
    <cellStyle name="40% - Accent6 4 5 5" xfId="10484" xr:uid="{84C512B7-903E-48B6-917D-7A7C9B49008E}"/>
    <cellStyle name="40% - Accent6 4 6" xfId="2359" xr:uid="{00000000-0005-0000-0000-00006B070000}"/>
    <cellStyle name="40% - Accent6 4 6 2" xfId="6665" xr:uid="{00000000-0005-0000-0000-00006C070000}"/>
    <cellStyle name="40% - Accent6 4 6 2 2" xfId="23556" xr:uid="{B01CB35A-9FE6-4262-9F81-3EE193F4304F}"/>
    <cellStyle name="40% - Accent6 4 6 2 3" xfId="15115" xr:uid="{CEA2987D-B4F6-43EA-854A-0D1C3BA7FC00}"/>
    <cellStyle name="40% - Accent6 4 6 3" xfId="19338" xr:uid="{2790C457-CF28-46A9-A34D-0C45708A7895}"/>
    <cellStyle name="40% - Accent6 4 6 4" xfId="10897" xr:uid="{DBCA4801-B5BA-4AF0-A739-28A729EE27DF}"/>
    <cellStyle name="40% - Accent6 4 7" xfId="4599" xr:uid="{00000000-0005-0000-0000-00006D070000}"/>
    <cellStyle name="40% - Accent6 4 7 2" xfId="21490" xr:uid="{25B42143-CC03-47B8-9D5E-98934E484865}"/>
    <cellStyle name="40% - Accent6 4 7 3" xfId="13049" xr:uid="{9809D454-9AAA-4569-99EA-0A5A1CD93073}"/>
    <cellStyle name="40% - Accent6 4 8" xfId="17272" xr:uid="{82A53440-DC0D-44F5-95F1-580837A7EE93}"/>
    <cellStyle name="40% - Accent6 4 9" xfId="8831" xr:uid="{9EA9A928-4A9E-4BCD-88E0-0B8E6ADCE00F}"/>
    <cellStyle name="40% - Accent6 5" xfId="658" xr:uid="{00000000-0005-0000-0000-00006E070000}"/>
    <cellStyle name="40% - Accent6 5 2" xfId="2929" xr:uid="{00000000-0005-0000-0000-00006F070000}"/>
    <cellStyle name="40% - Accent6 5 2 2" xfId="7151" xr:uid="{00000000-0005-0000-0000-000070070000}"/>
    <cellStyle name="40% - Accent6 5 2 2 2" xfId="24042" xr:uid="{E0750208-E18F-459A-BAC0-D2DA81F12CB0}"/>
    <cellStyle name="40% - Accent6 5 2 2 3" xfId="15601" xr:uid="{A680170F-FE6C-4C6C-910B-51A607BF9790}"/>
    <cellStyle name="40% - Accent6 5 2 3" xfId="19824" xr:uid="{B26C793F-3656-4939-8D45-002BC9761738}"/>
    <cellStyle name="40% - Accent6 5 2 4" xfId="11383" xr:uid="{06ADB90F-251F-4309-A020-36D7AE5349F5}"/>
    <cellStyle name="40% - Accent6 5 3" xfId="5006" xr:uid="{00000000-0005-0000-0000-000071070000}"/>
    <cellStyle name="40% - Accent6 5 3 2" xfId="21897" xr:uid="{ED4CFA13-AD8F-4DA2-9E5E-50FBE2CDCC33}"/>
    <cellStyle name="40% - Accent6 5 3 3" xfId="13456" xr:uid="{EE7A21C9-0EB0-4BB0-ACFB-F010AEA83B79}"/>
    <cellStyle name="40% - Accent6 5 4" xfId="17679" xr:uid="{B45040F7-5382-40B4-BF4B-18E11C9B8999}"/>
    <cellStyle name="40% - Accent6 5 5" xfId="9238" xr:uid="{D9B55CB8-E510-4A8B-BC3A-730BE9D1DA7E}"/>
    <cellStyle name="40% - Accent6 6" xfId="1111" xr:uid="{00000000-0005-0000-0000-000072070000}"/>
    <cellStyle name="40% - Accent6 6 2" xfId="3342" xr:uid="{00000000-0005-0000-0000-000073070000}"/>
    <cellStyle name="40% - Accent6 6 2 2" xfId="7564" xr:uid="{00000000-0005-0000-0000-000074070000}"/>
    <cellStyle name="40% - Accent6 6 2 2 2" xfId="24455" xr:uid="{48DA6C14-F391-4400-8354-5A80DF1DF79D}"/>
    <cellStyle name="40% - Accent6 6 2 2 3" xfId="16014" xr:uid="{818E5EC4-A8BF-4CEC-9816-85DCC844DA95}"/>
    <cellStyle name="40% - Accent6 6 2 3" xfId="20237" xr:uid="{DF7375BF-91FC-4411-BC91-D804FC4240F2}"/>
    <cellStyle name="40% - Accent6 6 2 4" xfId="11796" xr:uid="{705DB8B3-97F1-4016-853B-06FB53EC4D1E}"/>
    <cellStyle name="40% - Accent6 6 3" xfId="5419" xr:uid="{00000000-0005-0000-0000-000075070000}"/>
    <cellStyle name="40% - Accent6 6 3 2" xfId="22310" xr:uid="{D04D1F4B-7270-498D-A285-2E5EFAC5A52F}"/>
    <cellStyle name="40% - Accent6 6 3 3" xfId="13869" xr:uid="{846BF1C8-572F-4ECC-9BCD-316DC5A57882}"/>
    <cellStyle name="40% - Accent6 6 4" xfId="18092" xr:uid="{4033DDB0-C2A7-4416-8549-28D77BCEAE39}"/>
    <cellStyle name="40% - Accent6 6 5" xfId="9651" xr:uid="{25DA7CCF-D179-4E59-BBB7-C8490DA9A499}"/>
    <cellStyle name="40% - Accent6 7" xfId="1525" xr:uid="{00000000-0005-0000-0000-000076070000}"/>
    <cellStyle name="40% - Accent6 7 2" xfId="3755" xr:uid="{00000000-0005-0000-0000-000077070000}"/>
    <cellStyle name="40% - Accent6 7 2 2" xfId="7977" xr:uid="{00000000-0005-0000-0000-000078070000}"/>
    <cellStyle name="40% - Accent6 7 2 2 2" xfId="24868" xr:uid="{E25B6DD1-9A03-4AF2-95F8-AFCA36D62F77}"/>
    <cellStyle name="40% - Accent6 7 2 2 3" xfId="16427" xr:uid="{9A989CA5-FFEC-413E-BDDF-6E5F53BFC889}"/>
    <cellStyle name="40% - Accent6 7 2 3" xfId="20650" xr:uid="{FF081DEB-8346-4E90-9C70-4123E5688173}"/>
    <cellStyle name="40% - Accent6 7 2 4" xfId="12209" xr:uid="{6F6659D6-15DA-433F-A7A0-8C822278C131}"/>
    <cellStyle name="40% - Accent6 7 3" xfId="5832" xr:uid="{00000000-0005-0000-0000-000079070000}"/>
    <cellStyle name="40% - Accent6 7 3 2" xfId="22723" xr:uid="{E46A0D47-724A-40CC-89CB-0F33881EE220}"/>
    <cellStyle name="40% - Accent6 7 3 3" xfId="14282" xr:uid="{5C2BAD95-A053-46BF-8CA2-06BA08E0B27F}"/>
    <cellStyle name="40% - Accent6 7 4" xfId="18505" xr:uid="{DD4C8D10-DD71-45D7-9073-3AB91EF5B75E}"/>
    <cellStyle name="40% - Accent6 7 5" xfId="10064" xr:uid="{10D71DB0-DDC9-4C52-882E-535551A28348}"/>
    <cellStyle name="40% - Accent6 8" xfId="1939" xr:uid="{00000000-0005-0000-0000-00007A070000}"/>
    <cellStyle name="40% - Accent6 8 2" xfId="4168" xr:uid="{00000000-0005-0000-0000-00007B070000}"/>
    <cellStyle name="40% - Accent6 8 2 2" xfId="8390" xr:uid="{00000000-0005-0000-0000-00007C070000}"/>
    <cellStyle name="40% - Accent6 8 2 2 2" xfId="25281" xr:uid="{A65492AD-46E0-4588-9B57-EFA1C187CC05}"/>
    <cellStyle name="40% - Accent6 8 2 2 3" xfId="16840" xr:uid="{839E186C-9AF0-455B-92E7-6D8FD0EDF1EA}"/>
    <cellStyle name="40% - Accent6 8 2 3" xfId="21063" xr:uid="{E28D1D57-EB66-4FE8-88C9-64EAAB205CC2}"/>
    <cellStyle name="40% - Accent6 8 2 4" xfId="12622" xr:uid="{C6E76F19-7F29-426C-ABF2-D231C7D6E4EF}"/>
    <cellStyle name="40% - Accent6 8 3" xfId="6245" xr:uid="{00000000-0005-0000-0000-00007D070000}"/>
    <cellStyle name="40% - Accent6 8 3 2" xfId="23136" xr:uid="{D0A10080-F048-4A05-957C-DB4DDD62647C}"/>
    <cellStyle name="40% - Accent6 8 3 3" xfId="14695" xr:uid="{1C338EEF-3290-439F-AE62-93D9C061861C}"/>
    <cellStyle name="40% - Accent6 8 4" xfId="18918" xr:uid="{CAFA8A63-7F25-46E0-9D4A-0A6269CA23B3}"/>
    <cellStyle name="40% - Accent6 8 5" xfId="10477" xr:uid="{20926615-3401-4C38-B7D9-9E8D74BF6F21}"/>
    <cellStyle name="40% - Accent6 9" xfId="2352" xr:uid="{00000000-0005-0000-0000-00007E070000}"/>
    <cellStyle name="40% - Accent6 9 2" xfId="6658" xr:uid="{00000000-0005-0000-0000-00007F070000}"/>
    <cellStyle name="40% - Accent6 9 2 2" xfId="23549" xr:uid="{F2EA8035-A0A0-4061-9F2A-715E844F5301}"/>
    <cellStyle name="40% - Accent6 9 2 3" xfId="15108" xr:uid="{99068447-21AB-4835-AA38-5BCF06BD8626}"/>
    <cellStyle name="40% - Accent6 9 3" xfId="19331" xr:uid="{F976EC8F-0F84-4996-949D-BE27366FBC7F}"/>
    <cellStyle name="40% - Accent6 9 4" xfId="10890" xr:uid="{373947BA-CC67-41E8-A250-F48D11558A1C}"/>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0 2 2" xfId="23874" xr:uid="{1AAED01E-818A-4C39-807F-BD423426BD24}"/>
    <cellStyle name="Comma 4 2 2 2 10 2 3" xfId="15433" xr:uid="{88876B54-13C8-46F7-8165-43FC56AE47E0}"/>
    <cellStyle name="Comma 4 2 2 2 10 3" xfId="19656" xr:uid="{1CDF28E5-5BFC-491C-9169-11831EC77303}"/>
    <cellStyle name="Comma 4 2 2 2 10 4" xfId="11215" xr:uid="{B6F925CE-2076-49F9-B2C0-A67C87DFCD68}"/>
    <cellStyle name="Comma 4 2 2 2 11" xfId="4600" xr:uid="{00000000-0005-0000-0000-0000A3070000}"/>
    <cellStyle name="Comma 4 2 2 2 11 2" xfId="21491" xr:uid="{11FD8670-C57F-478B-B294-2922C8CCE2AC}"/>
    <cellStyle name="Comma 4 2 2 2 11 3" xfId="13050" xr:uid="{9E4313C0-AD03-4A24-8AD5-1A556CAD9110}"/>
    <cellStyle name="Comma 4 2 2 2 12" xfId="17273" xr:uid="{67850289-0CC3-4F22-9201-592D66267568}"/>
    <cellStyle name="Comma 4 2 2 2 13" xfId="8832" xr:uid="{5EE0CFD5-326F-4C04-BCC7-C8ADD6EF9841}"/>
    <cellStyle name="Comma 4 2 2 2 2" xfId="129" xr:uid="{00000000-0005-0000-0000-0000A4070000}"/>
    <cellStyle name="Comma 4 2 2 2 2 10" xfId="4601" xr:uid="{00000000-0005-0000-0000-0000A5070000}"/>
    <cellStyle name="Comma 4 2 2 2 2 10 2" xfId="21492" xr:uid="{32D927D0-315F-4302-8911-30E22C3889D5}"/>
    <cellStyle name="Comma 4 2 2 2 2 10 3" xfId="13051" xr:uid="{CEB62839-6D36-4BD9-B15C-321766592246}"/>
    <cellStyle name="Comma 4 2 2 2 2 11" xfId="17274" xr:uid="{8CA4386C-52AB-4B99-948F-138E77C19721}"/>
    <cellStyle name="Comma 4 2 2 2 2 12" xfId="8833" xr:uid="{35479EF9-01D6-4A04-8D7E-A454B0BFDE42}"/>
    <cellStyle name="Comma 4 2 2 2 2 2" xfId="130" xr:uid="{00000000-0005-0000-0000-0000A6070000}"/>
    <cellStyle name="Comma 4 2 2 2 2 2 10" xfId="17275" xr:uid="{C539114D-D59B-4EBE-8AD1-7E869711A30A}"/>
    <cellStyle name="Comma 4 2 2 2 2 2 11" xfId="8834" xr:uid="{ACF4E139-E524-44A6-9765-F146A4B09AC8}"/>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2 2 2" xfId="24052" xr:uid="{1E289EC6-2659-4B08-ACBE-24DC9402D364}"/>
    <cellStyle name="Comma 4 2 2 2 2 2 2 2 2 3" xfId="15611" xr:uid="{14F3AA89-C37E-4E2C-9134-EFC65B47886D}"/>
    <cellStyle name="Comma 4 2 2 2 2 2 2 2 3" xfId="19834" xr:uid="{8FFE6560-BA18-46AA-A257-6FAB6D0638AA}"/>
    <cellStyle name="Comma 4 2 2 2 2 2 2 2 4" xfId="11393" xr:uid="{98FC6600-D650-4C57-8A4D-F7F1819FC422}"/>
    <cellStyle name="Comma 4 2 2 2 2 2 2 3" xfId="5016" xr:uid="{00000000-0005-0000-0000-0000AA070000}"/>
    <cellStyle name="Comma 4 2 2 2 2 2 2 3 2" xfId="21907" xr:uid="{6B8ED8C4-F52E-46A5-9218-BF50EDAD3807}"/>
    <cellStyle name="Comma 4 2 2 2 2 2 2 3 3" xfId="13466" xr:uid="{061F05CB-2C9F-42F7-A12C-1B505DFB5818}"/>
    <cellStyle name="Comma 4 2 2 2 2 2 2 4" xfId="17689" xr:uid="{DE51B7AE-952E-4571-9431-9D5BDC179E7A}"/>
    <cellStyle name="Comma 4 2 2 2 2 2 2 5" xfId="9248" xr:uid="{5C141E2F-E144-4BF1-88F3-03F674FDA49E}"/>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2 2 2" xfId="24465" xr:uid="{A3C32054-359D-4102-8305-DB8994EC6C30}"/>
    <cellStyle name="Comma 4 2 2 2 2 2 3 2 2 3" xfId="16024" xr:uid="{7E9B7FC3-C6DD-4A8D-BF96-B24BAE87689B}"/>
    <cellStyle name="Comma 4 2 2 2 2 2 3 2 3" xfId="20247" xr:uid="{0B5E070E-9627-4B9A-960D-65F02A8B63E5}"/>
    <cellStyle name="Comma 4 2 2 2 2 2 3 2 4" xfId="11806" xr:uid="{172478FC-FE3C-46EC-A6C1-821B7ECB537D}"/>
    <cellStyle name="Comma 4 2 2 2 2 2 3 3" xfId="5429" xr:uid="{00000000-0005-0000-0000-0000AE070000}"/>
    <cellStyle name="Comma 4 2 2 2 2 2 3 3 2" xfId="22320" xr:uid="{2B7C6D29-B5B0-4EE4-924A-4ABEE63CDA66}"/>
    <cellStyle name="Comma 4 2 2 2 2 2 3 3 3" xfId="13879" xr:uid="{AA94F141-888A-43F3-A88D-A6C358736A46}"/>
    <cellStyle name="Comma 4 2 2 2 2 2 3 4" xfId="18102" xr:uid="{A72D88B0-AFE2-4749-A971-9AB710CACFE8}"/>
    <cellStyle name="Comma 4 2 2 2 2 2 3 5" xfId="9661" xr:uid="{943409C1-D427-401D-B73D-4F7E586CB488}"/>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2 2 2" xfId="24878" xr:uid="{8A17C7D7-E4E9-416B-A142-2D6C7BA92741}"/>
    <cellStyle name="Comma 4 2 2 2 2 2 4 2 2 3" xfId="16437" xr:uid="{BAB1A799-ECE5-45B4-8521-A7BD8DAF08AA}"/>
    <cellStyle name="Comma 4 2 2 2 2 2 4 2 3" xfId="20660" xr:uid="{9BCA8432-7A55-4468-AE94-B3284FF8DABA}"/>
    <cellStyle name="Comma 4 2 2 2 2 2 4 2 4" xfId="12219" xr:uid="{CC88EE8E-A6B8-42BF-A9FB-4DBF7564612A}"/>
    <cellStyle name="Comma 4 2 2 2 2 2 4 3" xfId="5842" xr:uid="{00000000-0005-0000-0000-0000B2070000}"/>
    <cellStyle name="Comma 4 2 2 2 2 2 4 3 2" xfId="22733" xr:uid="{87009F6D-D181-4369-905A-87B9DA62328C}"/>
    <cellStyle name="Comma 4 2 2 2 2 2 4 3 3" xfId="14292" xr:uid="{8E792505-BEEB-4436-80B3-0AF7D79BE14F}"/>
    <cellStyle name="Comma 4 2 2 2 2 2 4 4" xfId="18515" xr:uid="{038C99E4-DBC4-4015-BDAE-A3C9D88FE984}"/>
    <cellStyle name="Comma 4 2 2 2 2 2 4 5" xfId="10074" xr:uid="{DF4C822A-5B58-4C18-9F2C-A61BC7F42C4F}"/>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2 2 2" xfId="25291" xr:uid="{5DEDCC59-E772-49B9-8A58-63A388BD178E}"/>
    <cellStyle name="Comma 4 2 2 2 2 2 5 2 2 3" xfId="16850" xr:uid="{348CD9B8-CD6A-4C8C-B701-0A9FA7710FBA}"/>
    <cellStyle name="Comma 4 2 2 2 2 2 5 2 3" xfId="21073" xr:uid="{C008342C-E2FF-4858-87AA-F553AA29E574}"/>
    <cellStyle name="Comma 4 2 2 2 2 2 5 2 4" xfId="12632" xr:uid="{1E78BDDF-ED87-47A5-99AF-E4FB325BE99E}"/>
    <cellStyle name="Comma 4 2 2 2 2 2 5 3" xfId="6255" xr:uid="{00000000-0005-0000-0000-0000B6070000}"/>
    <cellStyle name="Comma 4 2 2 2 2 2 5 3 2" xfId="23146" xr:uid="{082767B8-FDF5-44E4-8026-578586AA2D05}"/>
    <cellStyle name="Comma 4 2 2 2 2 2 5 3 3" xfId="14705" xr:uid="{25E900B5-7B26-41FA-80F5-FC8C114576B3}"/>
    <cellStyle name="Comma 4 2 2 2 2 2 5 4" xfId="18928" xr:uid="{010E10F6-1897-4ED6-AFF4-CEBBF6719CAA}"/>
    <cellStyle name="Comma 4 2 2 2 2 2 5 5" xfId="10487" xr:uid="{99337918-3874-48CF-A3E6-1A9391A0BAD8}"/>
    <cellStyle name="Comma 4 2 2 2 2 2 6" xfId="2384" xr:uid="{00000000-0005-0000-0000-0000B7070000}"/>
    <cellStyle name="Comma 4 2 2 2 2 2 6 2" xfId="6668" xr:uid="{00000000-0005-0000-0000-0000B8070000}"/>
    <cellStyle name="Comma 4 2 2 2 2 2 6 2 2" xfId="23559" xr:uid="{525D56C9-D592-4C41-BBFE-663F1FA37D77}"/>
    <cellStyle name="Comma 4 2 2 2 2 2 6 2 3" xfId="15118" xr:uid="{949618B8-2DF9-494D-ADB7-DB85120B8EC2}"/>
    <cellStyle name="Comma 4 2 2 2 2 2 6 3" xfId="19341" xr:uid="{AB793321-541A-4B4C-AE51-7AC3091F26C5}"/>
    <cellStyle name="Comma 4 2 2 2 2 2 6 4" xfId="10900" xr:uid="{03DD7042-82FE-45A8-900C-ED35C0E82132}"/>
    <cellStyle name="Comma 4 2 2 2 2 2 7" xfId="2379" xr:uid="{00000000-0005-0000-0000-0000B9070000}"/>
    <cellStyle name="Comma 4 2 2 2 2 2 8" xfId="2762" xr:uid="{00000000-0005-0000-0000-0000BA070000}"/>
    <cellStyle name="Comma 4 2 2 2 2 2 8 2" xfId="6985" xr:uid="{00000000-0005-0000-0000-0000BB070000}"/>
    <cellStyle name="Comma 4 2 2 2 2 2 8 2 2" xfId="23876" xr:uid="{497DE166-C828-4AFC-B5CC-534C7164C637}"/>
    <cellStyle name="Comma 4 2 2 2 2 2 8 2 3" xfId="15435" xr:uid="{57FDEF96-2429-40A3-BCA5-E217D61D3BFF}"/>
    <cellStyle name="Comma 4 2 2 2 2 2 8 3" xfId="19658" xr:uid="{50CEB181-E346-4366-B6FF-45B68B695269}"/>
    <cellStyle name="Comma 4 2 2 2 2 2 8 4" xfId="11217" xr:uid="{58191DA2-CB2F-40E4-9135-3BE560D93C18}"/>
    <cellStyle name="Comma 4 2 2 2 2 2 9" xfId="4602" xr:uid="{00000000-0005-0000-0000-0000BC070000}"/>
    <cellStyle name="Comma 4 2 2 2 2 2 9 2" xfId="21493" xr:uid="{16457B00-5333-4C04-A616-26A3546BC604}"/>
    <cellStyle name="Comma 4 2 2 2 2 2 9 3" xfId="13052" xr:uid="{DC6A8861-A394-491F-A3D1-D5F9B0097CE3}"/>
    <cellStyle name="Comma 4 2 2 2 2 3" xfId="667" xr:uid="{00000000-0005-0000-0000-0000BD070000}"/>
    <cellStyle name="Comma 4 2 2 2 2 3 2" xfId="2938" xr:uid="{00000000-0005-0000-0000-0000BE070000}"/>
    <cellStyle name="Comma 4 2 2 2 2 3 2 2" xfId="7160" xr:uid="{00000000-0005-0000-0000-0000BF070000}"/>
    <cellStyle name="Comma 4 2 2 2 2 3 2 2 2" xfId="24051" xr:uid="{9E4540FB-CA19-4099-88BD-222F2B4FF8D4}"/>
    <cellStyle name="Comma 4 2 2 2 2 3 2 2 3" xfId="15610" xr:uid="{0247F9A8-5641-4386-81CF-DCF1C78046F6}"/>
    <cellStyle name="Comma 4 2 2 2 2 3 2 3" xfId="19833" xr:uid="{39839297-921F-41EC-8D41-B60CD803E5C1}"/>
    <cellStyle name="Comma 4 2 2 2 2 3 2 4" xfId="11392" xr:uid="{9A58B3CB-0CA8-4048-B498-D3E48F7A0BC3}"/>
    <cellStyle name="Comma 4 2 2 2 2 3 3" xfId="5015" xr:uid="{00000000-0005-0000-0000-0000C0070000}"/>
    <cellStyle name="Comma 4 2 2 2 2 3 3 2" xfId="21906" xr:uid="{22EB6C7A-EC43-463D-9E24-B3347DE1D9F2}"/>
    <cellStyle name="Comma 4 2 2 2 2 3 3 3" xfId="13465" xr:uid="{5139E17D-F2E9-435B-B825-B821CE4E6871}"/>
    <cellStyle name="Comma 4 2 2 2 2 3 4" xfId="17688" xr:uid="{E69FDA7D-15C9-4359-86AD-6F695B0F0CD0}"/>
    <cellStyle name="Comma 4 2 2 2 2 3 5" xfId="9247" xr:uid="{D5696BFA-24C4-4D38-A70F-02BDC51E88E9}"/>
    <cellStyle name="Comma 4 2 2 2 2 4" xfId="1120" xr:uid="{00000000-0005-0000-0000-0000C1070000}"/>
    <cellStyle name="Comma 4 2 2 2 2 4 2" xfId="3351" xr:uid="{00000000-0005-0000-0000-0000C2070000}"/>
    <cellStyle name="Comma 4 2 2 2 2 4 2 2" xfId="7573" xr:uid="{00000000-0005-0000-0000-0000C3070000}"/>
    <cellStyle name="Comma 4 2 2 2 2 4 2 2 2" xfId="24464" xr:uid="{F7B41159-DA6B-451B-BE10-F53300660202}"/>
    <cellStyle name="Comma 4 2 2 2 2 4 2 2 3" xfId="16023" xr:uid="{2DBB6D74-B993-4B28-9C8A-B7ABF0B17063}"/>
    <cellStyle name="Comma 4 2 2 2 2 4 2 3" xfId="20246" xr:uid="{1E18AE6F-1165-41E0-9F05-BF3926787883}"/>
    <cellStyle name="Comma 4 2 2 2 2 4 2 4" xfId="11805" xr:uid="{62B89C48-1BFA-4AE2-8E69-510D07D6FC90}"/>
    <cellStyle name="Comma 4 2 2 2 2 4 3" xfId="5428" xr:uid="{00000000-0005-0000-0000-0000C4070000}"/>
    <cellStyle name="Comma 4 2 2 2 2 4 3 2" xfId="22319" xr:uid="{F7375A0A-A62F-487D-B41B-CB8833B519D6}"/>
    <cellStyle name="Comma 4 2 2 2 2 4 3 3" xfId="13878" xr:uid="{F499300B-267F-4520-905F-721CD4C1F024}"/>
    <cellStyle name="Comma 4 2 2 2 2 4 4" xfId="18101" xr:uid="{EF38AF90-7AA6-4599-87EC-ED1EDC63A929}"/>
    <cellStyle name="Comma 4 2 2 2 2 4 5" xfId="9660" xr:uid="{87CB04FE-2A23-4927-BF34-B26074EA9D0A}"/>
    <cellStyle name="Comma 4 2 2 2 2 5" xfId="1534" xr:uid="{00000000-0005-0000-0000-0000C5070000}"/>
    <cellStyle name="Comma 4 2 2 2 2 5 2" xfId="3764" xr:uid="{00000000-0005-0000-0000-0000C6070000}"/>
    <cellStyle name="Comma 4 2 2 2 2 5 2 2" xfId="7986" xr:uid="{00000000-0005-0000-0000-0000C7070000}"/>
    <cellStyle name="Comma 4 2 2 2 2 5 2 2 2" xfId="24877" xr:uid="{1DF4839F-3D29-4F0F-B08D-F6F3FC63525D}"/>
    <cellStyle name="Comma 4 2 2 2 2 5 2 2 3" xfId="16436" xr:uid="{D2A17C65-99D8-4967-B72B-F5E9705DBF37}"/>
    <cellStyle name="Comma 4 2 2 2 2 5 2 3" xfId="20659" xr:uid="{663A1C1C-1BC1-44AB-B286-F3C987A64570}"/>
    <cellStyle name="Comma 4 2 2 2 2 5 2 4" xfId="12218" xr:uid="{7C7E0E5E-420C-44C7-BA51-2009633C05E0}"/>
    <cellStyle name="Comma 4 2 2 2 2 5 3" xfId="5841" xr:uid="{00000000-0005-0000-0000-0000C8070000}"/>
    <cellStyle name="Comma 4 2 2 2 2 5 3 2" xfId="22732" xr:uid="{F7B62B54-3A93-429C-8326-0F4A0AD40862}"/>
    <cellStyle name="Comma 4 2 2 2 2 5 3 3" xfId="14291" xr:uid="{ED39E938-F24B-40E2-9D84-8880C3811AE0}"/>
    <cellStyle name="Comma 4 2 2 2 2 5 4" xfId="18514" xr:uid="{DAC70C1C-BA6A-4A79-90E0-4E6301D514F3}"/>
    <cellStyle name="Comma 4 2 2 2 2 5 5" xfId="10073" xr:uid="{BC3EA5A1-B285-4BF5-BD9E-82267AE64810}"/>
    <cellStyle name="Comma 4 2 2 2 2 6" xfId="1948" xr:uid="{00000000-0005-0000-0000-0000C9070000}"/>
    <cellStyle name="Comma 4 2 2 2 2 6 2" xfId="4177" xr:uid="{00000000-0005-0000-0000-0000CA070000}"/>
    <cellStyle name="Comma 4 2 2 2 2 6 2 2" xfId="8399" xr:uid="{00000000-0005-0000-0000-0000CB070000}"/>
    <cellStyle name="Comma 4 2 2 2 2 6 2 2 2" xfId="25290" xr:uid="{4EF37C86-7FF9-4CAE-86A1-3814750DE396}"/>
    <cellStyle name="Comma 4 2 2 2 2 6 2 2 3" xfId="16849" xr:uid="{BAAC9ADC-7BD3-41C1-8B0D-94D9C6FD43C9}"/>
    <cellStyle name="Comma 4 2 2 2 2 6 2 3" xfId="21072" xr:uid="{9D82A7BF-E0AB-4EB4-9CE7-AB99D9E243C1}"/>
    <cellStyle name="Comma 4 2 2 2 2 6 2 4" xfId="12631" xr:uid="{FC487C02-7388-47C8-82F9-C8EF8D575886}"/>
    <cellStyle name="Comma 4 2 2 2 2 6 3" xfId="6254" xr:uid="{00000000-0005-0000-0000-0000CC070000}"/>
    <cellStyle name="Comma 4 2 2 2 2 6 3 2" xfId="23145" xr:uid="{550CAA70-F7F1-48FB-8A05-4183208E7F87}"/>
    <cellStyle name="Comma 4 2 2 2 2 6 3 3" xfId="14704" xr:uid="{6D28989F-5E81-4BE9-9106-B7762E2BCD07}"/>
    <cellStyle name="Comma 4 2 2 2 2 6 4" xfId="18927" xr:uid="{0CE1B002-1A6B-48E6-9847-800E3F2B728B}"/>
    <cellStyle name="Comma 4 2 2 2 2 6 5" xfId="10486" xr:uid="{B872D9B1-39EF-4781-A857-F7609AD770A6}"/>
    <cellStyle name="Comma 4 2 2 2 2 7" xfId="2383" xr:uid="{00000000-0005-0000-0000-0000CD070000}"/>
    <cellStyle name="Comma 4 2 2 2 2 7 2" xfId="6667" xr:uid="{00000000-0005-0000-0000-0000CE070000}"/>
    <cellStyle name="Comma 4 2 2 2 2 7 2 2" xfId="23558" xr:uid="{22D0106E-7AFD-4D6F-ACD7-D87755647683}"/>
    <cellStyle name="Comma 4 2 2 2 2 7 2 3" xfId="15117" xr:uid="{A1B1DDDB-7238-4F42-AD1A-F9202FBBF726}"/>
    <cellStyle name="Comma 4 2 2 2 2 7 3" xfId="19340" xr:uid="{51CDCB78-2FD4-495C-BF9E-D95D13C9C39E}"/>
    <cellStyle name="Comma 4 2 2 2 2 7 4" xfId="10899" xr:uid="{0796DF7A-E80E-49CD-AC9D-E02EA186C03B}"/>
    <cellStyle name="Comma 4 2 2 2 2 8" xfId="2380" xr:uid="{00000000-0005-0000-0000-0000CF070000}"/>
    <cellStyle name="Comma 4 2 2 2 2 9" xfId="2761" xr:uid="{00000000-0005-0000-0000-0000D0070000}"/>
    <cellStyle name="Comma 4 2 2 2 2 9 2" xfId="6984" xr:uid="{00000000-0005-0000-0000-0000D1070000}"/>
    <cellStyle name="Comma 4 2 2 2 2 9 2 2" xfId="23875" xr:uid="{62EA51D2-1C1F-4F55-AAEC-6CAAD5888050}"/>
    <cellStyle name="Comma 4 2 2 2 2 9 2 3" xfId="15434" xr:uid="{DE18B3B7-6AB1-4AE0-89C0-3A555C97A7F1}"/>
    <cellStyle name="Comma 4 2 2 2 2 9 3" xfId="19657" xr:uid="{0A955141-7028-4F78-9870-6F1280A883F5}"/>
    <cellStyle name="Comma 4 2 2 2 2 9 4" xfId="11216" xr:uid="{17460BDA-31A1-42C7-8A00-634853A20AC0}"/>
    <cellStyle name="Comma 4 2 2 2 3" xfId="131" xr:uid="{00000000-0005-0000-0000-0000D2070000}"/>
    <cellStyle name="Comma 4 2 2 2 3 10" xfId="17276" xr:uid="{754018A2-CF0C-4598-9050-5252135C27DC}"/>
    <cellStyle name="Comma 4 2 2 2 3 11" xfId="8835" xr:uid="{CD1688B7-6292-45D0-A2FE-BFB67E9C4B87}"/>
    <cellStyle name="Comma 4 2 2 2 3 2" xfId="669" xr:uid="{00000000-0005-0000-0000-0000D3070000}"/>
    <cellStyle name="Comma 4 2 2 2 3 2 2" xfId="2940" xr:uid="{00000000-0005-0000-0000-0000D4070000}"/>
    <cellStyle name="Comma 4 2 2 2 3 2 2 2" xfId="7162" xr:uid="{00000000-0005-0000-0000-0000D5070000}"/>
    <cellStyle name="Comma 4 2 2 2 3 2 2 2 2" xfId="24053" xr:uid="{FD07A0D2-CE2D-45DE-A378-A1A25DA7C2EE}"/>
    <cellStyle name="Comma 4 2 2 2 3 2 2 2 3" xfId="15612" xr:uid="{F625891E-B32C-437D-8966-CF361F071BC5}"/>
    <cellStyle name="Comma 4 2 2 2 3 2 2 3" xfId="19835" xr:uid="{A98F1797-CCEF-4AFF-9B2B-22BDAFB809F6}"/>
    <cellStyle name="Comma 4 2 2 2 3 2 2 4" xfId="11394" xr:uid="{797DC6A5-EDD1-46DF-8109-CA750D4B0B91}"/>
    <cellStyle name="Comma 4 2 2 2 3 2 3" xfId="5017" xr:uid="{00000000-0005-0000-0000-0000D6070000}"/>
    <cellStyle name="Comma 4 2 2 2 3 2 3 2" xfId="21908" xr:uid="{72400FC7-FF8A-4EFA-9F3A-1939DE0BBC45}"/>
    <cellStyle name="Comma 4 2 2 2 3 2 3 3" xfId="13467" xr:uid="{56224713-3F8A-4F0A-A24D-1844067A1EC1}"/>
    <cellStyle name="Comma 4 2 2 2 3 2 4" xfId="17690" xr:uid="{435ADCFC-ABF0-4D4B-A7DD-D739D6B28DB4}"/>
    <cellStyle name="Comma 4 2 2 2 3 2 5" xfId="9249" xr:uid="{CD7AD745-617D-4C6F-BDBE-6EF068B6A303}"/>
    <cellStyle name="Comma 4 2 2 2 3 3" xfId="1122" xr:uid="{00000000-0005-0000-0000-0000D7070000}"/>
    <cellStyle name="Comma 4 2 2 2 3 3 2" xfId="3353" xr:uid="{00000000-0005-0000-0000-0000D8070000}"/>
    <cellStyle name="Comma 4 2 2 2 3 3 2 2" xfId="7575" xr:uid="{00000000-0005-0000-0000-0000D9070000}"/>
    <cellStyle name="Comma 4 2 2 2 3 3 2 2 2" xfId="24466" xr:uid="{7B75DA65-EE1E-4E66-A14E-3FD59D6F88D6}"/>
    <cellStyle name="Comma 4 2 2 2 3 3 2 2 3" xfId="16025" xr:uid="{9B4820A3-57CA-4A9D-988C-8A16727150E2}"/>
    <cellStyle name="Comma 4 2 2 2 3 3 2 3" xfId="20248" xr:uid="{E5A05A30-D2C2-4AD1-9805-01822086C8F3}"/>
    <cellStyle name="Comma 4 2 2 2 3 3 2 4" xfId="11807" xr:uid="{BEF12F60-8DFE-4ADA-8B93-CCDC0C3E1079}"/>
    <cellStyle name="Comma 4 2 2 2 3 3 3" xfId="5430" xr:uid="{00000000-0005-0000-0000-0000DA070000}"/>
    <cellStyle name="Comma 4 2 2 2 3 3 3 2" xfId="22321" xr:uid="{C0F99697-7F15-40FF-BDAE-182C81D468F8}"/>
    <cellStyle name="Comma 4 2 2 2 3 3 3 3" xfId="13880" xr:uid="{BBA6D4C1-1A29-4C4C-96A8-7ABEA074199B}"/>
    <cellStyle name="Comma 4 2 2 2 3 3 4" xfId="18103" xr:uid="{15077A38-269B-45D1-B563-B31F65ACB1C9}"/>
    <cellStyle name="Comma 4 2 2 2 3 3 5" xfId="9662" xr:uid="{ADF1FC44-84C1-440C-A21D-C8F336E971DD}"/>
    <cellStyle name="Comma 4 2 2 2 3 4" xfId="1536" xr:uid="{00000000-0005-0000-0000-0000DB070000}"/>
    <cellStyle name="Comma 4 2 2 2 3 4 2" xfId="3766" xr:uid="{00000000-0005-0000-0000-0000DC070000}"/>
    <cellStyle name="Comma 4 2 2 2 3 4 2 2" xfId="7988" xr:uid="{00000000-0005-0000-0000-0000DD070000}"/>
    <cellStyle name="Comma 4 2 2 2 3 4 2 2 2" xfId="24879" xr:uid="{E978004D-F766-49E8-BBC7-82178FD8FEC9}"/>
    <cellStyle name="Comma 4 2 2 2 3 4 2 2 3" xfId="16438" xr:uid="{92F72B3B-5A15-4F66-BEDC-A97AA9505777}"/>
    <cellStyle name="Comma 4 2 2 2 3 4 2 3" xfId="20661" xr:uid="{506540D9-A3E5-4541-9A24-BEE00690152D}"/>
    <cellStyle name="Comma 4 2 2 2 3 4 2 4" xfId="12220" xr:uid="{9D75851E-1A9F-484B-A8D9-56558F64637F}"/>
    <cellStyle name="Comma 4 2 2 2 3 4 3" xfId="5843" xr:uid="{00000000-0005-0000-0000-0000DE070000}"/>
    <cellStyle name="Comma 4 2 2 2 3 4 3 2" xfId="22734" xr:uid="{FF27EA04-90DA-4C42-BE67-0B64D13AF9C9}"/>
    <cellStyle name="Comma 4 2 2 2 3 4 3 3" xfId="14293" xr:uid="{4413AB2A-147C-413A-8CBA-3D56E47FD398}"/>
    <cellStyle name="Comma 4 2 2 2 3 4 4" xfId="18516" xr:uid="{817653B9-163A-46C8-BDE6-2483A5FFBF94}"/>
    <cellStyle name="Comma 4 2 2 2 3 4 5" xfId="10075" xr:uid="{2F8CED6E-C3CB-4DFE-9CB7-6E82690932BE}"/>
    <cellStyle name="Comma 4 2 2 2 3 5" xfId="1950" xr:uid="{00000000-0005-0000-0000-0000DF070000}"/>
    <cellStyle name="Comma 4 2 2 2 3 5 2" xfId="4179" xr:uid="{00000000-0005-0000-0000-0000E0070000}"/>
    <cellStyle name="Comma 4 2 2 2 3 5 2 2" xfId="8401" xr:uid="{00000000-0005-0000-0000-0000E1070000}"/>
    <cellStyle name="Comma 4 2 2 2 3 5 2 2 2" xfId="25292" xr:uid="{9379154A-F63B-4BFE-BC61-E28065A8A092}"/>
    <cellStyle name="Comma 4 2 2 2 3 5 2 2 3" xfId="16851" xr:uid="{DDFB2C04-16CA-4C87-A93D-1EA4CF579F27}"/>
    <cellStyle name="Comma 4 2 2 2 3 5 2 3" xfId="21074" xr:uid="{B087CA4D-A0E0-4824-8AD3-E7D86DD10863}"/>
    <cellStyle name="Comma 4 2 2 2 3 5 2 4" xfId="12633" xr:uid="{60F47CC2-C63D-414C-A0D6-7BF6D5F8309B}"/>
    <cellStyle name="Comma 4 2 2 2 3 5 3" xfId="6256" xr:uid="{00000000-0005-0000-0000-0000E2070000}"/>
    <cellStyle name="Comma 4 2 2 2 3 5 3 2" xfId="23147" xr:uid="{0B78A418-CBF7-45CA-94D7-145D1E7FBD9E}"/>
    <cellStyle name="Comma 4 2 2 2 3 5 3 3" xfId="14706" xr:uid="{A8FCB062-38C8-4137-BE67-E7AB9162694F}"/>
    <cellStyle name="Comma 4 2 2 2 3 5 4" xfId="18929" xr:uid="{69743C9A-D918-4CEA-BF65-080FF1A3631A}"/>
    <cellStyle name="Comma 4 2 2 2 3 5 5" xfId="10488" xr:uid="{646A7097-DB89-453E-B726-ED636EA049D8}"/>
    <cellStyle name="Comma 4 2 2 2 3 6" xfId="2385" xr:uid="{00000000-0005-0000-0000-0000E3070000}"/>
    <cellStyle name="Comma 4 2 2 2 3 6 2" xfId="6669" xr:uid="{00000000-0005-0000-0000-0000E4070000}"/>
    <cellStyle name="Comma 4 2 2 2 3 6 2 2" xfId="23560" xr:uid="{C368DFB0-38B2-4252-97FA-54B93C25A9C8}"/>
    <cellStyle name="Comma 4 2 2 2 3 6 2 3" xfId="15119" xr:uid="{A4818A52-EAF1-4149-A94E-11D89620128C}"/>
    <cellStyle name="Comma 4 2 2 2 3 6 3" xfId="19342" xr:uid="{31E34FA0-12A1-4543-AC33-81FBE0B8B5D4}"/>
    <cellStyle name="Comma 4 2 2 2 3 6 4" xfId="10901" xr:uid="{558A53DA-9825-4D74-B3AE-0D3F5541368E}"/>
    <cellStyle name="Comma 4 2 2 2 3 7" xfId="2378" xr:uid="{00000000-0005-0000-0000-0000E5070000}"/>
    <cellStyle name="Comma 4 2 2 2 3 8" xfId="2763" xr:uid="{00000000-0005-0000-0000-0000E6070000}"/>
    <cellStyle name="Comma 4 2 2 2 3 8 2" xfId="6986" xr:uid="{00000000-0005-0000-0000-0000E7070000}"/>
    <cellStyle name="Comma 4 2 2 2 3 8 2 2" xfId="23877" xr:uid="{80AED935-0373-4B59-BB80-4ED0F0C3CFD0}"/>
    <cellStyle name="Comma 4 2 2 2 3 8 2 3" xfId="15436" xr:uid="{1FAE2C6F-7283-4D3F-B533-9C761F25CFF7}"/>
    <cellStyle name="Comma 4 2 2 2 3 8 3" xfId="19659" xr:uid="{3DDCD34A-9F96-4FD1-B3CF-0CB02D8CE6A6}"/>
    <cellStyle name="Comma 4 2 2 2 3 8 4" xfId="11218" xr:uid="{7E1A21BF-6DC7-459C-A078-5D07306939D5}"/>
    <cellStyle name="Comma 4 2 2 2 3 9" xfId="4603" xr:uid="{00000000-0005-0000-0000-0000E8070000}"/>
    <cellStyle name="Comma 4 2 2 2 3 9 2" xfId="21494" xr:uid="{0DC4F866-E886-4D4F-AFFB-99E618299B28}"/>
    <cellStyle name="Comma 4 2 2 2 3 9 3" xfId="13053" xr:uid="{4240889D-21A2-4453-85C4-69E62CC41335}"/>
    <cellStyle name="Comma 4 2 2 2 4" xfId="666" xr:uid="{00000000-0005-0000-0000-0000E9070000}"/>
    <cellStyle name="Comma 4 2 2 2 4 2" xfId="2937" xr:uid="{00000000-0005-0000-0000-0000EA070000}"/>
    <cellStyle name="Comma 4 2 2 2 4 2 2" xfId="7159" xr:uid="{00000000-0005-0000-0000-0000EB070000}"/>
    <cellStyle name="Comma 4 2 2 2 4 2 2 2" xfId="24050" xr:uid="{4A172692-5204-4391-B21F-B66D712A0B29}"/>
    <cellStyle name="Comma 4 2 2 2 4 2 2 3" xfId="15609" xr:uid="{1EC082CB-7D91-49B5-B365-DF754DA5D1D0}"/>
    <cellStyle name="Comma 4 2 2 2 4 2 3" xfId="19832" xr:uid="{2CA556E3-E81B-4DFA-9E8B-B84A7E75606B}"/>
    <cellStyle name="Comma 4 2 2 2 4 2 4" xfId="11391" xr:uid="{A834C679-3BBB-4627-9B5E-37A6FE9B1FD9}"/>
    <cellStyle name="Comma 4 2 2 2 4 3" xfId="5014" xr:uid="{00000000-0005-0000-0000-0000EC070000}"/>
    <cellStyle name="Comma 4 2 2 2 4 3 2" xfId="21905" xr:uid="{9B3C0EB6-564E-4E73-9D6E-7D8FE94DDDCA}"/>
    <cellStyle name="Comma 4 2 2 2 4 3 3" xfId="13464" xr:uid="{C7B1D901-E90D-4C1A-8045-41E78F532B66}"/>
    <cellStyle name="Comma 4 2 2 2 4 4" xfId="17687" xr:uid="{21FCDA49-F546-4DEF-A4A1-5492A8A53BD2}"/>
    <cellStyle name="Comma 4 2 2 2 4 5" xfId="9246" xr:uid="{DF131327-F5E5-4DA1-8E3A-BF866ABD2FCB}"/>
    <cellStyle name="Comma 4 2 2 2 5" xfId="1119" xr:uid="{00000000-0005-0000-0000-0000ED070000}"/>
    <cellStyle name="Comma 4 2 2 2 5 2" xfId="3350" xr:uid="{00000000-0005-0000-0000-0000EE070000}"/>
    <cellStyle name="Comma 4 2 2 2 5 2 2" xfId="7572" xr:uid="{00000000-0005-0000-0000-0000EF070000}"/>
    <cellStyle name="Comma 4 2 2 2 5 2 2 2" xfId="24463" xr:uid="{8BA78391-C4A9-4139-A30C-7AE118C1AF0D}"/>
    <cellStyle name="Comma 4 2 2 2 5 2 2 3" xfId="16022" xr:uid="{973B8B48-190E-40BD-9063-BB8671A102A5}"/>
    <cellStyle name="Comma 4 2 2 2 5 2 3" xfId="20245" xr:uid="{FBD226CA-378C-428F-A356-C5B7629F93F4}"/>
    <cellStyle name="Comma 4 2 2 2 5 2 4" xfId="11804" xr:uid="{3F51EB94-AFFE-4397-A456-0214F20C4984}"/>
    <cellStyle name="Comma 4 2 2 2 5 3" xfId="5427" xr:uid="{00000000-0005-0000-0000-0000F0070000}"/>
    <cellStyle name="Comma 4 2 2 2 5 3 2" xfId="22318" xr:uid="{C38EC86B-9673-4CE0-9C41-21FB5A5E989C}"/>
    <cellStyle name="Comma 4 2 2 2 5 3 3" xfId="13877" xr:uid="{5BF3A059-1569-4030-9B79-A5D700E2474E}"/>
    <cellStyle name="Comma 4 2 2 2 5 4" xfId="18100" xr:uid="{BB1DBBD7-A0D0-41B9-82DE-D67EAC3DAC99}"/>
    <cellStyle name="Comma 4 2 2 2 5 5" xfId="9659" xr:uid="{ABAE66D2-173D-44DF-89C8-A8F839E468FA}"/>
    <cellStyle name="Comma 4 2 2 2 6" xfId="1533" xr:uid="{00000000-0005-0000-0000-0000F1070000}"/>
    <cellStyle name="Comma 4 2 2 2 6 2" xfId="3763" xr:uid="{00000000-0005-0000-0000-0000F2070000}"/>
    <cellStyle name="Comma 4 2 2 2 6 2 2" xfId="7985" xr:uid="{00000000-0005-0000-0000-0000F3070000}"/>
    <cellStyle name="Comma 4 2 2 2 6 2 2 2" xfId="24876" xr:uid="{892D535D-2DAF-4BA1-9AE3-F70AFFCD1BFE}"/>
    <cellStyle name="Comma 4 2 2 2 6 2 2 3" xfId="16435" xr:uid="{AE215A3A-5BCC-4971-93F7-59A85A3D9E92}"/>
    <cellStyle name="Comma 4 2 2 2 6 2 3" xfId="20658" xr:uid="{E10E6A3A-310D-4378-8D66-2A39AE8FE2D8}"/>
    <cellStyle name="Comma 4 2 2 2 6 2 4" xfId="12217" xr:uid="{428F4B0E-BE7D-4DC0-A1E5-213C2B06A7C3}"/>
    <cellStyle name="Comma 4 2 2 2 6 3" xfId="5840" xr:uid="{00000000-0005-0000-0000-0000F4070000}"/>
    <cellStyle name="Comma 4 2 2 2 6 3 2" xfId="22731" xr:uid="{71C0422D-80E3-463B-BC2C-242B5EB9471F}"/>
    <cellStyle name="Comma 4 2 2 2 6 3 3" xfId="14290" xr:uid="{6899D5CB-E97D-486B-87F4-295CD59812CA}"/>
    <cellStyle name="Comma 4 2 2 2 6 4" xfId="18513" xr:uid="{A149EEFE-225C-4CAB-B9FF-EC825494A1E7}"/>
    <cellStyle name="Comma 4 2 2 2 6 5" xfId="10072" xr:uid="{76E63540-53A4-4994-9AB5-4AEBC22774FD}"/>
    <cellStyle name="Comma 4 2 2 2 7" xfId="1947" xr:uid="{00000000-0005-0000-0000-0000F5070000}"/>
    <cellStyle name="Comma 4 2 2 2 7 2" xfId="4176" xr:uid="{00000000-0005-0000-0000-0000F6070000}"/>
    <cellStyle name="Comma 4 2 2 2 7 2 2" xfId="8398" xr:uid="{00000000-0005-0000-0000-0000F7070000}"/>
    <cellStyle name="Comma 4 2 2 2 7 2 2 2" xfId="25289" xr:uid="{4ECFEFF0-8D68-4EF2-A533-153EB218928F}"/>
    <cellStyle name="Comma 4 2 2 2 7 2 2 3" xfId="16848" xr:uid="{4244C43E-162E-435D-A174-AB646C57A8FD}"/>
    <cellStyle name="Comma 4 2 2 2 7 2 3" xfId="21071" xr:uid="{F484EFBE-989C-4F91-8A6C-53296F69F2ED}"/>
    <cellStyle name="Comma 4 2 2 2 7 2 4" xfId="12630" xr:uid="{E6D379A5-ADCA-44E3-B377-1594F294327D}"/>
    <cellStyle name="Comma 4 2 2 2 7 3" xfId="6253" xr:uid="{00000000-0005-0000-0000-0000F8070000}"/>
    <cellStyle name="Comma 4 2 2 2 7 3 2" xfId="23144" xr:uid="{A2AC8792-5C6D-4D21-BB79-2A5FC0E4A62A}"/>
    <cellStyle name="Comma 4 2 2 2 7 3 3" xfId="14703" xr:uid="{CBB7B19D-AE15-451D-8EF5-CE328348D5A6}"/>
    <cellStyle name="Comma 4 2 2 2 7 4" xfId="18926" xr:uid="{87C89AE4-C51B-4133-9F14-9362D2C527EF}"/>
    <cellStyle name="Comma 4 2 2 2 7 5" xfId="10485" xr:uid="{E4514A04-0BF2-4400-BE96-7F356B90B83D}"/>
    <cellStyle name="Comma 4 2 2 2 8" xfId="2382" xr:uid="{00000000-0005-0000-0000-0000F9070000}"/>
    <cellStyle name="Comma 4 2 2 2 8 2" xfId="6666" xr:uid="{00000000-0005-0000-0000-0000FA070000}"/>
    <cellStyle name="Comma 4 2 2 2 8 2 2" xfId="23557" xr:uid="{9FB35998-B35A-47CF-9E0F-D7167EC5BA6E}"/>
    <cellStyle name="Comma 4 2 2 2 8 2 3" xfId="15116" xr:uid="{B14CE4E9-8FF0-4BF0-B690-07E5989934AA}"/>
    <cellStyle name="Comma 4 2 2 2 8 3" xfId="19339" xr:uid="{1F4A4733-C63E-4B12-B093-9540F80C21DB}"/>
    <cellStyle name="Comma 4 2 2 2 8 4" xfId="10898" xr:uid="{19E73594-5D24-4B5C-996F-1747AF994C90}"/>
    <cellStyle name="Comma 4 2 2 2 9" xfId="2381" xr:uid="{00000000-0005-0000-0000-0000FB070000}"/>
    <cellStyle name="Comma 4 2 2 3" xfId="132" xr:uid="{00000000-0005-0000-0000-0000FC070000}"/>
    <cellStyle name="Comma 4 2 2 3 10" xfId="4604" xr:uid="{00000000-0005-0000-0000-0000FD070000}"/>
    <cellStyle name="Comma 4 2 2 3 10 2" xfId="21495" xr:uid="{173D2C78-3160-41EE-8B8D-4A41A16F4F31}"/>
    <cellStyle name="Comma 4 2 2 3 10 3" xfId="13054" xr:uid="{D7295B85-FFE7-45C3-914C-48646113BA3A}"/>
    <cellStyle name="Comma 4 2 2 3 11" xfId="17277" xr:uid="{55C5320A-E24B-4F91-B727-FFEF6D3B8446}"/>
    <cellStyle name="Comma 4 2 2 3 12" xfId="8836" xr:uid="{EFB97E29-A5E6-4132-A2E8-FB2B85F1A9A9}"/>
    <cellStyle name="Comma 4 2 2 3 2" xfId="133" xr:uid="{00000000-0005-0000-0000-0000FE070000}"/>
    <cellStyle name="Comma 4 2 2 3 2 10" xfId="17278" xr:uid="{456E1F50-9992-400D-8480-8CFC9699D400}"/>
    <cellStyle name="Comma 4 2 2 3 2 11" xfId="8837" xr:uid="{59F16B25-F2F0-4335-8BB8-C490D26BD917}"/>
    <cellStyle name="Comma 4 2 2 3 2 2" xfId="671" xr:uid="{00000000-0005-0000-0000-0000FF070000}"/>
    <cellStyle name="Comma 4 2 2 3 2 2 2" xfId="2942" xr:uid="{00000000-0005-0000-0000-000000080000}"/>
    <cellStyle name="Comma 4 2 2 3 2 2 2 2" xfId="7164" xr:uid="{00000000-0005-0000-0000-000001080000}"/>
    <cellStyle name="Comma 4 2 2 3 2 2 2 2 2" xfId="24055" xr:uid="{14DAB289-CFE4-4054-A956-755F2A3B7EDA}"/>
    <cellStyle name="Comma 4 2 2 3 2 2 2 2 3" xfId="15614" xr:uid="{4D35B7B0-6B0D-416B-A969-3C63C713DDB7}"/>
    <cellStyle name="Comma 4 2 2 3 2 2 2 3" xfId="19837" xr:uid="{7069B41F-D3CA-42A0-9147-38B69D06C33F}"/>
    <cellStyle name="Comma 4 2 2 3 2 2 2 4" xfId="11396" xr:uid="{091DE6B5-C64D-4BA8-8C21-D55CE63DBA35}"/>
    <cellStyle name="Comma 4 2 2 3 2 2 3" xfId="5019" xr:uid="{00000000-0005-0000-0000-000002080000}"/>
    <cellStyle name="Comma 4 2 2 3 2 2 3 2" xfId="21910" xr:uid="{1D2F9349-88A0-4E45-B075-8A07EF8D9C36}"/>
    <cellStyle name="Comma 4 2 2 3 2 2 3 3" xfId="13469" xr:uid="{56B80F1C-F87B-4D3A-9437-6D5AB065C721}"/>
    <cellStyle name="Comma 4 2 2 3 2 2 4" xfId="17692" xr:uid="{B97C5CDC-534F-4D42-BE00-3EFD22D2EF66}"/>
    <cellStyle name="Comma 4 2 2 3 2 2 5" xfId="9251" xr:uid="{BDF03E10-ED14-4D6D-B1F5-502F1F148855}"/>
    <cellStyle name="Comma 4 2 2 3 2 3" xfId="1124" xr:uid="{00000000-0005-0000-0000-000003080000}"/>
    <cellStyle name="Comma 4 2 2 3 2 3 2" xfId="3355" xr:uid="{00000000-0005-0000-0000-000004080000}"/>
    <cellStyle name="Comma 4 2 2 3 2 3 2 2" xfId="7577" xr:uid="{00000000-0005-0000-0000-000005080000}"/>
    <cellStyle name="Comma 4 2 2 3 2 3 2 2 2" xfId="24468" xr:uid="{249DBFDA-3522-4247-9F48-2A7F2EF0BE48}"/>
    <cellStyle name="Comma 4 2 2 3 2 3 2 2 3" xfId="16027" xr:uid="{DEEB6FCD-249D-4125-8D47-F27BFFC24836}"/>
    <cellStyle name="Comma 4 2 2 3 2 3 2 3" xfId="20250" xr:uid="{77F1D9F6-A54F-4BB9-802A-C1D4C49EAE8E}"/>
    <cellStyle name="Comma 4 2 2 3 2 3 2 4" xfId="11809" xr:uid="{9014CD7D-E840-4092-9BCD-D3B6C83FD292}"/>
    <cellStyle name="Comma 4 2 2 3 2 3 3" xfId="5432" xr:uid="{00000000-0005-0000-0000-000006080000}"/>
    <cellStyle name="Comma 4 2 2 3 2 3 3 2" xfId="22323" xr:uid="{656135B8-1CBF-4748-AED7-A7B2B0EDD421}"/>
    <cellStyle name="Comma 4 2 2 3 2 3 3 3" xfId="13882" xr:uid="{CB2111DC-4CC7-4CAC-9975-6805F401CB0E}"/>
    <cellStyle name="Comma 4 2 2 3 2 3 4" xfId="18105" xr:uid="{3625C6D7-EB69-448A-B06E-00042C750342}"/>
    <cellStyle name="Comma 4 2 2 3 2 3 5" xfId="9664" xr:uid="{A6A8BF6A-0910-452A-807E-7B37130E152A}"/>
    <cellStyle name="Comma 4 2 2 3 2 4" xfId="1538" xr:uid="{00000000-0005-0000-0000-000007080000}"/>
    <cellStyle name="Comma 4 2 2 3 2 4 2" xfId="3768" xr:uid="{00000000-0005-0000-0000-000008080000}"/>
    <cellStyle name="Comma 4 2 2 3 2 4 2 2" xfId="7990" xr:uid="{00000000-0005-0000-0000-000009080000}"/>
    <cellStyle name="Comma 4 2 2 3 2 4 2 2 2" xfId="24881" xr:uid="{B1BE4C0C-93E9-4869-B042-C5577AF1B904}"/>
    <cellStyle name="Comma 4 2 2 3 2 4 2 2 3" xfId="16440" xr:uid="{A1532DAC-C1FF-4FFE-9B6B-234D329B02F0}"/>
    <cellStyle name="Comma 4 2 2 3 2 4 2 3" xfId="20663" xr:uid="{8EA0B1CB-1436-4647-B3FC-B89A38799462}"/>
    <cellStyle name="Comma 4 2 2 3 2 4 2 4" xfId="12222" xr:uid="{2E815F1C-4DB8-4CFA-901C-C637738409B8}"/>
    <cellStyle name="Comma 4 2 2 3 2 4 3" xfId="5845" xr:uid="{00000000-0005-0000-0000-00000A080000}"/>
    <cellStyle name="Comma 4 2 2 3 2 4 3 2" xfId="22736" xr:uid="{59C8C374-E94E-4720-853B-EE3624DBFA47}"/>
    <cellStyle name="Comma 4 2 2 3 2 4 3 3" xfId="14295" xr:uid="{B3B677C2-4584-4714-ADCE-9EFAA641EE64}"/>
    <cellStyle name="Comma 4 2 2 3 2 4 4" xfId="18518" xr:uid="{2FC41478-56FD-439D-AF08-E1E721BE6B3B}"/>
    <cellStyle name="Comma 4 2 2 3 2 4 5" xfId="10077" xr:uid="{006783E2-CD4E-46DC-947B-C6862BB91431}"/>
    <cellStyle name="Comma 4 2 2 3 2 5" xfId="1952" xr:uid="{00000000-0005-0000-0000-00000B080000}"/>
    <cellStyle name="Comma 4 2 2 3 2 5 2" xfId="4181" xr:uid="{00000000-0005-0000-0000-00000C080000}"/>
    <cellStyle name="Comma 4 2 2 3 2 5 2 2" xfId="8403" xr:uid="{00000000-0005-0000-0000-00000D080000}"/>
    <cellStyle name="Comma 4 2 2 3 2 5 2 2 2" xfId="25294" xr:uid="{FED68C02-B398-4780-B4CF-F8A9304345D3}"/>
    <cellStyle name="Comma 4 2 2 3 2 5 2 2 3" xfId="16853" xr:uid="{22EF1DEA-E9BB-483D-864F-1DD393BD0560}"/>
    <cellStyle name="Comma 4 2 2 3 2 5 2 3" xfId="21076" xr:uid="{19114B86-BE40-417A-BAAA-2FBDA3661C07}"/>
    <cellStyle name="Comma 4 2 2 3 2 5 2 4" xfId="12635" xr:uid="{C4CB5324-C559-4E36-ABE4-EA3E7B0A4EA3}"/>
    <cellStyle name="Comma 4 2 2 3 2 5 3" xfId="6258" xr:uid="{00000000-0005-0000-0000-00000E080000}"/>
    <cellStyle name="Comma 4 2 2 3 2 5 3 2" xfId="23149" xr:uid="{ACFA5ED7-CDA6-485B-909A-9F8981F27324}"/>
    <cellStyle name="Comma 4 2 2 3 2 5 3 3" xfId="14708" xr:uid="{2A2F065D-ED37-4447-9504-DE32F8AF2B10}"/>
    <cellStyle name="Comma 4 2 2 3 2 5 4" xfId="18931" xr:uid="{13AFA9D7-4842-40D8-9CBE-779F36491A9D}"/>
    <cellStyle name="Comma 4 2 2 3 2 5 5" xfId="10490" xr:uid="{79E1FFAF-BC41-4C64-A187-770ACDD8ED58}"/>
    <cellStyle name="Comma 4 2 2 3 2 6" xfId="2387" xr:uid="{00000000-0005-0000-0000-00000F080000}"/>
    <cellStyle name="Comma 4 2 2 3 2 6 2" xfId="6671" xr:uid="{00000000-0005-0000-0000-000010080000}"/>
    <cellStyle name="Comma 4 2 2 3 2 6 2 2" xfId="23562" xr:uid="{F9C9AC74-936D-41EC-9B4D-D6A4D355B2DE}"/>
    <cellStyle name="Comma 4 2 2 3 2 6 2 3" xfId="15121" xr:uid="{1D473991-388A-44FE-9710-7EBD74B18EA5}"/>
    <cellStyle name="Comma 4 2 2 3 2 6 3" xfId="19344" xr:uid="{0E5D5F58-5CF3-494B-970E-D640BCDFE1BF}"/>
    <cellStyle name="Comma 4 2 2 3 2 6 4" xfId="10903" xr:uid="{6F25FC6A-03D7-4066-962F-49C69B5C0F1F}"/>
    <cellStyle name="Comma 4 2 2 3 2 7" xfId="2376" xr:uid="{00000000-0005-0000-0000-000011080000}"/>
    <cellStyle name="Comma 4 2 2 3 2 8" xfId="2765" xr:uid="{00000000-0005-0000-0000-000012080000}"/>
    <cellStyle name="Comma 4 2 2 3 2 8 2" xfId="6988" xr:uid="{00000000-0005-0000-0000-000013080000}"/>
    <cellStyle name="Comma 4 2 2 3 2 8 2 2" xfId="23879" xr:uid="{D0F5AE3E-F879-42BD-B95D-563F13602F75}"/>
    <cellStyle name="Comma 4 2 2 3 2 8 2 3" xfId="15438" xr:uid="{2AAB81B7-E4BF-4477-B13C-28F493D5BF8E}"/>
    <cellStyle name="Comma 4 2 2 3 2 8 3" xfId="19661" xr:uid="{A021DE37-BFF2-472F-92A8-B104EB792273}"/>
    <cellStyle name="Comma 4 2 2 3 2 8 4" xfId="11220" xr:uid="{3C640876-0497-41DF-9F7F-135E2D57F773}"/>
    <cellStyle name="Comma 4 2 2 3 2 9" xfId="4605" xr:uid="{00000000-0005-0000-0000-000014080000}"/>
    <cellStyle name="Comma 4 2 2 3 2 9 2" xfId="21496" xr:uid="{2FC9E7AE-397B-43AC-B497-8804A4BFA58D}"/>
    <cellStyle name="Comma 4 2 2 3 2 9 3" xfId="13055" xr:uid="{51C55A42-B76A-4295-96AF-76EC149B4257}"/>
    <cellStyle name="Comma 4 2 2 3 3" xfId="670" xr:uid="{00000000-0005-0000-0000-000015080000}"/>
    <cellStyle name="Comma 4 2 2 3 3 2" xfId="2941" xr:uid="{00000000-0005-0000-0000-000016080000}"/>
    <cellStyle name="Comma 4 2 2 3 3 2 2" xfId="7163" xr:uid="{00000000-0005-0000-0000-000017080000}"/>
    <cellStyle name="Comma 4 2 2 3 3 2 2 2" xfId="24054" xr:uid="{B23EC5E7-3BFD-4305-A265-D70FF1A1BB09}"/>
    <cellStyle name="Comma 4 2 2 3 3 2 2 3" xfId="15613" xr:uid="{165F4D69-1BBC-4586-B330-749D1F4B49ED}"/>
    <cellStyle name="Comma 4 2 2 3 3 2 3" xfId="19836" xr:uid="{6B5886DD-0186-4CBA-AD01-2264F5FD9977}"/>
    <cellStyle name="Comma 4 2 2 3 3 2 4" xfId="11395" xr:uid="{B13135DF-0289-4428-939C-8D0AFE68EF13}"/>
    <cellStyle name="Comma 4 2 2 3 3 3" xfId="5018" xr:uid="{00000000-0005-0000-0000-000018080000}"/>
    <cellStyle name="Comma 4 2 2 3 3 3 2" xfId="21909" xr:uid="{B14DC6D1-8FA3-4C6B-9719-326A01BA9199}"/>
    <cellStyle name="Comma 4 2 2 3 3 3 3" xfId="13468" xr:uid="{C757BE89-D6DE-4548-AB5B-91666A4F94CD}"/>
    <cellStyle name="Comma 4 2 2 3 3 4" xfId="17691" xr:uid="{E2E47D40-C6CE-4266-9B70-B184EC8B3A43}"/>
    <cellStyle name="Comma 4 2 2 3 3 5" xfId="9250" xr:uid="{F1EEF93B-F51A-485D-A36A-9ED5AB1E26B0}"/>
    <cellStyle name="Comma 4 2 2 3 4" xfId="1123" xr:uid="{00000000-0005-0000-0000-000019080000}"/>
    <cellStyle name="Comma 4 2 2 3 4 2" xfId="3354" xr:uid="{00000000-0005-0000-0000-00001A080000}"/>
    <cellStyle name="Comma 4 2 2 3 4 2 2" xfId="7576" xr:uid="{00000000-0005-0000-0000-00001B080000}"/>
    <cellStyle name="Comma 4 2 2 3 4 2 2 2" xfId="24467" xr:uid="{37CBA8A6-4E97-413B-BDEF-87D43F3C6031}"/>
    <cellStyle name="Comma 4 2 2 3 4 2 2 3" xfId="16026" xr:uid="{1120EADC-CA89-44C8-98AF-5BB7DF748B6B}"/>
    <cellStyle name="Comma 4 2 2 3 4 2 3" xfId="20249" xr:uid="{9374341E-6DD1-46E9-92D8-1B874F12E404}"/>
    <cellStyle name="Comma 4 2 2 3 4 2 4" xfId="11808" xr:uid="{8CC0A0A4-9265-4AB4-A69E-CC127979C0B1}"/>
    <cellStyle name="Comma 4 2 2 3 4 3" xfId="5431" xr:uid="{00000000-0005-0000-0000-00001C080000}"/>
    <cellStyle name="Comma 4 2 2 3 4 3 2" xfId="22322" xr:uid="{E5ECBA14-CDFE-4377-A95F-A6721F93CD5B}"/>
    <cellStyle name="Comma 4 2 2 3 4 3 3" xfId="13881" xr:uid="{FFFEF5FA-D65D-484D-B6E1-602C002EDB41}"/>
    <cellStyle name="Comma 4 2 2 3 4 4" xfId="18104" xr:uid="{F7905F26-2DA9-4B3D-AD20-9239C9933376}"/>
    <cellStyle name="Comma 4 2 2 3 4 5" xfId="9663" xr:uid="{4B09FD5F-5C2E-41E5-AF0C-501BBF2F1DF7}"/>
    <cellStyle name="Comma 4 2 2 3 5" xfId="1537" xr:uid="{00000000-0005-0000-0000-00001D080000}"/>
    <cellStyle name="Comma 4 2 2 3 5 2" xfId="3767" xr:uid="{00000000-0005-0000-0000-00001E080000}"/>
    <cellStyle name="Comma 4 2 2 3 5 2 2" xfId="7989" xr:uid="{00000000-0005-0000-0000-00001F080000}"/>
    <cellStyle name="Comma 4 2 2 3 5 2 2 2" xfId="24880" xr:uid="{0F9D4695-7496-4AEC-98F8-A9EFE0B55C6F}"/>
    <cellStyle name="Comma 4 2 2 3 5 2 2 3" xfId="16439" xr:uid="{77D0B0D9-B51A-4EF9-82D9-83AA7ED856E2}"/>
    <cellStyle name="Comma 4 2 2 3 5 2 3" xfId="20662" xr:uid="{4D646B31-9E6F-4FCB-B61F-0D3D345B0F1E}"/>
    <cellStyle name="Comma 4 2 2 3 5 2 4" xfId="12221" xr:uid="{B1EDCC1D-FFA5-4160-A53C-13A471A90B72}"/>
    <cellStyle name="Comma 4 2 2 3 5 3" xfId="5844" xr:uid="{00000000-0005-0000-0000-000020080000}"/>
    <cellStyle name="Comma 4 2 2 3 5 3 2" xfId="22735" xr:uid="{BE661C42-354C-4C8D-B53F-9D0966E53688}"/>
    <cellStyle name="Comma 4 2 2 3 5 3 3" xfId="14294" xr:uid="{DC0E361E-AF12-4FCB-B9E9-7174E7C87892}"/>
    <cellStyle name="Comma 4 2 2 3 5 4" xfId="18517" xr:uid="{22AF5B50-C70F-4A3A-A7EE-21D865308054}"/>
    <cellStyle name="Comma 4 2 2 3 5 5" xfId="10076" xr:uid="{932F61A1-88F3-4D10-AF44-490D7514B13E}"/>
    <cellStyle name="Comma 4 2 2 3 6" xfId="1951" xr:uid="{00000000-0005-0000-0000-000021080000}"/>
    <cellStyle name="Comma 4 2 2 3 6 2" xfId="4180" xr:uid="{00000000-0005-0000-0000-000022080000}"/>
    <cellStyle name="Comma 4 2 2 3 6 2 2" xfId="8402" xr:uid="{00000000-0005-0000-0000-000023080000}"/>
    <cellStyle name="Comma 4 2 2 3 6 2 2 2" xfId="25293" xr:uid="{F798535A-1B55-4EF0-AAD8-30744F0D038B}"/>
    <cellStyle name="Comma 4 2 2 3 6 2 2 3" xfId="16852" xr:uid="{61A9983D-C688-4655-AFCD-015DEA1FA7A4}"/>
    <cellStyle name="Comma 4 2 2 3 6 2 3" xfId="21075" xr:uid="{32C77D24-7819-4BFA-AC2B-4085D35B1840}"/>
    <cellStyle name="Comma 4 2 2 3 6 2 4" xfId="12634" xr:uid="{DEC99503-2B6A-47C6-8A3E-0F3ACE692D63}"/>
    <cellStyle name="Comma 4 2 2 3 6 3" xfId="6257" xr:uid="{00000000-0005-0000-0000-000024080000}"/>
    <cellStyle name="Comma 4 2 2 3 6 3 2" xfId="23148" xr:uid="{49CD45B7-5353-46DC-A579-E6431A0E712C}"/>
    <cellStyle name="Comma 4 2 2 3 6 3 3" xfId="14707" xr:uid="{4EFA55EA-71B6-4FDE-BD8C-2F5907D0E250}"/>
    <cellStyle name="Comma 4 2 2 3 6 4" xfId="18930" xr:uid="{A7C18ADC-EBCD-4A81-B51A-2F4E91CA87C8}"/>
    <cellStyle name="Comma 4 2 2 3 6 5" xfId="10489" xr:uid="{8FDD83E8-D91A-47AA-A202-E80DEEFFBAD7}"/>
    <cellStyle name="Comma 4 2 2 3 7" xfId="2386" xr:uid="{00000000-0005-0000-0000-000025080000}"/>
    <cellStyle name="Comma 4 2 2 3 7 2" xfId="6670" xr:uid="{00000000-0005-0000-0000-000026080000}"/>
    <cellStyle name="Comma 4 2 2 3 7 2 2" xfId="23561" xr:uid="{01F2F152-51CB-457E-B801-6EDC19643573}"/>
    <cellStyle name="Comma 4 2 2 3 7 2 3" xfId="15120" xr:uid="{EE2FFE92-47C5-43CD-9477-7A3DF26C47E9}"/>
    <cellStyle name="Comma 4 2 2 3 7 3" xfId="19343" xr:uid="{F5FC5C5D-C946-48BF-9E77-B6F56B2BDB34}"/>
    <cellStyle name="Comma 4 2 2 3 7 4" xfId="10902" xr:uid="{F852642F-54D0-4355-A9C9-82C23E761E7D}"/>
    <cellStyle name="Comma 4 2 2 3 8" xfId="2377" xr:uid="{00000000-0005-0000-0000-000027080000}"/>
    <cellStyle name="Comma 4 2 2 3 9" xfId="2764" xr:uid="{00000000-0005-0000-0000-000028080000}"/>
    <cellStyle name="Comma 4 2 2 3 9 2" xfId="6987" xr:uid="{00000000-0005-0000-0000-000029080000}"/>
    <cellStyle name="Comma 4 2 2 3 9 2 2" xfId="23878" xr:uid="{B2B9AC60-9A55-40F6-AF46-98CEDBC80BB8}"/>
    <cellStyle name="Comma 4 2 2 3 9 2 3" xfId="15437" xr:uid="{DC0B85CF-26DD-4C28-B884-99110BC48A98}"/>
    <cellStyle name="Comma 4 2 2 3 9 3" xfId="19660" xr:uid="{727AC610-0843-4868-A015-37A4576FAE03}"/>
    <cellStyle name="Comma 4 2 2 3 9 4" xfId="11219" xr:uid="{0081356A-42D8-41CF-AB75-E0824238B54A}"/>
    <cellStyle name="Comma 4 2 2 4" xfId="134" xr:uid="{00000000-0005-0000-0000-00002A080000}"/>
    <cellStyle name="Comma 4 2 2 4 10" xfId="17279" xr:uid="{97651B78-E4EB-40A7-8CCF-4F7962D89D14}"/>
    <cellStyle name="Comma 4 2 2 4 11" xfId="8838" xr:uid="{EDEC138B-E757-4B61-BAA0-B3A0F152C158}"/>
    <cellStyle name="Comma 4 2 2 4 2" xfId="672" xr:uid="{00000000-0005-0000-0000-00002B080000}"/>
    <cellStyle name="Comma 4 2 2 4 2 2" xfId="2943" xr:uid="{00000000-0005-0000-0000-00002C080000}"/>
    <cellStyle name="Comma 4 2 2 4 2 2 2" xfId="7165" xr:uid="{00000000-0005-0000-0000-00002D080000}"/>
    <cellStyle name="Comma 4 2 2 4 2 2 2 2" xfId="24056" xr:uid="{1F0AE8C8-B235-4E65-9C9A-BE0AC359EBD1}"/>
    <cellStyle name="Comma 4 2 2 4 2 2 2 3" xfId="15615" xr:uid="{98B373B8-F461-4F26-86D8-3254617D55C5}"/>
    <cellStyle name="Comma 4 2 2 4 2 2 3" xfId="19838" xr:uid="{BA4CB675-6CB6-49B1-BE09-8B4BF4C5A04B}"/>
    <cellStyle name="Comma 4 2 2 4 2 2 4" xfId="11397" xr:uid="{052CBA8E-7F60-477B-8D1B-6242A9E367C9}"/>
    <cellStyle name="Comma 4 2 2 4 2 3" xfId="5020" xr:uid="{00000000-0005-0000-0000-00002E080000}"/>
    <cellStyle name="Comma 4 2 2 4 2 3 2" xfId="21911" xr:uid="{466F63EB-E470-4C8D-8B7D-399B320B9648}"/>
    <cellStyle name="Comma 4 2 2 4 2 3 3" xfId="13470" xr:uid="{051C18E1-3D77-4952-A26F-CA6901E0046D}"/>
    <cellStyle name="Comma 4 2 2 4 2 4" xfId="17693" xr:uid="{EA96C276-8154-4FBB-9056-21514C3D4FCD}"/>
    <cellStyle name="Comma 4 2 2 4 2 5" xfId="9252" xr:uid="{07A64B1F-0D62-4D1C-BE73-72D4C2C3ABA7}"/>
    <cellStyle name="Comma 4 2 2 4 3" xfId="1125" xr:uid="{00000000-0005-0000-0000-00002F080000}"/>
    <cellStyle name="Comma 4 2 2 4 3 2" xfId="3356" xr:uid="{00000000-0005-0000-0000-000030080000}"/>
    <cellStyle name="Comma 4 2 2 4 3 2 2" xfId="7578" xr:uid="{00000000-0005-0000-0000-000031080000}"/>
    <cellStyle name="Comma 4 2 2 4 3 2 2 2" xfId="24469" xr:uid="{8992F250-DC97-47B8-AB52-32C840C02BBB}"/>
    <cellStyle name="Comma 4 2 2 4 3 2 2 3" xfId="16028" xr:uid="{DCA25626-C1AA-418F-A35B-AE28C9FD46F4}"/>
    <cellStyle name="Comma 4 2 2 4 3 2 3" xfId="20251" xr:uid="{ACC0CB05-C885-4994-BAC8-FC349D90A19E}"/>
    <cellStyle name="Comma 4 2 2 4 3 2 4" xfId="11810" xr:uid="{D7272DD0-4A25-404B-AE59-D8927F1EDE4F}"/>
    <cellStyle name="Comma 4 2 2 4 3 3" xfId="5433" xr:uid="{00000000-0005-0000-0000-000032080000}"/>
    <cellStyle name="Comma 4 2 2 4 3 3 2" xfId="22324" xr:uid="{CA7369EC-3FF6-4DA9-94CF-1AED5A115FA7}"/>
    <cellStyle name="Comma 4 2 2 4 3 3 3" xfId="13883" xr:uid="{51D3ABA6-4D66-4873-9B3F-9E52524C04B5}"/>
    <cellStyle name="Comma 4 2 2 4 3 4" xfId="18106" xr:uid="{FC1015B4-E8F4-4DF5-A790-09E435BB3096}"/>
    <cellStyle name="Comma 4 2 2 4 3 5" xfId="9665" xr:uid="{6B6C4C52-6AA8-4BD0-A18A-929EDF860DDD}"/>
    <cellStyle name="Comma 4 2 2 4 4" xfId="1539" xr:uid="{00000000-0005-0000-0000-000033080000}"/>
    <cellStyle name="Comma 4 2 2 4 4 2" xfId="3769" xr:uid="{00000000-0005-0000-0000-000034080000}"/>
    <cellStyle name="Comma 4 2 2 4 4 2 2" xfId="7991" xr:uid="{00000000-0005-0000-0000-000035080000}"/>
    <cellStyle name="Comma 4 2 2 4 4 2 2 2" xfId="24882" xr:uid="{12FC4790-90B5-4138-9844-5093525F29D2}"/>
    <cellStyle name="Comma 4 2 2 4 4 2 2 3" xfId="16441" xr:uid="{D0CD8A7B-391B-4364-B221-A72BFAFC76F4}"/>
    <cellStyle name="Comma 4 2 2 4 4 2 3" xfId="20664" xr:uid="{68577C34-59DD-46A5-85F6-E27F408E65A6}"/>
    <cellStyle name="Comma 4 2 2 4 4 2 4" xfId="12223" xr:uid="{D4CDF8C2-87EB-4A6E-A896-FB5ACC30B6AE}"/>
    <cellStyle name="Comma 4 2 2 4 4 3" xfId="5846" xr:uid="{00000000-0005-0000-0000-000036080000}"/>
    <cellStyle name="Comma 4 2 2 4 4 3 2" xfId="22737" xr:uid="{275EC88F-C06E-4E6F-84F4-94FCBE9AACBA}"/>
    <cellStyle name="Comma 4 2 2 4 4 3 3" xfId="14296" xr:uid="{6122B611-DE15-4E82-BACC-E22A625F6015}"/>
    <cellStyle name="Comma 4 2 2 4 4 4" xfId="18519" xr:uid="{AB7EA596-551E-4DF9-A6FE-B3D2FEDB98F8}"/>
    <cellStyle name="Comma 4 2 2 4 4 5" xfId="10078" xr:uid="{C411EFCD-ED8F-4EF7-8E3B-3C7F14B5EF01}"/>
    <cellStyle name="Comma 4 2 2 4 5" xfId="1953" xr:uid="{00000000-0005-0000-0000-000037080000}"/>
    <cellStyle name="Comma 4 2 2 4 5 2" xfId="4182" xr:uid="{00000000-0005-0000-0000-000038080000}"/>
    <cellStyle name="Comma 4 2 2 4 5 2 2" xfId="8404" xr:uid="{00000000-0005-0000-0000-000039080000}"/>
    <cellStyle name="Comma 4 2 2 4 5 2 2 2" xfId="25295" xr:uid="{44DAAF34-4DA3-4426-B019-29877B0B13EF}"/>
    <cellStyle name="Comma 4 2 2 4 5 2 2 3" xfId="16854" xr:uid="{D585E7D3-38CA-464C-9E6B-50F9BC62323A}"/>
    <cellStyle name="Comma 4 2 2 4 5 2 3" xfId="21077" xr:uid="{9EF66807-9A20-4300-BAE1-ACA60C91EB6E}"/>
    <cellStyle name="Comma 4 2 2 4 5 2 4" xfId="12636" xr:uid="{E54ACC11-07AA-4BCE-B526-2A763FC201AC}"/>
    <cellStyle name="Comma 4 2 2 4 5 3" xfId="6259" xr:uid="{00000000-0005-0000-0000-00003A080000}"/>
    <cellStyle name="Comma 4 2 2 4 5 3 2" xfId="23150" xr:uid="{B1729089-D42A-44CB-B6E1-E5043DE18AC6}"/>
    <cellStyle name="Comma 4 2 2 4 5 3 3" xfId="14709" xr:uid="{39F759D4-8EF1-4A08-A6A2-B40A52C0B01C}"/>
    <cellStyle name="Comma 4 2 2 4 5 4" xfId="18932" xr:uid="{0DB4B88F-47BB-45D1-A5A3-0595BECD618E}"/>
    <cellStyle name="Comma 4 2 2 4 5 5" xfId="10491" xr:uid="{C491EA78-5042-41D2-9E73-B66E1E192100}"/>
    <cellStyle name="Comma 4 2 2 4 6" xfId="2388" xr:uid="{00000000-0005-0000-0000-00003B080000}"/>
    <cellStyle name="Comma 4 2 2 4 6 2" xfId="6672" xr:uid="{00000000-0005-0000-0000-00003C080000}"/>
    <cellStyle name="Comma 4 2 2 4 6 2 2" xfId="23563" xr:uid="{89633FB2-E9E6-4DE6-A452-16D08CF83309}"/>
    <cellStyle name="Comma 4 2 2 4 6 2 3" xfId="15122" xr:uid="{032A4976-DDE6-430F-A30D-2C389566B69C}"/>
    <cellStyle name="Comma 4 2 2 4 6 3" xfId="19345" xr:uid="{0218B3DA-98E5-4CD5-A855-F4B1DBB12052}"/>
    <cellStyle name="Comma 4 2 2 4 6 4" xfId="10904" xr:uid="{A8781D5A-10C0-43AB-BBB9-3B57D1C6194E}"/>
    <cellStyle name="Comma 4 2 2 4 7" xfId="2375" xr:uid="{00000000-0005-0000-0000-00003D080000}"/>
    <cellStyle name="Comma 4 2 2 4 8" xfId="2766" xr:uid="{00000000-0005-0000-0000-00003E080000}"/>
    <cellStyle name="Comma 4 2 2 4 8 2" xfId="6989" xr:uid="{00000000-0005-0000-0000-00003F080000}"/>
    <cellStyle name="Comma 4 2 2 4 8 2 2" xfId="23880" xr:uid="{C44B877D-4543-4457-BE0B-8C375165C205}"/>
    <cellStyle name="Comma 4 2 2 4 8 2 3" xfId="15439" xr:uid="{C1FB7E28-FFE7-404D-B8E2-562C4C3E84B4}"/>
    <cellStyle name="Comma 4 2 2 4 8 3" xfId="19662" xr:uid="{777A894D-62EF-4A04-948C-D37917A88D08}"/>
    <cellStyle name="Comma 4 2 2 4 8 4" xfId="11221" xr:uid="{06351876-3A3C-4722-A5BF-ECCD7E990648}"/>
    <cellStyle name="Comma 4 2 2 4 9" xfId="4606" xr:uid="{00000000-0005-0000-0000-000040080000}"/>
    <cellStyle name="Comma 4 2 2 4 9 2" xfId="21497" xr:uid="{86437F9C-5ECC-4BAE-BDC5-85F0E7C9A0E2}"/>
    <cellStyle name="Comma 4 2 2 4 9 3" xfId="13056" xr:uid="{78642D92-ADD2-43B7-B6EB-B02563B1336A}"/>
    <cellStyle name="Comma 4 2 2 5" xfId="135" xr:uid="{00000000-0005-0000-0000-000041080000}"/>
    <cellStyle name="Comma 4 2 2 5 10" xfId="17280" xr:uid="{7FEDB20E-0055-45D0-B429-97F673D2C46F}"/>
    <cellStyle name="Comma 4 2 2 5 11" xfId="8839" xr:uid="{5BE52DFB-29A7-4AF6-90ED-9326491D5FB8}"/>
    <cellStyle name="Comma 4 2 2 5 2" xfId="673" xr:uid="{00000000-0005-0000-0000-000042080000}"/>
    <cellStyle name="Comma 4 2 2 5 2 2" xfId="2944" xr:uid="{00000000-0005-0000-0000-000043080000}"/>
    <cellStyle name="Comma 4 2 2 5 2 2 2" xfId="7166" xr:uid="{00000000-0005-0000-0000-000044080000}"/>
    <cellStyle name="Comma 4 2 2 5 2 2 2 2" xfId="24057" xr:uid="{B4E8BC21-150C-4578-9BE2-7ABF7FD5A601}"/>
    <cellStyle name="Comma 4 2 2 5 2 2 2 3" xfId="15616" xr:uid="{CF4B8B97-BB0E-4EEE-B342-2FF5292F0191}"/>
    <cellStyle name="Comma 4 2 2 5 2 2 3" xfId="19839" xr:uid="{3D6B68CE-5BE5-40EF-A488-18A32E4B457E}"/>
    <cellStyle name="Comma 4 2 2 5 2 2 4" xfId="11398" xr:uid="{D5ED0231-3800-4ADC-8851-875745E66C56}"/>
    <cellStyle name="Comma 4 2 2 5 2 3" xfId="5021" xr:uid="{00000000-0005-0000-0000-000045080000}"/>
    <cellStyle name="Comma 4 2 2 5 2 3 2" xfId="21912" xr:uid="{E8D71171-2F09-4A79-B226-B430DC3E8D5F}"/>
    <cellStyle name="Comma 4 2 2 5 2 3 3" xfId="13471" xr:uid="{0F268CA0-82CD-4824-8DF8-A068B47836BA}"/>
    <cellStyle name="Comma 4 2 2 5 2 4" xfId="17694" xr:uid="{5572CEE8-91D9-4FC4-8F57-C03C1A8DBB7F}"/>
    <cellStyle name="Comma 4 2 2 5 2 5" xfId="9253" xr:uid="{060F8629-9D3A-422D-BF16-C08AFC98A9FE}"/>
    <cellStyle name="Comma 4 2 2 5 3" xfId="1126" xr:uid="{00000000-0005-0000-0000-000046080000}"/>
    <cellStyle name="Comma 4 2 2 5 3 2" xfId="3357" xr:uid="{00000000-0005-0000-0000-000047080000}"/>
    <cellStyle name="Comma 4 2 2 5 3 2 2" xfId="7579" xr:uid="{00000000-0005-0000-0000-000048080000}"/>
    <cellStyle name="Comma 4 2 2 5 3 2 2 2" xfId="24470" xr:uid="{7573FD79-A70B-496A-82DB-4091B153C28B}"/>
    <cellStyle name="Comma 4 2 2 5 3 2 2 3" xfId="16029" xr:uid="{35F1A4CD-E461-4673-9E34-75F826E15BEA}"/>
    <cellStyle name="Comma 4 2 2 5 3 2 3" xfId="20252" xr:uid="{DBD836E1-9F99-4407-B674-A083F199FA1F}"/>
    <cellStyle name="Comma 4 2 2 5 3 2 4" xfId="11811" xr:uid="{15BC6E98-5518-4AB9-B9A2-EE3415706E92}"/>
    <cellStyle name="Comma 4 2 2 5 3 3" xfId="5434" xr:uid="{00000000-0005-0000-0000-000049080000}"/>
    <cellStyle name="Comma 4 2 2 5 3 3 2" xfId="22325" xr:uid="{55264954-09B9-414E-9A6D-696234E9597D}"/>
    <cellStyle name="Comma 4 2 2 5 3 3 3" xfId="13884" xr:uid="{5F9CD3FD-6F7D-4B1E-91C0-5DC56B24867A}"/>
    <cellStyle name="Comma 4 2 2 5 3 4" xfId="18107" xr:uid="{B315A1B3-68C2-4770-B23F-93D640195224}"/>
    <cellStyle name="Comma 4 2 2 5 3 5" xfId="9666" xr:uid="{BD08CA54-D808-480D-82C6-8EE08455B7DD}"/>
    <cellStyle name="Comma 4 2 2 5 4" xfId="1540" xr:uid="{00000000-0005-0000-0000-00004A080000}"/>
    <cellStyle name="Comma 4 2 2 5 4 2" xfId="3770" xr:uid="{00000000-0005-0000-0000-00004B080000}"/>
    <cellStyle name="Comma 4 2 2 5 4 2 2" xfId="7992" xr:uid="{00000000-0005-0000-0000-00004C080000}"/>
    <cellStyle name="Comma 4 2 2 5 4 2 2 2" xfId="24883" xr:uid="{207D30C1-242E-4A6F-BD5E-71BFD77DB5B8}"/>
    <cellStyle name="Comma 4 2 2 5 4 2 2 3" xfId="16442" xr:uid="{11B74857-8D74-4EE3-AF19-ADCAA8042251}"/>
    <cellStyle name="Comma 4 2 2 5 4 2 3" xfId="20665" xr:uid="{E7C8CF27-4FB6-46E2-8F34-D494B1F867BB}"/>
    <cellStyle name="Comma 4 2 2 5 4 2 4" xfId="12224" xr:uid="{1EE9820A-5D62-449F-B0C0-60874932B3AA}"/>
    <cellStyle name="Comma 4 2 2 5 4 3" xfId="5847" xr:uid="{00000000-0005-0000-0000-00004D080000}"/>
    <cellStyle name="Comma 4 2 2 5 4 3 2" xfId="22738" xr:uid="{F9108B6D-E5B3-478D-8450-C89654A310AE}"/>
    <cellStyle name="Comma 4 2 2 5 4 3 3" xfId="14297" xr:uid="{5F559F57-1B09-41F9-AEBE-9B6B1A6DAB67}"/>
    <cellStyle name="Comma 4 2 2 5 4 4" xfId="18520" xr:uid="{2CF3104C-73AD-46FA-B426-E535A7E49077}"/>
    <cellStyle name="Comma 4 2 2 5 4 5" xfId="10079" xr:uid="{B30CE5A5-E7C5-4D50-A0F8-65C1C0F6B562}"/>
    <cellStyle name="Comma 4 2 2 5 5" xfId="1954" xr:uid="{00000000-0005-0000-0000-00004E080000}"/>
    <cellStyle name="Comma 4 2 2 5 5 2" xfId="4183" xr:uid="{00000000-0005-0000-0000-00004F080000}"/>
    <cellStyle name="Comma 4 2 2 5 5 2 2" xfId="8405" xr:uid="{00000000-0005-0000-0000-000050080000}"/>
    <cellStyle name="Comma 4 2 2 5 5 2 2 2" xfId="25296" xr:uid="{9B0FBCA0-7D92-4930-9349-3942BB22D340}"/>
    <cellStyle name="Comma 4 2 2 5 5 2 2 3" xfId="16855" xr:uid="{312B9A9A-65DE-46DF-93F0-42009A118528}"/>
    <cellStyle name="Comma 4 2 2 5 5 2 3" xfId="21078" xr:uid="{BB493742-A5C0-4561-B8BF-986EBF980D9A}"/>
    <cellStyle name="Comma 4 2 2 5 5 2 4" xfId="12637" xr:uid="{38AB7D57-81A1-4B6D-8AB3-21872195189B}"/>
    <cellStyle name="Comma 4 2 2 5 5 3" xfId="6260" xr:uid="{00000000-0005-0000-0000-000051080000}"/>
    <cellStyle name="Comma 4 2 2 5 5 3 2" xfId="23151" xr:uid="{4DBCAA35-473D-4C06-98E5-DA629B46947F}"/>
    <cellStyle name="Comma 4 2 2 5 5 3 3" xfId="14710" xr:uid="{9FBA537E-293C-4B4F-B910-CA0603D5E695}"/>
    <cellStyle name="Comma 4 2 2 5 5 4" xfId="18933" xr:uid="{0FF986BB-4EF9-479E-8CB8-2916D0052ABD}"/>
    <cellStyle name="Comma 4 2 2 5 5 5" xfId="10492" xr:uid="{5E567BAB-F769-40DD-AF4B-29431DA2E689}"/>
    <cellStyle name="Comma 4 2 2 5 6" xfId="2389" xr:uid="{00000000-0005-0000-0000-000052080000}"/>
    <cellStyle name="Comma 4 2 2 5 6 2" xfId="6673" xr:uid="{00000000-0005-0000-0000-000053080000}"/>
    <cellStyle name="Comma 4 2 2 5 6 2 2" xfId="23564" xr:uid="{88DD016C-40F0-4D5D-9E62-30347CF802A9}"/>
    <cellStyle name="Comma 4 2 2 5 6 2 3" xfId="15123" xr:uid="{452E30C0-858D-4A45-8D5D-0131D8458737}"/>
    <cellStyle name="Comma 4 2 2 5 6 3" xfId="19346" xr:uid="{AC0C0B85-7DDD-40DE-982E-2C631F884D91}"/>
    <cellStyle name="Comma 4 2 2 5 6 4" xfId="10905" xr:uid="{6D5943DE-C9F3-4837-B4A9-57EED5215796}"/>
    <cellStyle name="Comma 4 2 2 5 7" xfId="2374" xr:uid="{00000000-0005-0000-0000-000054080000}"/>
    <cellStyle name="Comma 4 2 2 5 8" xfId="2767" xr:uid="{00000000-0005-0000-0000-000055080000}"/>
    <cellStyle name="Comma 4 2 2 5 8 2" xfId="6990" xr:uid="{00000000-0005-0000-0000-000056080000}"/>
    <cellStyle name="Comma 4 2 2 5 8 2 2" xfId="23881" xr:uid="{285D12E0-A19A-4D41-BE43-57D36A4FAADD}"/>
    <cellStyle name="Comma 4 2 2 5 8 2 3" xfId="15440" xr:uid="{27D49D03-34F6-4D5C-85ED-5482B5D53086}"/>
    <cellStyle name="Comma 4 2 2 5 8 3" xfId="19663" xr:uid="{73AE34B2-17A0-427A-AD58-AA7C0BD8CEAC}"/>
    <cellStyle name="Comma 4 2 2 5 8 4" xfId="11222" xr:uid="{B8168D1B-F619-4DFF-8E31-C5DCA465CDCE}"/>
    <cellStyle name="Comma 4 2 2 5 9" xfId="4607" xr:uid="{00000000-0005-0000-0000-000057080000}"/>
    <cellStyle name="Comma 4 2 2 5 9 2" xfId="21498" xr:uid="{2466DB6B-8196-4956-9487-DB3A18B5A990}"/>
    <cellStyle name="Comma 4 2 2 5 9 3" xfId="13057" xr:uid="{AAB558B5-AE3D-480B-8CBD-5581C33FB301}"/>
    <cellStyle name="Comma 4 2 3" xfId="136" xr:uid="{00000000-0005-0000-0000-000058080000}"/>
    <cellStyle name="Comma 4 2 3 10" xfId="2768" xr:uid="{00000000-0005-0000-0000-000059080000}"/>
    <cellStyle name="Comma 4 2 3 10 2" xfId="6991" xr:uid="{00000000-0005-0000-0000-00005A080000}"/>
    <cellStyle name="Comma 4 2 3 10 2 2" xfId="23882" xr:uid="{DC4CB3C6-9344-4F2A-97B7-F7DCCFDD08E7}"/>
    <cellStyle name="Comma 4 2 3 10 2 3" xfId="15441" xr:uid="{33EEAB6B-4135-4A8B-A3B4-A288CDBCD055}"/>
    <cellStyle name="Comma 4 2 3 10 3" xfId="19664" xr:uid="{D168BDFF-2357-4443-8D07-9989F8FBC1E8}"/>
    <cellStyle name="Comma 4 2 3 10 4" xfId="11223" xr:uid="{5E206874-196E-4CB5-95E2-71BC2FB23BC0}"/>
    <cellStyle name="Comma 4 2 3 11" xfId="4608" xr:uid="{00000000-0005-0000-0000-00005B080000}"/>
    <cellStyle name="Comma 4 2 3 11 2" xfId="21499" xr:uid="{D512B504-E30D-4378-A70F-3E605B544D5C}"/>
    <cellStyle name="Comma 4 2 3 11 3" xfId="13058" xr:uid="{A4D823CF-0569-4B87-8AD0-FBF81AE5AE2F}"/>
    <cellStyle name="Comma 4 2 3 12" xfId="17281" xr:uid="{3158E739-E5DB-4D3D-BB2A-54F67A01F363}"/>
    <cellStyle name="Comma 4 2 3 13" xfId="8840" xr:uid="{8CD6910C-853A-4B89-B0F0-50323E624B10}"/>
    <cellStyle name="Comma 4 2 3 2" xfId="137" xr:uid="{00000000-0005-0000-0000-00005C080000}"/>
    <cellStyle name="Comma 4 2 3 2 10" xfId="4609" xr:uid="{00000000-0005-0000-0000-00005D080000}"/>
    <cellStyle name="Comma 4 2 3 2 10 2" xfId="21500" xr:uid="{1C0C698D-5FCA-4A8D-82C9-FEE094708DCE}"/>
    <cellStyle name="Comma 4 2 3 2 10 3" xfId="13059" xr:uid="{8ACA810F-DD7A-47B5-A04E-1FBCD560110C}"/>
    <cellStyle name="Comma 4 2 3 2 11" xfId="17282" xr:uid="{0699AC34-FFAD-4075-AE65-E8BC1EED72BD}"/>
    <cellStyle name="Comma 4 2 3 2 12" xfId="8841" xr:uid="{D8F5F334-9E9E-481C-9C99-FD8129F6C60B}"/>
    <cellStyle name="Comma 4 2 3 2 2" xfId="138" xr:uid="{00000000-0005-0000-0000-00005E080000}"/>
    <cellStyle name="Comma 4 2 3 2 2 10" xfId="17283" xr:uid="{41AAB8BC-E190-4245-BC9F-771ACA85F935}"/>
    <cellStyle name="Comma 4 2 3 2 2 11" xfId="8842" xr:uid="{84BF4AFF-E00F-43A6-A406-F232DF4D735B}"/>
    <cellStyle name="Comma 4 2 3 2 2 2" xfId="676" xr:uid="{00000000-0005-0000-0000-00005F080000}"/>
    <cellStyle name="Comma 4 2 3 2 2 2 2" xfId="2947" xr:uid="{00000000-0005-0000-0000-000060080000}"/>
    <cellStyle name="Comma 4 2 3 2 2 2 2 2" xfId="7169" xr:uid="{00000000-0005-0000-0000-000061080000}"/>
    <cellStyle name="Comma 4 2 3 2 2 2 2 2 2" xfId="24060" xr:uid="{A97A76A3-B126-4DB8-A723-FEA77A5EEC8C}"/>
    <cellStyle name="Comma 4 2 3 2 2 2 2 2 3" xfId="15619" xr:uid="{B4F355E4-87CB-4AC1-8EFC-A2F2930A3FCA}"/>
    <cellStyle name="Comma 4 2 3 2 2 2 2 3" xfId="19842" xr:uid="{BD985082-7BB7-4C31-9049-113A993825CC}"/>
    <cellStyle name="Comma 4 2 3 2 2 2 2 4" xfId="11401" xr:uid="{FA1D73DA-89BC-4F04-89EC-794FE50C76D0}"/>
    <cellStyle name="Comma 4 2 3 2 2 2 3" xfId="5024" xr:uid="{00000000-0005-0000-0000-000062080000}"/>
    <cellStyle name="Comma 4 2 3 2 2 2 3 2" xfId="21915" xr:uid="{BD035E20-92EA-4F3C-8F9A-F5399EEEE32B}"/>
    <cellStyle name="Comma 4 2 3 2 2 2 3 3" xfId="13474" xr:uid="{B731662C-A0B7-4F72-982A-F72ABCE6983B}"/>
    <cellStyle name="Comma 4 2 3 2 2 2 4" xfId="17697" xr:uid="{4B26C841-9ADF-48BB-BDBE-F9979C8C804D}"/>
    <cellStyle name="Comma 4 2 3 2 2 2 5" xfId="9256" xr:uid="{E69E04B7-5846-4E7B-9D7D-1374CA730FDC}"/>
    <cellStyle name="Comma 4 2 3 2 2 3" xfId="1129" xr:uid="{00000000-0005-0000-0000-000063080000}"/>
    <cellStyle name="Comma 4 2 3 2 2 3 2" xfId="3360" xr:uid="{00000000-0005-0000-0000-000064080000}"/>
    <cellStyle name="Comma 4 2 3 2 2 3 2 2" xfId="7582" xr:uid="{00000000-0005-0000-0000-000065080000}"/>
    <cellStyle name="Comma 4 2 3 2 2 3 2 2 2" xfId="24473" xr:uid="{B50EF798-C7CA-4238-9592-FD46BD0B4C41}"/>
    <cellStyle name="Comma 4 2 3 2 2 3 2 2 3" xfId="16032" xr:uid="{0E692A6B-DB91-42B7-B80D-23EAA96B168F}"/>
    <cellStyle name="Comma 4 2 3 2 2 3 2 3" xfId="20255" xr:uid="{B870D862-8AE2-48A8-87A0-11E813CF43F4}"/>
    <cellStyle name="Comma 4 2 3 2 2 3 2 4" xfId="11814" xr:uid="{8A42C068-F2E5-49E5-8386-47D2A0BF8D4A}"/>
    <cellStyle name="Comma 4 2 3 2 2 3 3" xfId="5437" xr:uid="{00000000-0005-0000-0000-000066080000}"/>
    <cellStyle name="Comma 4 2 3 2 2 3 3 2" xfId="22328" xr:uid="{C31205F6-198C-4757-91DE-1C07D45BF268}"/>
    <cellStyle name="Comma 4 2 3 2 2 3 3 3" xfId="13887" xr:uid="{8397C449-2B2C-4400-9F4E-F1A578C23690}"/>
    <cellStyle name="Comma 4 2 3 2 2 3 4" xfId="18110" xr:uid="{C0B847D0-A837-4D6F-9921-0A14C50197D3}"/>
    <cellStyle name="Comma 4 2 3 2 2 3 5" xfId="9669" xr:uid="{F3CF9857-0347-410A-A7F8-B8D8824D754A}"/>
    <cellStyle name="Comma 4 2 3 2 2 4" xfId="1543" xr:uid="{00000000-0005-0000-0000-000067080000}"/>
    <cellStyle name="Comma 4 2 3 2 2 4 2" xfId="3773" xr:uid="{00000000-0005-0000-0000-000068080000}"/>
    <cellStyle name="Comma 4 2 3 2 2 4 2 2" xfId="7995" xr:uid="{00000000-0005-0000-0000-000069080000}"/>
    <cellStyle name="Comma 4 2 3 2 2 4 2 2 2" xfId="24886" xr:uid="{ED478FBD-7F59-4AE4-ABF2-574EB4788625}"/>
    <cellStyle name="Comma 4 2 3 2 2 4 2 2 3" xfId="16445" xr:uid="{4609067C-936B-493D-AE0C-02A2B83E2D8C}"/>
    <cellStyle name="Comma 4 2 3 2 2 4 2 3" xfId="20668" xr:uid="{1CFDCD7F-6EEA-4FBE-A13A-4F94998F3C74}"/>
    <cellStyle name="Comma 4 2 3 2 2 4 2 4" xfId="12227" xr:uid="{0D56DC99-559E-4773-8446-233B942AF72B}"/>
    <cellStyle name="Comma 4 2 3 2 2 4 3" xfId="5850" xr:uid="{00000000-0005-0000-0000-00006A080000}"/>
    <cellStyle name="Comma 4 2 3 2 2 4 3 2" xfId="22741" xr:uid="{A046796D-30CD-4777-BA58-D85A1AD49949}"/>
    <cellStyle name="Comma 4 2 3 2 2 4 3 3" xfId="14300" xr:uid="{1691E612-3E5E-4606-B124-2B288FE93780}"/>
    <cellStyle name="Comma 4 2 3 2 2 4 4" xfId="18523" xr:uid="{26BBF344-B421-4704-A9D8-A04589EB810B}"/>
    <cellStyle name="Comma 4 2 3 2 2 4 5" xfId="10082" xr:uid="{A51DC17F-4A85-49FD-B780-5A9B8BF32EF6}"/>
    <cellStyle name="Comma 4 2 3 2 2 5" xfId="1957" xr:uid="{00000000-0005-0000-0000-00006B080000}"/>
    <cellStyle name="Comma 4 2 3 2 2 5 2" xfId="4186" xr:uid="{00000000-0005-0000-0000-00006C080000}"/>
    <cellStyle name="Comma 4 2 3 2 2 5 2 2" xfId="8408" xr:uid="{00000000-0005-0000-0000-00006D080000}"/>
    <cellStyle name="Comma 4 2 3 2 2 5 2 2 2" xfId="25299" xr:uid="{BF7EEA18-816E-462D-B651-247017CDF8B5}"/>
    <cellStyle name="Comma 4 2 3 2 2 5 2 2 3" xfId="16858" xr:uid="{6F1B9FB3-709D-4E7F-9D64-79DE64131E67}"/>
    <cellStyle name="Comma 4 2 3 2 2 5 2 3" xfId="21081" xr:uid="{5F28DED5-E90A-4F81-BBE7-9DE3E4D418BF}"/>
    <cellStyle name="Comma 4 2 3 2 2 5 2 4" xfId="12640" xr:uid="{34A54544-7394-4F91-9003-9CCC7136F402}"/>
    <cellStyle name="Comma 4 2 3 2 2 5 3" xfId="6263" xr:uid="{00000000-0005-0000-0000-00006E080000}"/>
    <cellStyle name="Comma 4 2 3 2 2 5 3 2" xfId="23154" xr:uid="{28ADF93B-5291-4472-93D1-0E337817DCAD}"/>
    <cellStyle name="Comma 4 2 3 2 2 5 3 3" xfId="14713" xr:uid="{8DAA96F7-98C4-46F0-A3FD-73D858382255}"/>
    <cellStyle name="Comma 4 2 3 2 2 5 4" xfId="18936" xr:uid="{BCA327EE-147E-41F8-B5DC-51FC6F278FA8}"/>
    <cellStyle name="Comma 4 2 3 2 2 5 5" xfId="10495" xr:uid="{40558DB5-7551-416C-BE6B-94DC47C154D6}"/>
    <cellStyle name="Comma 4 2 3 2 2 6" xfId="2392" xr:uid="{00000000-0005-0000-0000-00006F080000}"/>
    <cellStyle name="Comma 4 2 3 2 2 6 2" xfId="6676" xr:uid="{00000000-0005-0000-0000-000070080000}"/>
    <cellStyle name="Comma 4 2 3 2 2 6 2 2" xfId="23567" xr:uid="{208DD3DE-2E95-4FC0-B598-3C7F3C306AF1}"/>
    <cellStyle name="Comma 4 2 3 2 2 6 2 3" xfId="15126" xr:uid="{81E053B5-1AA5-4798-8C2F-613B7A17684E}"/>
    <cellStyle name="Comma 4 2 3 2 2 6 3" xfId="19349" xr:uid="{DB92D18B-5B28-4AB7-806A-346478F48009}"/>
    <cellStyle name="Comma 4 2 3 2 2 6 4" xfId="10908" xr:uid="{595323FB-4EE6-4E3F-8D06-E738A668CB49}"/>
    <cellStyle name="Comma 4 2 3 2 2 7" xfId="2371" xr:uid="{00000000-0005-0000-0000-000071080000}"/>
    <cellStyle name="Comma 4 2 3 2 2 8" xfId="2770" xr:uid="{00000000-0005-0000-0000-000072080000}"/>
    <cellStyle name="Comma 4 2 3 2 2 8 2" xfId="6993" xr:uid="{00000000-0005-0000-0000-000073080000}"/>
    <cellStyle name="Comma 4 2 3 2 2 8 2 2" xfId="23884" xr:uid="{4783791A-8AF5-4D61-B7FE-2C2EDA02617A}"/>
    <cellStyle name="Comma 4 2 3 2 2 8 2 3" xfId="15443" xr:uid="{AA9B47CD-D313-436C-A7B6-1083C9849332}"/>
    <cellStyle name="Comma 4 2 3 2 2 8 3" xfId="19666" xr:uid="{C9504070-6A60-41A3-9D0B-4915C85320EC}"/>
    <cellStyle name="Comma 4 2 3 2 2 8 4" xfId="11225" xr:uid="{CE532377-929E-4699-AACB-2989832BE53F}"/>
    <cellStyle name="Comma 4 2 3 2 2 9" xfId="4610" xr:uid="{00000000-0005-0000-0000-000074080000}"/>
    <cellStyle name="Comma 4 2 3 2 2 9 2" xfId="21501" xr:uid="{2CF363D3-4879-4EBC-9F2C-C946B5F7C849}"/>
    <cellStyle name="Comma 4 2 3 2 2 9 3" xfId="13060" xr:uid="{CF307E86-9F61-4FA4-9AED-A60323C9AB04}"/>
    <cellStyle name="Comma 4 2 3 2 3" xfId="675" xr:uid="{00000000-0005-0000-0000-000075080000}"/>
    <cellStyle name="Comma 4 2 3 2 3 2" xfId="2946" xr:uid="{00000000-0005-0000-0000-000076080000}"/>
    <cellStyle name="Comma 4 2 3 2 3 2 2" xfId="7168" xr:uid="{00000000-0005-0000-0000-000077080000}"/>
    <cellStyle name="Comma 4 2 3 2 3 2 2 2" xfId="24059" xr:uid="{194B204E-B941-426D-B3D8-E225C3F3C5D8}"/>
    <cellStyle name="Comma 4 2 3 2 3 2 2 3" xfId="15618" xr:uid="{E514E2DF-1A80-4921-BF73-90B983A143F7}"/>
    <cellStyle name="Comma 4 2 3 2 3 2 3" xfId="19841" xr:uid="{2E50D574-F5F5-4577-97DC-78128BF07E67}"/>
    <cellStyle name="Comma 4 2 3 2 3 2 4" xfId="11400" xr:uid="{5829116B-2919-44DF-BEA1-324F3751F1AF}"/>
    <cellStyle name="Comma 4 2 3 2 3 3" xfId="5023" xr:uid="{00000000-0005-0000-0000-000078080000}"/>
    <cellStyle name="Comma 4 2 3 2 3 3 2" xfId="21914" xr:uid="{E4739760-D249-40DE-9ED8-E3A17D2BFAAA}"/>
    <cellStyle name="Comma 4 2 3 2 3 3 3" xfId="13473" xr:uid="{802F09A5-6C30-48D3-8290-D0821AA18776}"/>
    <cellStyle name="Comma 4 2 3 2 3 4" xfId="17696" xr:uid="{A072C6D2-8242-41B4-BC64-9D0A0102A4F4}"/>
    <cellStyle name="Comma 4 2 3 2 3 5" xfId="9255" xr:uid="{F9D72F32-A693-4C89-8AF2-41F6B90D2DAC}"/>
    <cellStyle name="Comma 4 2 3 2 4" xfId="1128" xr:uid="{00000000-0005-0000-0000-000079080000}"/>
    <cellStyle name="Comma 4 2 3 2 4 2" xfId="3359" xr:uid="{00000000-0005-0000-0000-00007A080000}"/>
    <cellStyle name="Comma 4 2 3 2 4 2 2" xfId="7581" xr:uid="{00000000-0005-0000-0000-00007B080000}"/>
    <cellStyle name="Comma 4 2 3 2 4 2 2 2" xfId="24472" xr:uid="{6D0B2F67-7DDD-4B24-B7A1-AAF5967A46EE}"/>
    <cellStyle name="Comma 4 2 3 2 4 2 2 3" xfId="16031" xr:uid="{BCD814EC-551A-4747-A133-82F70E4EE94C}"/>
    <cellStyle name="Comma 4 2 3 2 4 2 3" xfId="20254" xr:uid="{FA116A80-295A-4AC0-8902-6E63DC3FAD8B}"/>
    <cellStyle name="Comma 4 2 3 2 4 2 4" xfId="11813" xr:uid="{ED544ACD-D2DB-4B90-AB54-75DB99797855}"/>
    <cellStyle name="Comma 4 2 3 2 4 3" xfId="5436" xr:uid="{00000000-0005-0000-0000-00007C080000}"/>
    <cellStyle name="Comma 4 2 3 2 4 3 2" xfId="22327" xr:uid="{6237770B-433C-436E-9DE8-A48FBE269888}"/>
    <cellStyle name="Comma 4 2 3 2 4 3 3" xfId="13886" xr:uid="{3279C9AD-9911-4E09-9D0B-D3E251C305F1}"/>
    <cellStyle name="Comma 4 2 3 2 4 4" xfId="18109" xr:uid="{40DBCED2-12E6-4B74-B7EF-7CF8CE27A2F4}"/>
    <cellStyle name="Comma 4 2 3 2 4 5" xfId="9668" xr:uid="{4DC4950D-069A-4D9F-9C3D-4003F0D58231}"/>
    <cellStyle name="Comma 4 2 3 2 5" xfId="1542" xr:uid="{00000000-0005-0000-0000-00007D080000}"/>
    <cellStyle name="Comma 4 2 3 2 5 2" xfId="3772" xr:uid="{00000000-0005-0000-0000-00007E080000}"/>
    <cellStyle name="Comma 4 2 3 2 5 2 2" xfId="7994" xr:uid="{00000000-0005-0000-0000-00007F080000}"/>
    <cellStyle name="Comma 4 2 3 2 5 2 2 2" xfId="24885" xr:uid="{ECB14A16-832A-4653-99E5-BC78A6353AAE}"/>
    <cellStyle name="Comma 4 2 3 2 5 2 2 3" xfId="16444" xr:uid="{86EDC010-94A0-498B-AEA6-3958E65048D8}"/>
    <cellStyle name="Comma 4 2 3 2 5 2 3" xfId="20667" xr:uid="{64982396-5953-4F51-8706-C310E65A5FA4}"/>
    <cellStyle name="Comma 4 2 3 2 5 2 4" xfId="12226" xr:uid="{BF99EB1A-A1A6-46AE-AFD9-062FEBBD44EC}"/>
    <cellStyle name="Comma 4 2 3 2 5 3" xfId="5849" xr:uid="{00000000-0005-0000-0000-000080080000}"/>
    <cellStyle name="Comma 4 2 3 2 5 3 2" xfId="22740" xr:uid="{CB617D13-8E13-4D80-95DB-626BC4B59344}"/>
    <cellStyle name="Comma 4 2 3 2 5 3 3" xfId="14299" xr:uid="{35014E4C-8BE6-499D-B143-5235B37821A0}"/>
    <cellStyle name="Comma 4 2 3 2 5 4" xfId="18522" xr:uid="{A769976F-CD6D-47F9-A341-A211789939F1}"/>
    <cellStyle name="Comma 4 2 3 2 5 5" xfId="10081" xr:uid="{A0CFF389-CCD6-4476-BFC6-8C5957C24761}"/>
    <cellStyle name="Comma 4 2 3 2 6" xfId="1956" xr:uid="{00000000-0005-0000-0000-000081080000}"/>
    <cellStyle name="Comma 4 2 3 2 6 2" xfId="4185" xr:uid="{00000000-0005-0000-0000-000082080000}"/>
    <cellStyle name="Comma 4 2 3 2 6 2 2" xfId="8407" xr:uid="{00000000-0005-0000-0000-000083080000}"/>
    <cellStyle name="Comma 4 2 3 2 6 2 2 2" xfId="25298" xr:uid="{016095F8-533F-4636-BFAF-9C9F7A0F0443}"/>
    <cellStyle name="Comma 4 2 3 2 6 2 2 3" xfId="16857" xr:uid="{C3F0DEE0-1752-4953-BF6A-8A8508A0EC8D}"/>
    <cellStyle name="Comma 4 2 3 2 6 2 3" xfId="21080" xr:uid="{460DF2ED-EA82-44B6-94CB-8E0278D258BD}"/>
    <cellStyle name="Comma 4 2 3 2 6 2 4" xfId="12639" xr:uid="{D053AF2D-D9FD-4089-97A5-609FA9D1D352}"/>
    <cellStyle name="Comma 4 2 3 2 6 3" xfId="6262" xr:uid="{00000000-0005-0000-0000-000084080000}"/>
    <cellStyle name="Comma 4 2 3 2 6 3 2" xfId="23153" xr:uid="{48463025-ED78-4DF2-B5CB-2EE642EE99B7}"/>
    <cellStyle name="Comma 4 2 3 2 6 3 3" xfId="14712" xr:uid="{09AA48BD-10C5-4B46-808F-914FD614BADE}"/>
    <cellStyle name="Comma 4 2 3 2 6 4" xfId="18935" xr:uid="{98681C72-B693-4634-AB8D-4FA4DC5742D7}"/>
    <cellStyle name="Comma 4 2 3 2 6 5" xfId="10494" xr:uid="{88E7DD7C-BDA3-4080-BE44-584AB44D905B}"/>
    <cellStyle name="Comma 4 2 3 2 7" xfId="2391" xr:uid="{00000000-0005-0000-0000-000085080000}"/>
    <cellStyle name="Comma 4 2 3 2 7 2" xfId="6675" xr:uid="{00000000-0005-0000-0000-000086080000}"/>
    <cellStyle name="Comma 4 2 3 2 7 2 2" xfId="23566" xr:uid="{CFAA0FFC-0CA9-49DE-95AC-04F870CD9C96}"/>
    <cellStyle name="Comma 4 2 3 2 7 2 3" xfId="15125" xr:uid="{C02AEA78-5A08-4C6B-8939-9063BEFBFD7B}"/>
    <cellStyle name="Comma 4 2 3 2 7 3" xfId="19348" xr:uid="{70FD21A4-6A1E-4AD6-AE7B-3F43713E0B42}"/>
    <cellStyle name="Comma 4 2 3 2 7 4" xfId="10907" xr:uid="{5404362A-5C7B-4CD9-8B0E-0BE821DADB8E}"/>
    <cellStyle name="Comma 4 2 3 2 8" xfId="2372" xr:uid="{00000000-0005-0000-0000-000087080000}"/>
    <cellStyle name="Comma 4 2 3 2 9" xfId="2769" xr:uid="{00000000-0005-0000-0000-000088080000}"/>
    <cellStyle name="Comma 4 2 3 2 9 2" xfId="6992" xr:uid="{00000000-0005-0000-0000-000089080000}"/>
    <cellStyle name="Comma 4 2 3 2 9 2 2" xfId="23883" xr:uid="{ED816E23-5845-4007-A768-2FD1EDB75923}"/>
    <cellStyle name="Comma 4 2 3 2 9 2 3" xfId="15442" xr:uid="{9552C879-37EC-493D-9C3D-386A91F7B0CD}"/>
    <cellStyle name="Comma 4 2 3 2 9 3" xfId="19665" xr:uid="{4492E217-1008-49D0-A88A-6FECED1B3A27}"/>
    <cellStyle name="Comma 4 2 3 2 9 4" xfId="11224" xr:uid="{9DFE569B-D129-451D-B1D4-06866F1810EF}"/>
    <cellStyle name="Comma 4 2 3 3" xfId="139" xr:uid="{00000000-0005-0000-0000-00008A080000}"/>
    <cellStyle name="Comma 4 2 3 3 10" xfId="17284" xr:uid="{86F3AC0C-D69B-4D91-81BF-D7F00EE6B183}"/>
    <cellStyle name="Comma 4 2 3 3 11" xfId="8843" xr:uid="{DD723E2B-9727-40C8-9CB1-2149E02259DA}"/>
    <cellStyle name="Comma 4 2 3 3 2" xfId="677" xr:uid="{00000000-0005-0000-0000-00008B080000}"/>
    <cellStyle name="Comma 4 2 3 3 2 2" xfId="2948" xr:uid="{00000000-0005-0000-0000-00008C080000}"/>
    <cellStyle name="Comma 4 2 3 3 2 2 2" xfId="7170" xr:uid="{00000000-0005-0000-0000-00008D080000}"/>
    <cellStyle name="Comma 4 2 3 3 2 2 2 2" xfId="24061" xr:uid="{EE7E6F1A-9B9F-46D2-801D-CB8151C99AD0}"/>
    <cellStyle name="Comma 4 2 3 3 2 2 2 3" xfId="15620" xr:uid="{A8BBB5D1-CE93-40B7-849A-B642CDA1CD45}"/>
    <cellStyle name="Comma 4 2 3 3 2 2 3" xfId="19843" xr:uid="{0064D76C-A485-4210-9C5C-D82980701F4B}"/>
    <cellStyle name="Comma 4 2 3 3 2 2 4" xfId="11402" xr:uid="{36123FE1-857D-43F5-A888-5226BEE5103A}"/>
    <cellStyle name="Comma 4 2 3 3 2 3" xfId="5025" xr:uid="{00000000-0005-0000-0000-00008E080000}"/>
    <cellStyle name="Comma 4 2 3 3 2 3 2" xfId="21916" xr:uid="{12B0648A-452D-4D99-B94D-8ED0D55F2135}"/>
    <cellStyle name="Comma 4 2 3 3 2 3 3" xfId="13475" xr:uid="{73E5D414-6854-4807-A478-317398376AA8}"/>
    <cellStyle name="Comma 4 2 3 3 2 4" xfId="17698" xr:uid="{28D40780-2EF1-4644-923A-72C5169687BE}"/>
    <cellStyle name="Comma 4 2 3 3 2 5" xfId="9257" xr:uid="{9F0CC739-84F7-4B04-B47E-911C2ECBB36C}"/>
    <cellStyle name="Comma 4 2 3 3 3" xfId="1130" xr:uid="{00000000-0005-0000-0000-00008F080000}"/>
    <cellStyle name="Comma 4 2 3 3 3 2" xfId="3361" xr:uid="{00000000-0005-0000-0000-000090080000}"/>
    <cellStyle name="Comma 4 2 3 3 3 2 2" xfId="7583" xr:uid="{00000000-0005-0000-0000-000091080000}"/>
    <cellStyle name="Comma 4 2 3 3 3 2 2 2" xfId="24474" xr:uid="{3C1825EA-6E46-4545-B461-BC0F459D58F5}"/>
    <cellStyle name="Comma 4 2 3 3 3 2 2 3" xfId="16033" xr:uid="{84DC6105-FDC8-40E2-A9B5-B53FA0E625C5}"/>
    <cellStyle name="Comma 4 2 3 3 3 2 3" xfId="20256" xr:uid="{01389B4B-A957-4030-B820-7262B973E58B}"/>
    <cellStyle name="Comma 4 2 3 3 3 2 4" xfId="11815" xr:uid="{0F0B994E-3E55-41A2-BE7D-AF8376815BA3}"/>
    <cellStyle name="Comma 4 2 3 3 3 3" xfId="5438" xr:uid="{00000000-0005-0000-0000-000092080000}"/>
    <cellStyle name="Comma 4 2 3 3 3 3 2" xfId="22329" xr:uid="{B19F24BE-8A32-4ECC-8317-692CE5085042}"/>
    <cellStyle name="Comma 4 2 3 3 3 3 3" xfId="13888" xr:uid="{76AD341B-2E74-44F0-92C0-3D6E884D67A7}"/>
    <cellStyle name="Comma 4 2 3 3 3 4" xfId="18111" xr:uid="{17AA0D07-895A-4457-912E-CCB1FDC624F7}"/>
    <cellStyle name="Comma 4 2 3 3 3 5" xfId="9670" xr:uid="{50BE938C-2A53-406C-A399-FC900C0EBF9D}"/>
    <cellStyle name="Comma 4 2 3 3 4" xfId="1544" xr:uid="{00000000-0005-0000-0000-000093080000}"/>
    <cellStyle name="Comma 4 2 3 3 4 2" xfId="3774" xr:uid="{00000000-0005-0000-0000-000094080000}"/>
    <cellStyle name="Comma 4 2 3 3 4 2 2" xfId="7996" xr:uid="{00000000-0005-0000-0000-000095080000}"/>
    <cellStyle name="Comma 4 2 3 3 4 2 2 2" xfId="24887" xr:uid="{8F127E1D-C4E9-4238-9C2C-B0D822F2E7DB}"/>
    <cellStyle name="Comma 4 2 3 3 4 2 2 3" xfId="16446" xr:uid="{6353EABD-D1A4-409E-917D-B9FBB2AEB998}"/>
    <cellStyle name="Comma 4 2 3 3 4 2 3" xfId="20669" xr:uid="{BF4009E8-1265-4D1D-8F6C-71C8E13BEF1F}"/>
    <cellStyle name="Comma 4 2 3 3 4 2 4" xfId="12228" xr:uid="{39E8D9E3-79C3-458A-8F05-B78637987BBD}"/>
    <cellStyle name="Comma 4 2 3 3 4 3" xfId="5851" xr:uid="{00000000-0005-0000-0000-000096080000}"/>
    <cellStyle name="Comma 4 2 3 3 4 3 2" xfId="22742" xr:uid="{730F8223-E312-4BC3-B343-BF473AF2942E}"/>
    <cellStyle name="Comma 4 2 3 3 4 3 3" xfId="14301" xr:uid="{10FEC395-6E03-43EC-8195-59302C766820}"/>
    <cellStyle name="Comma 4 2 3 3 4 4" xfId="18524" xr:uid="{1722D125-2FA8-48E8-A1E5-FD007DABA50C}"/>
    <cellStyle name="Comma 4 2 3 3 4 5" xfId="10083" xr:uid="{3487284F-E7BD-4918-A832-A8E685CAF542}"/>
    <cellStyle name="Comma 4 2 3 3 5" xfId="1958" xr:uid="{00000000-0005-0000-0000-000097080000}"/>
    <cellStyle name="Comma 4 2 3 3 5 2" xfId="4187" xr:uid="{00000000-0005-0000-0000-000098080000}"/>
    <cellStyle name="Comma 4 2 3 3 5 2 2" xfId="8409" xr:uid="{00000000-0005-0000-0000-000099080000}"/>
    <cellStyle name="Comma 4 2 3 3 5 2 2 2" xfId="25300" xr:uid="{B12736DF-C954-4E9D-A24A-52CAC09B732E}"/>
    <cellStyle name="Comma 4 2 3 3 5 2 2 3" xfId="16859" xr:uid="{F17AA172-DD60-4A26-8984-45C12177765C}"/>
    <cellStyle name="Comma 4 2 3 3 5 2 3" xfId="21082" xr:uid="{1EBB55ED-5F36-4249-B680-360E5B351455}"/>
    <cellStyle name="Comma 4 2 3 3 5 2 4" xfId="12641" xr:uid="{7A07A3EA-7EB3-403C-95D2-40BA351489C5}"/>
    <cellStyle name="Comma 4 2 3 3 5 3" xfId="6264" xr:uid="{00000000-0005-0000-0000-00009A080000}"/>
    <cellStyle name="Comma 4 2 3 3 5 3 2" xfId="23155" xr:uid="{37DE00DB-D246-4042-9A63-58CF035DC46E}"/>
    <cellStyle name="Comma 4 2 3 3 5 3 3" xfId="14714" xr:uid="{7CCAE00B-A066-424F-90CF-4E7A0A0A91C3}"/>
    <cellStyle name="Comma 4 2 3 3 5 4" xfId="18937" xr:uid="{0F1B755E-73F5-4923-921C-6018F1F48353}"/>
    <cellStyle name="Comma 4 2 3 3 5 5" xfId="10496" xr:uid="{C3E939D2-EF8F-4F9D-AB96-8D43CEB8EC0C}"/>
    <cellStyle name="Comma 4 2 3 3 6" xfId="2393" xr:uid="{00000000-0005-0000-0000-00009B080000}"/>
    <cellStyle name="Comma 4 2 3 3 6 2" xfId="6677" xr:uid="{00000000-0005-0000-0000-00009C080000}"/>
    <cellStyle name="Comma 4 2 3 3 6 2 2" xfId="23568" xr:uid="{ADB18967-93ED-4941-A61D-2BA1B06E7800}"/>
    <cellStyle name="Comma 4 2 3 3 6 2 3" xfId="15127" xr:uid="{0F167855-DF47-4363-A3ED-767B96B8997E}"/>
    <cellStyle name="Comma 4 2 3 3 6 3" xfId="19350" xr:uid="{65200F3C-646C-4F68-AD35-B99FFBD1DC06}"/>
    <cellStyle name="Comma 4 2 3 3 6 4" xfId="10909" xr:uid="{BB72D2C7-21FE-4D5B-A79E-3B29DF96BE04}"/>
    <cellStyle name="Comma 4 2 3 3 7" xfId="2370" xr:uid="{00000000-0005-0000-0000-00009D080000}"/>
    <cellStyle name="Comma 4 2 3 3 8" xfId="2771" xr:uid="{00000000-0005-0000-0000-00009E080000}"/>
    <cellStyle name="Comma 4 2 3 3 8 2" xfId="6994" xr:uid="{00000000-0005-0000-0000-00009F080000}"/>
    <cellStyle name="Comma 4 2 3 3 8 2 2" xfId="23885" xr:uid="{86517AFD-161C-425C-A744-EF30FDC4DB4A}"/>
    <cellStyle name="Comma 4 2 3 3 8 2 3" xfId="15444" xr:uid="{AD2B71BA-C5A3-457D-A655-792544DA1851}"/>
    <cellStyle name="Comma 4 2 3 3 8 3" xfId="19667" xr:uid="{58F7CC64-1E61-4C88-94A1-ECE7010DC89D}"/>
    <cellStyle name="Comma 4 2 3 3 8 4" xfId="11226" xr:uid="{27E54E81-D775-46BC-8757-C43FB0576D99}"/>
    <cellStyle name="Comma 4 2 3 3 9" xfId="4611" xr:uid="{00000000-0005-0000-0000-0000A0080000}"/>
    <cellStyle name="Comma 4 2 3 3 9 2" xfId="21502" xr:uid="{E10CE69C-6CC7-496D-8D64-E089EE203A1B}"/>
    <cellStyle name="Comma 4 2 3 3 9 3" xfId="13061" xr:uid="{6C495B92-C556-457B-89C5-760395E0713E}"/>
    <cellStyle name="Comma 4 2 3 4" xfId="674" xr:uid="{00000000-0005-0000-0000-0000A1080000}"/>
    <cellStyle name="Comma 4 2 3 4 2" xfId="2945" xr:uid="{00000000-0005-0000-0000-0000A2080000}"/>
    <cellStyle name="Comma 4 2 3 4 2 2" xfId="7167" xr:uid="{00000000-0005-0000-0000-0000A3080000}"/>
    <cellStyle name="Comma 4 2 3 4 2 2 2" xfId="24058" xr:uid="{7643FF36-F93D-4761-8933-2AC4D60DCCE2}"/>
    <cellStyle name="Comma 4 2 3 4 2 2 3" xfId="15617" xr:uid="{778FB259-7DF1-4F79-936E-CBE9E6BCA09F}"/>
    <cellStyle name="Comma 4 2 3 4 2 3" xfId="19840" xr:uid="{5E9BF598-4524-412B-B57C-72FF878AC14D}"/>
    <cellStyle name="Comma 4 2 3 4 2 4" xfId="11399" xr:uid="{74070DDD-E227-4C6B-8977-627F0DF9A72F}"/>
    <cellStyle name="Comma 4 2 3 4 3" xfId="5022" xr:uid="{00000000-0005-0000-0000-0000A4080000}"/>
    <cellStyle name="Comma 4 2 3 4 3 2" xfId="21913" xr:uid="{BDB05F51-7A3E-45C8-89A7-A6794B897BAE}"/>
    <cellStyle name="Comma 4 2 3 4 3 3" xfId="13472" xr:uid="{1F38D307-C9F7-4EB1-A4B3-055FC79CD22B}"/>
    <cellStyle name="Comma 4 2 3 4 4" xfId="17695" xr:uid="{57844CE0-D91A-4D3B-9C5F-30B88AFB998D}"/>
    <cellStyle name="Comma 4 2 3 4 5" xfId="9254" xr:uid="{824E84DF-DEED-4F87-AFF0-94759CB5BF92}"/>
    <cellStyle name="Comma 4 2 3 5" xfId="1127" xr:uid="{00000000-0005-0000-0000-0000A5080000}"/>
    <cellStyle name="Comma 4 2 3 5 2" xfId="3358" xr:uid="{00000000-0005-0000-0000-0000A6080000}"/>
    <cellStyle name="Comma 4 2 3 5 2 2" xfId="7580" xr:uid="{00000000-0005-0000-0000-0000A7080000}"/>
    <cellStyle name="Comma 4 2 3 5 2 2 2" xfId="24471" xr:uid="{915E26BF-361D-4330-90B6-F9B5FFDC1398}"/>
    <cellStyle name="Comma 4 2 3 5 2 2 3" xfId="16030" xr:uid="{283881C1-7186-47DA-BF87-A8614944C2E3}"/>
    <cellStyle name="Comma 4 2 3 5 2 3" xfId="20253" xr:uid="{9CDF4C8C-2E84-4716-8671-B9615238D4AF}"/>
    <cellStyle name="Comma 4 2 3 5 2 4" xfId="11812" xr:uid="{2A112E02-31D3-4820-A605-D64564FC42B8}"/>
    <cellStyle name="Comma 4 2 3 5 3" xfId="5435" xr:uid="{00000000-0005-0000-0000-0000A8080000}"/>
    <cellStyle name="Comma 4 2 3 5 3 2" xfId="22326" xr:uid="{177B74E2-5D58-469A-A2CC-8F250215850E}"/>
    <cellStyle name="Comma 4 2 3 5 3 3" xfId="13885" xr:uid="{0A18FBAA-8FEA-40A0-9AF6-75D798BB5F15}"/>
    <cellStyle name="Comma 4 2 3 5 4" xfId="18108" xr:uid="{D42BC457-B4EF-4FE7-9058-20197B968ED5}"/>
    <cellStyle name="Comma 4 2 3 5 5" xfId="9667" xr:uid="{794EEC50-51E9-4291-9B13-A42B88BF6674}"/>
    <cellStyle name="Comma 4 2 3 6" xfId="1541" xr:uid="{00000000-0005-0000-0000-0000A9080000}"/>
    <cellStyle name="Comma 4 2 3 6 2" xfId="3771" xr:uid="{00000000-0005-0000-0000-0000AA080000}"/>
    <cellStyle name="Comma 4 2 3 6 2 2" xfId="7993" xr:uid="{00000000-0005-0000-0000-0000AB080000}"/>
    <cellStyle name="Comma 4 2 3 6 2 2 2" xfId="24884" xr:uid="{37181279-411E-46D6-94AC-F5E8CF05BF86}"/>
    <cellStyle name="Comma 4 2 3 6 2 2 3" xfId="16443" xr:uid="{3CA72421-C335-43B9-A1CB-C5304DCA63B1}"/>
    <cellStyle name="Comma 4 2 3 6 2 3" xfId="20666" xr:uid="{77B8DEB3-0A60-4A9E-B5F7-A57B46A4CDE6}"/>
    <cellStyle name="Comma 4 2 3 6 2 4" xfId="12225" xr:uid="{6A671A28-5596-4ECE-8F92-4116FB0977C9}"/>
    <cellStyle name="Comma 4 2 3 6 3" xfId="5848" xr:uid="{00000000-0005-0000-0000-0000AC080000}"/>
    <cellStyle name="Comma 4 2 3 6 3 2" xfId="22739" xr:uid="{FFE76E33-8CAF-4537-96FE-B4367D79CFD2}"/>
    <cellStyle name="Comma 4 2 3 6 3 3" xfId="14298" xr:uid="{30E0F229-F257-4F14-97DA-5DFC75ED6567}"/>
    <cellStyle name="Comma 4 2 3 6 4" xfId="18521" xr:uid="{A07BF09D-D47B-4E87-8F6E-7E40519CF07E}"/>
    <cellStyle name="Comma 4 2 3 6 5" xfId="10080" xr:uid="{D33087B4-D1DE-4A63-99B9-D5CE5C1E8053}"/>
    <cellStyle name="Comma 4 2 3 7" xfId="1955" xr:uid="{00000000-0005-0000-0000-0000AD080000}"/>
    <cellStyle name="Comma 4 2 3 7 2" xfId="4184" xr:uid="{00000000-0005-0000-0000-0000AE080000}"/>
    <cellStyle name="Comma 4 2 3 7 2 2" xfId="8406" xr:uid="{00000000-0005-0000-0000-0000AF080000}"/>
    <cellStyle name="Comma 4 2 3 7 2 2 2" xfId="25297" xr:uid="{C9CB265F-B7DB-4891-B54F-AD321816392B}"/>
    <cellStyle name="Comma 4 2 3 7 2 2 3" xfId="16856" xr:uid="{F524DE25-4668-442F-AB92-C0540D42619A}"/>
    <cellStyle name="Comma 4 2 3 7 2 3" xfId="21079" xr:uid="{95CD6F3E-854D-4CE0-83E7-706DAB842811}"/>
    <cellStyle name="Comma 4 2 3 7 2 4" xfId="12638" xr:uid="{ECAA2186-7190-42CB-9AE0-E262CE648045}"/>
    <cellStyle name="Comma 4 2 3 7 3" xfId="6261" xr:uid="{00000000-0005-0000-0000-0000B0080000}"/>
    <cellStyle name="Comma 4 2 3 7 3 2" xfId="23152" xr:uid="{CC93DDF2-24B9-40AE-B4E2-F1F93F42B4F5}"/>
    <cellStyle name="Comma 4 2 3 7 3 3" xfId="14711" xr:uid="{7AB20DA3-5B16-407F-BF73-27C6AFEAFD26}"/>
    <cellStyle name="Comma 4 2 3 7 4" xfId="18934" xr:uid="{E69CC0FB-5CF9-4086-B63A-6E0ADDABECA2}"/>
    <cellStyle name="Comma 4 2 3 7 5" xfId="10493" xr:uid="{F208801F-5DE7-4319-8366-5683AB6F6512}"/>
    <cellStyle name="Comma 4 2 3 8" xfId="2390" xr:uid="{00000000-0005-0000-0000-0000B1080000}"/>
    <cellStyle name="Comma 4 2 3 8 2" xfId="6674" xr:uid="{00000000-0005-0000-0000-0000B2080000}"/>
    <cellStyle name="Comma 4 2 3 8 2 2" xfId="23565" xr:uid="{8DEC5218-3282-4E2C-B1ED-8F49DFB6AEAF}"/>
    <cellStyle name="Comma 4 2 3 8 2 3" xfId="15124" xr:uid="{63A83668-9F5D-435B-A54E-FBEAF11DBF9D}"/>
    <cellStyle name="Comma 4 2 3 8 3" xfId="19347" xr:uid="{496C02A0-37F7-44B2-B587-89E8F5759D94}"/>
    <cellStyle name="Comma 4 2 3 8 4" xfId="10906" xr:uid="{85A158F6-4F9B-48A2-8B8D-51950C58D863}"/>
    <cellStyle name="Comma 4 2 3 9" xfId="2373" xr:uid="{00000000-0005-0000-0000-0000B3080000}"/>
    <cellStyle name="Comma 4 2 4" xfId="140" xr:uid="{00000000-0005-0000-0000-0000B4080000}"/>
    <cellStyle name="Comma 4 2 4 10" xfId="4612" xr:uid="{00000000-0005-0000-0000-0000B5080000}"/>
    <cellStyle name="Comma 4 2 4 10 2" xfId="21503" xr:uid="{F584ACDD-5CE4-4232-9E35-73F31B663D41}"/>
    <cellStyle name="Comma 4 2 4 10 3" xfId="13062" xr:uid="{5F23008B-D9C2-45BB-A110-B7BF28F7EE84}"/>
    <cellStyle name="Comma 4 2 4 11" xfId="17285" xr:uid="{E4A802CA-60D4-4F65-84D0-273073863C6E}"/>
    <cellStyle name="Comma 4 2 4 12" xfId="8844" xr:uid="{594D6991-9388-4196-809D-883A044B3E8C}"/>
    <cellStyle name="Comma 4 2 4 2" xfId="141" xr:uid="{00000000-0005-0000-0000-0000B6080000}"/>
    <cellStyle name="Comma 4 2 4 2 10" xfId="17286" xr:uid="{A99A1BF1-CBC4-47ED-961A-E8A25FFF16BF}"/>
    <cellStyle name="Comma 4 2 4 2 11" xfId="8845" xr:uid="{3A73A77B-CB93-4718-BBD5-4181C59E6313}"/>
    <cellStyle name="Comma 4 2 4 2 2" xfId="679" xr:uid="{00000000-0005-0000-0000-0000B7080000}"/>
    <cellStyle name="Comma 4 2 4 2 2 2" xfId="2950" xr:uid="{00000000-0005-0000-0000-0000B8080000}"/>
    <cellStyle name="Comma 4 2 4 2 2 2 2" xfId="7172" xr:uid="{00000000-0005-0000-0000-0000B9080000}"/>
    <cellStyle name="Comma 4 2 4 2 2 2 2 2" xfId="24063" xr:uid="{7DB7F0E1-2EB4-4D03-B265-404001C11D2A}"/>
    <cellStyle name="Comma 4 2 4 2 2 2 2 3" xfId="15622" xr:uid="{C1F81E21-8E5D-411F-8C2C-89ED7F16C4C7}"/>
    <cellStyle name="Comma 4 2 4 2 2 2 3" xfId="19845" xr:uid="{C750DC52-CBC0-4441-B748-8723B392B9C8}"/>
    <cellStyle name="Comma 4 2 4 2 2 2 4" xfId="11404" xr:uid="{3B013599-EFA3-4283-8077-30C4184727DE}"/>
    <cellStyle name="Comma 4 2 4 2 2 3" xfId="5027" xr:uid="{00000000-0005-0000-0000-0000BA080000}"/>
    <cellStyle name="Comma 4 2 4 2 2 3 2" xfId="21918" xr:uid="{AC156CA5-0853-42E3-8A37-35F88612F8B0}"/>
    <cellStyle name="Comma 4 2 4 2 2 3 3" xfId="13477" xr:uid="{E6EA66DB-4B94-4538-B971-BBBBA2788B2D}"/>
    <cellStyle name="Comma 4 2 4 2 2 4" xfId="17700" xr:uid="{678D3C8E-3300-43F4-A0E4-5A9F6EAA156F}"/>
    <cellStyle name="Comma 4 2 4 2 2 5" xfId="9259" xr:uid="{D8482597-12E4-4713-BE79-E57098BD5826}"/>
    <cellStyle name="Comma 4 2 4 2 3" xfId="1132" xr:uid="{00000000-0005-0000-0000-0000BB080000}"/>
    <cellStyle name="Comma 4 2 4 2 3 2" xfId="3363" xr:uid="{00000000-0005-0000-0000-0000BC080000}"/>
    <cellStyle name="Comma 4 2 4 2 3 2 2" xfId="7585" xr:uid="{00000000-0005-0000-0000-0000BD080000}"/>
    <cellStyle name="Comma 4 2 4 2 3 2 2 2" xfId="24476" xr:uid="{59916976-E7C6-49DE-9951-68F7FD91A884}"/>
    <cellStyle name="Comma 4 2 4 2 3 2 2 3" xfId="16035" xr:uid="{AED02984-19DD-48EF-A6A1-F7EDA6E3BE30}"/>
    <cellStyle name="Comma 4 2 4 2 3 2 3" xfId="20258" xr:uid="{25D91022-F62A-48D2-8CD4-9B6BF3641B2F}"/>
    <cellStyle name="Comma 4 2 4 2 3 2 4" xfId="11817" xr:uid="{385B3291-C879-406C-8CE7-178BB7722CE7}"/>
    <cellStyle name="Comma 4 2 4 2 3 3" xfId="5440" xr:uid="{00000000-0005-0000-0000-0000BE080000}"/>
    <cellStyle name="Comma 4 2 4 2 3 3 2" xfId="22331" xr:uid="{957F9459-5F90-4FC3-8C89-82DCD1534D61}"/>
    <cellStyle name="Comma 4 2 4 2 3 3 3" xfId="13890" xr:uid="{184BC431-3214-4566-A3C0-A64B01F90CF2}"/>
    <cellStyle name="Comma 4 2 4 2 3 4" xfId="18113" xr:uid="{E61187CD-6969-43B2-862F-5B56816F8BF7}"/>
    <cellStyle name="Comma 4 2 4 2 3 5" xfId="9672" xr:uid="{EAF10535-F86E-4ABE-8C66-7859564B93ED}"/>
    <cellStyle name="Comma 4 2 4 2 4" xfId="1546" xr:uid="{00000000-0005-0000-0000-0000BF080000}"/>
    <cellStyle name="Comma 4 2 4 2 4 2" xfId="3776" xr:uid="{00000000-0005-0000-0000-0000C0080000}"/>
    <cellStyle name="Comma 4 2 4 2 4 2 2" xfId="7998" xr:uid="{00000000-0005-0000-0000-0000C1080000}"/>
    <cellStyle name="Comma 4 2 4 2 4 2 2 2" xfId="24889" xr:uid="{B3E0DADA-B89E-4BB8-BDC0-F9F8A0E5CC85}"/>
    <cellStyle name="Comma 4 2 4 2 4 2 2 3" xfId="16448" xr:uid="{7FB8B152-0FA8-43EC-89D2-CFC711FBE89E}"/>
    <cellStyle name="Comma 4 2 4 2 4 2 3" xfId="20671" xr:uid="{DCA8CA45-19B6-43E8-945E-BB83F18B84B1}"/>
    <cellStyle name="Comma 4 2 4 2 4 2 4" xfId="12230" xr:uid="{C88FA4D5-9775-4A73-B920-C7E50D4943C1}"/>
    <cellStyle name="Comma 4 2 4 2 4 3" xfId="5853" xr:uid="{00000000-0005-0000-0000-0000C2080000}"/>
    <cellStyle name="Comma 4 2 4 2 4 3 2" xfId="22744" xr:uid="{B3AC3384-7E01-4855-B143-C046AA72115A}"/>
    <cellStyle name="Comma 4 2 4 2 4 3 3" xfId="14303" xr:uid="{12EF4D6F-D3EF-4073-A041-5E55B963CAC0}"/>
    <cellStyle name="Comma 4 2 4 2 4 4" xfId="18526" xr:uid="{AF543278-7A2A-4D2F-8858-0BE20FFE223B}"/>
    <cellStyle name="Comma 4 2 4 2 4 5" xfId="10085" xr:uid="{BBAB5E34-E1EE-4EE6-B84C-3BDD97B76FC5}"/>
    <cellStyle name="Comma 4 2 4 2 5" xfId="1960" xr:uid="{00000000-0005-0000-0000-0000C3080000}"/>
    <cellStyle name="Comma 4 2 4 2 5 2" xfId="4189" xr:uid="{00000000-0005-0000-0000-0000C4080000}"/>
    <cellStyle name="Comma 4 2 4 2 5 2 2" xfId="8411" xr:uid="{00000000-0005-0000-0000-0000C5080000}"/>
    <cellStyle name="Comma 4 2 4 2 5 2 2 2" xfId="25302" xr:uid="{89C0583E-B687-45B5-AE24-4802660EAA7B}"/>
    <cellStyle name="Comma 4 2 4 2 5 2 2 3" xfId="16861" xr:uid="{08B555A3-07BF-471A-998C-317574CED8E7}"/>
    <cellStyle name="Comma 4 2 4 2 5 2 3" xfId="21084" xr:uid="{16CD0600-726B-492B-B772-C6721B889D87}"/>
    <cellStyle name="Comma 4 2 4 2 5 2 4" xfId="12643" xr:uid="{121894B4-15D2-400E-ADCD-F2DFBB34352E}"/>
    <cellStyle name="Comma 4 2 4 2 5 3" xfId="6266" xr:uid="{00000000-0005-0000-0000-0000C6080000}"/>
    <cellStyle name="Comma 4 2 4 2 5 3 2" xfId="23157" xr:uid="{AC5E8DEB-7A59-41A1-931F-A8C06B34EB1A}"/>
    <cellStyle name="Comma 4 2 4 2 5 3 3" xfId="14716" xr:uid="{28929CBB-D64F-4ACA-AEC2-A6EAB0EBFAE3}"/>
    <cellStyle name="Comma 4 2 4 2 5 4" xfId="18939" xr:uid="{177F5BAC-A385-467D-B7EE-27115EC3BDEF}"/>
    <cellStyle name="Comma 4 2 4 2 5 5" xfId="10498" xr:uid="{44B7D622-B25E-44CC-A4A6-911009D0E8E3}"/>
    <cellStyle name="Comma 4 2 4 2 6" xfId="2395" xr:uid="{00000000-0005-0000-0000-0000C7080000}"/>
    <cellStyle name="Comma 4 2 4 2 6 2" xfId="6679" xr:uid="{00000000-0005-0000-0000-0000C8080000}"/>
    <cellStyle name="Comma 4 2 4 2 6 2 2" xfId="23570" xr:uid="{441999D9-E666-4A7B-B6E6-035021ACEA69}"/>
    <cellStyle name="Comma 4 2 4 2 6 2 3" xfId="15129" xr:uid="{86F301DE-5EC8-486C-B080-42E385637948}"/>
    <cellStyle name="Comma 4 2 4 2 6 3" xfId="19352" xr:uid="{E44F5C9F-B0E0-4839-87EE-089A5D125780}"/>
    <cellStyle name="Comma 4 2 4 2 6 4" xfId="10911" xr:uid="{F790B568-042F-4A4C-8244-9C5803793EB4}"/>
    <cellStyle name="Comma 4 2 4 2 7" xfId="2368" xr:uid="{00000000-0005-0000-0000-0000C9080000}"/>
    <cellStyle name="Comma 4 2 4 2 8" xfId="2773" xr:uid="{00000000-0005-0000-0000-0000CA080000}"/>
    <cellStyle name="Comma 4 2 4 2 8 2" xfId="6996" xr:uid="{00000000-0005-0000-0000-0000CB080000}"/>
    <cellStyle name="Comma 4 2 4 2 8 2 2" xfId="23887" xr:uid="{0C181DBA-B0E0-4535-B716-AF0376F387C5}"/>
    <cellStyle name="Comma 4 2 4 2 8 2 3" xfId="15446" xr:uid="{1C57659A-95CA-4AC0-B0AC-788F952AC1BA}"/>
    <cellStyle name="Comma 4 2 4 2 8 3" xfId="19669" xr:uid="{6650D336-026E-475A-B3D7-11E00BC2A4CD}"/>
    <cellStyle name="Comma 4 2 4 2 8 4" xfId="11228" xr:uid="{7A0D31A9-3899-4096-9C08-E00A3CD332E8}"/>
    <cellStyle name="Comma 4 2 4 2 9" xfId="4613" xr:uid="{00000000-0005-0000-0000-0000CC080000}"/>
    <cellStyle name="Comma 4 2 4 2 9 2" xfId="21504" xr:uid="{7732EA18-3B88-41CC-91C5-3FF07A1CE855}"/>
    <cellStyle name="Comma 4 2 4 2 9 3" xfId="13063" xr:uid="{BD37251B-77DF-46DC-B374-784338FE7237}"/>
    <cellStyle name="Comma 4 2 4 3" xfId="678" xr:uid="{00000000-0005-0000-0000-0000CD080000}"/>
    <cellStyle name="Comma 4 2 4 3 2" xfId="2949" xr:uid="{00000000-0005-0000-0000-0000CE080000}"/>
    <cellStyle name="Comma 4 2 4 3 2 2" xfId="7171" xr:uid="{00000000-0005-0000-0000-0000CF080000}"/>
    <cellStyle name="Comma 4 2 4 3 2 2 2" xfId="24062" xr:uid="{F559D302-059A-4C97-9BC0-688E77CEAC8A}"/>
    <cellStyle name="Comma 4 2 4 3 2 2 3" xfId="15621" xr:uid="{FEA09680-B806-493B-8081-393B436C184F}"/>
    <cellStyle name="Comma 4 2 4 3 2 3" xfId="19844" xr:uid="{EA5CE53B-B2C9-4261-9907-30EB9B47FF0D}"/>
    <cellStyle name="Comma 4 2 4 3 2 4" xfId="11403" xr:uid="{55AF1CF1-9898-4995-8327-5BF07F3CF515}"/>
    <cellStyle name="Comma 4 2 4 3 3" xfId="5026" xr:uid="{00000000-0005-0000-0000-0000D0080000}"/>
    <cellStyle name="Comma 4 2 4 3 3 2" xfId="21917" xr:uid="{137E002E-BA18-427B-8055-38393EB7C653}"/>
    <cellStyle name="Comma 4 2 4 3 3 3" xfId="13476" xr:uid="{9B0DF1BB-F3BD-447B-8944-248B2950919C}"/>
    <cellStyle name="Comma 4 2 4 3 4" xfId="17699" xr:uid="{E63954B7-FC4F-4613-9942-5E71ADE9CECC}"/>
    <cellStyle name="Comma 4 2 4 3 5" xfId="9258" xr:uid="{E95D8E0D-1B36-453E-B60A-3E4FE99ED914}"/>
    <cellStyle name="Comma 4 2 4 4" xfId="1131" xr:uid="{00000000-0005-0000-0000-0000D1080000}"/>
    <cellStyle name="Comma 4 2 4 4 2" xfId="3362" xr:uid="{00000000-0005-0000-0000-0000D2080000}"/>
    <cellStyle name="Comma 4 2 4 4 2 2" xfId="7584" xr:uid="{00000000-0005-0000-0000-0000D3080000}"/>
    <cellStyle name="Comma 4 2 4 4 2 2 2" xfId="24475" xr:uid="{DD42AAAE-74D1-48FB-8AA5-0CF9806B4699}"/>
    <cellStyle name="Comma 4 2 4 4 2 2 3" xfId="16034" xr:uid="{9D67C7E9-5D7D-4D4E-A71F-C6BE54863328}"/>
    <cellStyle name="Comma 4 2 4 4 2 3" xfId="20257" xr:uid="{6EDF2D85-74C4-4EA0-AC46-8C6E67CA4D05}"/>
    <cellStyle name="Comma 4 2 4 4 2 4" xfId="11816" xr:uid="{8D894588-269E-410A-8C81-1F534F60C330}"/>
    <cellStyle name="Comma 4 2 4 4 3" xfId="5439" xr:uid="{00000000-0005-0000-0000-0000D4080000}"/>
    <cellStyle name="Comma 4 2 4 4 3 2" xfId="22330" xr:uid="{9A13DB05-68D9-4876-A7BC-2AE88048A63D}"/>
    <cellStyle name="Comma 4 2 4 4 3 3" xfId="13889" xr:uid="{206D2DAA-773F-410F-816F-AB9F87A4E7E3}"/>
    <cellStyle name="Comma 4 2 4 4 4" xfId="18112" xr:uid="{BA64C9FC-6D77-44EA-8E8D-5AFF3029BC40}"/>
    <cellStyle name="Comma 4 2 4 4 5" xfId="9671" xr:uid="{A82B12EE-B069-4756-AD25-537AA894880B}"/>
    <cellStyle name="Comma 4 2 4 5" xfId="1545" xr:uid="{00000000-0005-0000-0000-0000D5080000}"/>
    <cellStyle name="Comma 4 2 4 5 2" xfId="3775" xr:uid="{00000000-0005-0000-0000-0000D6080000}"/>
    <cellStyle name="Comma 4 2 4 5 2 2" xfId="7997" xr:uid="{00000000-0005-0000-0000-0000D7080000}"/>
    <cellStyle name="Comma 4 2 4 5 2 2 2" xfId="24888" xr:uid="{8F7958C6-D195-4A83-9885-44CD6FCF5043}"/>
    <cellStyle name="Comma 4 2 4 5 2 2 3" xfId="16447" xr:uid="{EEFF7F59-BAFF-4A20-949B-C3BF069C4A7B}"/>
    <cellStyle name="Comma 4 2 4 5 2 3" xfId="20670" xr:uid="{3DA5FD7F-EBAC-4278-A760-2BA0BFA7991B}"/>
    <cellStyle name="Comma 4 2 4 5 2 4" xfId="12229" xr:uid="{3616D5E5-886F-4BA2-8118-A3CB6A942F83}"/>
    <cellStyle name="Comma 4 2 4 5 3" xfId="5852" xr:uid="{00000000-0005-0000-0000-0000D8080000}"/>
    <cellStyle name="Comma 4 2 4 5 3 2" xfId="22743" xr:uid="{FB92F8DD-B7D3-420B-91EE-E86CC5BE0294}"/>
    <cellStyle name="Comma 4 2 4 5 3 3" xfId="14302" xr:uid="{17B57AA3-9A94-4FB4-8BE2-4DCCFE6F1CE7}"/>
    <cellStyle name="Comma 4 2 4 5 4" xfId="18525" xr:uid="{7A111AC6-4584-4B66-AEAA-DE84BF5E83CC}"/>
    <cellStyle name="Comma 4 2 4 5 5" xfId="10084" xr:uid="{CA94ABDC-1A37-4F2B-B6E9-35EA1BB19435}"/>
    <cellStyle name="Comma 4 2 4 6" xfId="1959" xr:uid="{00000000-0005-0000-0000-0000D9080000}"/>
    <cellStyle name="Comma 4 2 4 6 2" xfId="4188" xr:uid="{00000000-0005-0000-0000-0000DA080000}"/>
    <cellStyle name="Comma 4 2 4 6 2 2" xfId="8410" xr:uid="{00000000-0005-0000-0000-0000DB080000}"/>
    <cellStyle name="Comma 4 2 4 6 2 2 2" xfId="25301" xr:uid="{77526166-D859-4DD2-97A8-914F46B6D2FE}"/>
    <cellStyle name="Comma 4 2 4 6 2 2 3" xfId="16860" xr:uid="{44ADDB43-BAA6-4945-8510-87FCE9718B83}"/>
    <cellStyle name="Comma 4 2 4 6 2 3" xfId="21083" xr:uid="{5BC9C89F-A36C-4211-9391-ABBAFFA54BB6}"/>
    <cellStyle name="Comma 4 2 4 6 2 4" xfId="12642" xr:uid="{9ED19017-AFC3-4935-8C91-7989E89C92AF}"/>
    <cellStyle name="Comma 4 2 4 6 3" xfId="6265" xr:uid="{00000000-0005-0000-0000-0000DC080000}"/>
    <cellStyle name="Comma 4 2 4 6 3 2" xfId="23156" xr:uid="{575E7301-20F2-4FF1-BB46-F74F0C6CD74B}"/>
    <cellStyle name="Comma 4 2 4 6 3 3" xfId="14715" xr:uid="{AB9CEEF9-6011-4642-B829-D744A1F408AE}"/>
    <cellStyle name="Comma 4 2 4 6 4" xfId="18938" xr:uid="{C3F5A13B-E64F-4D5E-B1EC-D8EF15349264}"/>
    <cellStyle name="Comma 4 2 4 6 5" xfId="10497" xr:uid="{64A3F686-DC41-494D-AEAD-335E1CC85ADC}"/>
    <cellStyle name="Comma 4 2 4 7" xfId="2394" xr:uid="{00000000-0005-0000-0000-0000DD080000}"/>
    <cellStyle name="Comma 4 2 4 7 2" xfId="6678" xr:uid="{00000000-0005-0000-0000-0000DE080000}"/>
    <cellStyle name="Comma 4 2 4 7 2 2" xfId="23569" xr:uid="{5A8D91FD-3461-48FB-B8FE-A47102C3D00A}"/>
    <cellStyle name="Comma 4 2 4 7 2 3" xfId="15128" xr:uid="{23A6393D-D9FE-4332-AB39-E42530EEDFB3}"/>
    <cellStyle name="Comma 4 2 4 7 3" xfId="19351" xr:uid="{2A19007F-D764-40D0-9D53-9B7A1DF758F6}"/>
    <cellStyle name="Comma 4 2 4 7 4" xfId="10910" xr:uid="{04E6AC12-74EF-4EAE-92ED-D1FD62002B2F}"/>
    <cellStyle name="Comma 4 2 4 8" xfId="2369" xr:uid="{00000000-0005-0000-0000-0000DF080000}"/>
    <cellStyle name="Comma 4 2 4 9" xfId="2772" xr:uid="{00000000-0005-0000-0000-0000E0080000}"/>
    <cellStyle name="Comma 4 2 4 9 2" xfId="6995" xr:uid="{00000000-0005-0000-0000-0000E1080000}"/>
    <cellStyle name="Comma 4 2 4 9 2 2" xfId="23886" xr:uid="{C5475AFA-D651-433F-B07A-1D7F2B0A849B}"/>
    <cellStyle name="Comma 4 2 4 9 2 3" xfId="15445" xr:uid="{337D6EA8-E545-4482-AD78-E11FBD9665E7}"/>
    <cellStyle name="Comma 4 2 4 9 3" xfId="19668" xr:uid="{6EE24EC5-D8EC-4814-8EC0-5D0B2A4CC4B3}"/>
    <cellStyle name="Comma 4 2 4 9 4" xfId="11227" xr:uid="{C56F663F-5522-4747-8DC1-B4E5E3AFB9AE}"/>
    <cellStyle name="Comma 4 2 5" xfId="142" xr:uid="{00000000-0005-0000-0000-0000E2080000}"/>
    <cellStyle name="Comma 4 2 5 10" xfId="17287" xr:uid="{24446929-4C61-477C-84F1-6E2D8EE74612}"/>
    <cellStyle name="Comma 4 2 5 11" xfId="8846" xr:uid="{C609C0B7-E782-483E-AF1E-C1CF040E813D}"/>
    <cellStyle name="Comma 4 2 5 2" xfId="680" xr:uid="{00000000-0005-0000-0000-0000E3080000}"/>
    <cellStyle name="Comma 4 2 5 2 2" xfId="2951" xr:uid="{00000000-0005-0000-0000-0000E4080000}"/>
    <cellStyle name="Comma 4 2 5 2 2 2" xfId="7173" xr:uid="{00000000-0005-0000-0000-0000E5080000}"/>
    <cellStyle name="Comma 4 2 5 2 2 2 2" xfId="24064" xr:uid="{A294C8AB-A433-4D80-8EBE-FF67FE0452CE}"/>
    <cellStyle name="Comma 4 2 5 2 2 2 3" xfId="15623" xr:uid="{83CAC163-7000-41C2-B405-A5CB9E85443D}"/>
    <cellStyle name="Comma 4 2 5 2 2 3" xfId="19846" xr:uid="{51863965-5C2F-4352-B0CF-D285FD4AA308}"/>
    <cellStyle name="Comma 4 2 5 2 2 4" xfId="11405" xr:uid="{52AF79E7-C1E6-478F-A84A-0D789DE895B0}"/>
    <cellStyle name="Comma 4 2 5 2 3" xfId="5028" xr:uid="{00000000-0005-0000-0000-0000E6080000}"/>
    <cellStyle name="Comma 4 2 5 2 3 2" xfId="21919" xr:uid="{2BD860EA-C3B7-4699-BD5E-9ABDE0055E14}"/>
    <cellStyle name="Comma 4 2 5 2 3 3" xfId="13478" xr:uid="{D56F3096-2C12-4BD0-9FC9-F6CD29AC0203}"/>
    <cellStyle name="Comma 4 2 5 2 4" xfId="17701" xr:uid="{D2CBD191-6EA0-44BC-978C-2EBF406CA4BF}"/>
    <cellStyle name="Comma 4 2 5 2 5" xfId="9260" xr:uid="{285299C9-13C1-40E9-9F1E-6892064B93FD}"/>
    <cellStyle name="Comma 4 2 5 3" xfId="1133" xr:uid="{00000000-0005-0000-0000-0000E7080000}"/>
    <cellStyle name="Comma 4 2 5 3 2" xfId="3364" xr:uid="{00000000-0005-0000-0000-0000E8080000}"/>
    <cellStyle name="Comma 4 2 5 3 2 2" xfId="7586" xr:uid="{00000000-0005-0000-0000-0000E9080000}"/>
    <cellStyle name="Comma 4 2 5 3 2 2 2" xfId="24477" xr:uid="{1D5E9CDF-A3D6-420B-8E7C-EC5BB0AB3A4E}"/>
    <cellStyle name="Comma 4 2 5 3 2 2 3" xfId="16036" xr:uid="{056DC802-FB5D-4EE4-8258-BA3040AB7AF7}"/>
    <cellStyle name="Comma 4 2 5 3 2 3" xfId="20259" xr:uid="{EB9CAAC1-C1E2-489D-A16B-7F2F66B57B44}"/>
    <cellStyle name="Comma 4 2 5 3 2 4" xfId="11818" xr:uid="{517563C8-367B-49E1-BEFD-42DF9351BD5B}"/>
    <cellStyle name="Comma 4 2 5 3 3" xfId="5441" xr:uid="{00000000-0005-0000-0000-0000EA080000}"/>
    <cellStyle name="Comma 4 2 5 3 3 2" xfId="22332" xr:uid="{64450B40-BBE8-4478-8662-6C7C86BE3FB0}"/>
    <cellStyle name="Comma 4 2 5 3 3 3" xfId="13891" xr:uid="{CC07CA38-00F9-4A21-BD73-E393924B5A1F}"/>
    <cellStyle name="Comma 4 2 5 3 4" xfId="18114" xr:uid="{05930673-7D30-477A-A650-90FF74BBDA04}"/>
    <cellStyle name="Comma 4 2 5 3 5" xfId="9673" xr:uid="{811D5793-F037-421B-9937-31D12E698455}"/>
    <cellStyle name="Comma 4 2 5 4" xfId="1547" xr:uid="{00000000-0005-0000-0000-0000EB080000}"/>
    <cellStyle name="Comma 4 2 5 4 2" xfId="3777" xr:uid="{00000000-0005-0000-0000-0000EC080000}"/>
    <cellStyle name="Comma 4 2 5 4 2 2" xfId="7999" xr:uid="{00000000-0005-0000-0000-0000ED080000}"/>
    <cellStyle name="Comma 4 2 5 4 2 2 2" xfId="24890" xr:uid="{976E8842-8BF4-44D0-A9F0-C6A436016E3B}"/>
    <cellStyle name="Comma 4 2 5 4 2 2 3" xfId="16449" xr:uid="{AEEE878E-D70D-4950-940D-A79CAC851080}"/>
    <cellStyle name="Comma 4 2 5 4 2 3" xfId="20672" xr:uid="{ED1D60BA-D993-4F80-8CEF-B9FBF2719EB3}"/>
    <cellStyle name="Comma 4 2 5 4 2 4" xfId="12231" xr:uid="{43AA4F32-09F2-4B01-89E8-D7C00DDA3BFA}"/>
    <cellStyle name="Comma 4 2 5 4 3" xfId="5854" xr:uid="{00000000-0005-0000-0000-0000EE080000}"/>
    <cellStyle name="Comma 4 2 5 4 3 2" xfId="22745" xr:uid="{F21C9C72-AE0B-41DB-B65F-2F0A07A7F0F8}"/>
    <cellStyle name="Comma 4 2 5 4 3 3" xfId="14304" xr:uid="{E4F3C4D8-F401-47F9-8EB8-347301EB9377}"/>
    <cellStyle name="Comma 4 2 5 4 4" xfId="18527" xr:uid="{13204546-6FDE-4517-BEA6-9C4FF7A14D38}"/>
    <cellStyle name="Comma 4 2 5 4 5" xfId="10086" xr:uid="{59F10150-BBDD-4DC9-8BF7-B6635D75AF6F}"/>
    <cellStyle name="Comma 4 2 5 5" xfId="1961" xr:uid="{00000000-0005-0000-0000-0000EF080000}"/>
    <cellStyle name="Comma 4 2 5 5 2" xfId="4190" xr:uid="{00000000-0005-0000-0000-0000F0080000}"/>
    <cellStyle name="Comma 4 2 5 5 2 2" xfId="8412" xr:uid="{00000000-0005-0000-0000-0000F1080000}"/>
    <cellStyle name="Comma 4 2 5 5 2 2 2" xfId="25303" xr:uid="{082367A5-9E92-496F-84EC-5B1919026185}"/>
    <cellStyle name="Comma 4 2 5 5 2 2 3" xfId="16862" xr:uid="{BA9DDE59-4162-4891-AFC4-0DCAD3731E9E}"/>
    <cellStyle name="Comma 4 2 5 5 2 3" xfId="21085" xr:uid="{5FB03EA5-307C-40F6-BC8C-3E0760D37F02}"/>
    <cellStyle name="Comma 4 2 5 5 2 4" xfId="12644" xr:uid="{C8AEF795-82D0-402C-A7C4-DA385F700DD0}"/>
    <cellStyle name="Comma 4 2 5 5 3" xfId="6267" xr:uid="{00000000-0005-0000-0000-0000F2080000}"/>
    <cellStyle name="Comma 4 2 5 5 3 2" xfId="23158" xr:uid="{6EF6BED8-1C5E-4ABF-A580-E1686D8BD616}"/>
    <cellStyle name="Comma 4 2 5 5 3 3" xfId="14717" xr:uid="{609A386C-1861-493F-82FF-3B0CAC460E67}"/>
    <cellStyle name="Comma 4 2 5 5 4" xfId="18940" xr:uid="{B5244AEF-EF64-4ED3-87CE-BC0BEC3AFA49}"/>
    <cellStyle name="Comma 4 2 5 5 5" xfId="10499" xr:uid="{8B18D45A-EA6A-4763-8344-40FDF4E292AE}"/>
    <cellStyle name="Comma 4 2 5 6" xfId="2396" xr:uid="{00000000-0005-0000-0000-0000F3080000}"/>
    <cellStyle name="Comma 4 2 5 6 2" xfId="6680" xr:uid="{00000000-0005-0000-0000-0000F4080000}"/>
    <cellStyle name="Comma 4 2 5 6 2 2" xfId="23571" xr:uid="{F2E3C5F7-0044-4F50-B088-B78720F5C179}"/>
    <cellStyle name="Comma 4 2 5 6 2 3" xfId="15130" xr:uid="{DEEA6D88-E217-4643-8CA0-9AAD338DC457}"/>
    <cellStyle name="Comma 4 2 5 6 3" xfId="19353" xr:uid="{4D57849C-CB53-4B32-BB1F-DF3441262F85}"/>
    <cellStyle name="Comma 4 2 5 6 4" xfId="10912" xr:uid="{DA89E108-8B4B-498B-B616-D98156CA6611}"/>
    <cellStyle name="Comma 4 2 5 7" xfId="2367" xr:uid="{00000000-0005-0000-0000-0000F5080000}"/>
    <cellStyle name="Comma 4 2 5 8" xfId="2774" xr:uid="{00000000-0005-0000-0000-0000F6080000}"/>
    <cellStyle name="Comma 4 2 5 8 2" xfId="6997" xr:uid="{00000000-0005-0000-0000-0000F7080000}"/>
    <cellStyle name="Comma 4 2 5 8 2 2" xfId="23888" xr:uid="{1DCD8BC9-576A-432D-8F11-5BE44B3C9B64}"/>
    <cellStyle name="Comma 4 2 5 8 2 3" xfId="15447" xr:uid="{17508C20-A905-431E-8B38-EFBFA595EB41}"/>
    <cellStyle name="Comma 4 2 5 8 3" xfId="19670" xr:uid="{EB4C2B2D-84EC-4147-871C-18E7E353B5B8}"/>
    <cellStyle name="Comma 4 2 5 8 4" xfId="11229" xr:uid="{CC25AEC3-FA96-476D-B6EB-B4D896D38155}"/>
    <cellStyle name="Comma 4 2 5 9" xfId="4614" xr:uid="{00000000-0005-0000-0000-0000F8080000}"/>
    <cellStyle name="Comma 4 2 5 9 2" xfId="21505" xr:uid="{01E9C7E6-132D-4AA8-9216-EC545194298F}"/>
    <cellStyle name="Comma 4 2 5 9 3" xfId="13064" xr:uid="{C76DD25A-095A-48A4-84EE-52731B9175E4}"/>
    <cellStyle name="Comma 4 2 6" xfId="143" xr:uid="{00000000-0005-0000-0000-0000F9080000}"/>
    <cellStyle name="Comma 4 2 6 10" xfId="17288" xr:uid="{4B6C436F-93AE-4EE1-ADCC-FB9B2CE22FA6}"/>
    <cellStyle name="Comma 4 2 6 11" xfId="8847" xr:uid="{A11A28A0-7308-4155-B682-0B575388CA07}"/>
    <cellStyle name="Comma 4 2 6 2" xfId="681" xr:uid="{00000000-0005-0000-0000-0000FA080000}"/>
    <cellStyle name="Comma 4 2 6 2 2" xfId="2952" xr:uid="{00000000-0005-0000-0000-0000FB080000}"/>
    <cellStyle name="Comma 4 2 6 2 2 2" xfId="7174" xr:uid="{00000000-0005-0000-0000-0000FC080000}"/>
    <cellStyle name="Comma 4 2 6 2 2 2 2" xfId="24065" xr:uid="{D1937050-D646-4664-9B7A-531E29BC94B5}"/>
    <cellStyle name="Comma 4 2 6 2 2 2 3" xfId="15624" xr:uid="{0421CC05-73AA-44CB-B2E4-0D03A94145CD}"/>
    <cellStyle name="Comma 4 2 6 2 2 3" xfId="19847" xr:uid="{7A7EE3EA-F581-4C1A-9C2C-444A5A5D6642}"/>
    <cellStyle name="Comma 4 2 6 2 2 4" xfId="11406" xr:uid="{0C0FCB49-ABCE-4A27-8037-EAB067B7848A}"/>
    <cellStyle name="Comma 4 2 6 2 3" xfId="5029" xr:uid="{00000000-0005-0000-0000-0000FD080000}"/>
    <cellStyle name="Comma 4 2 6 2 3 2" xfId="21920" xr:uid="{F12D9418-F8FC-4FA4-B773-4AFA1DCD6132}"/>
    <cellStyle name="Comma 4 2 6 2 3 3" xfId="13479" xr:uid="{B164D739-09CB-4FD5-A7D7-F0D23278AB1A}"/>
    <cellStyle name="Comma 4 2 6 2 4" xfId="17702" xr:uid="{EF5ADFE8-982C-4E6E-9B6D-0CFFFB86A220}"/>
    <cellStyle name="Comma 4 2 6 2 5" xfId="9261" xr:uid="{8270B63D-B70D-4B5A-8C7D-E39FF26246F4}"/>
    <cellStyle name="Comma 4 2 6 3" xfId="1134" xr:uid="{00000000-0005-0000-0000-0000FE080000}"/>
    <cellStyle name="Comma 4 2 6 3 2" xfId="3365" xr:uid="{00000000-0005-0000-0000-0000FF080000}"/>
    <cellStyle name="Comma 4 2 6 3 2 2" xfId="7587" xr:uid="{00000000-0005-0000-0000-000000090000}"/>
    <cellStyle name="Comma 4 2 6 3 2 2 2" xfId="24478" xr:uid="{6DAED110-30F5-4188-94A5-4F8E75EB2C49}"/>
    <cellStyle name="Comma 4 2 6 3 2 2 3" xfId="16037" xr:uid="{AE003BF0-FE9C-493D-B02A-D046FFC8461A}"/>
    <cellStyle name="Comma 4 2 6 3 2 3" xfId="20260" xr:uid="{D497509F-F4B1-4CD6-BBB7-0AF287E5DC6A}"/>
    <cellStyle name="Comma 4 2 6 3 2 4" xfId="11819" xr:uid="{C5652684-B4A5-4787-9058-5F7D043BEDD6}"/>
    <cellStyle name="Comma 4 2 6 3 3" xfId="5442" xr:uid="{00000000-0005-0000-0000-000001090000}"/>
    <cellStyle name="Comma 4 2 6 3 3 2" xfId="22333" xr:uid="{3C58556A-A415-443F-BF87-CC7CD2362BE2}"/>
    <cellStyle name="Comma 4 2 6 3 3 3" xfId="13892" xr:uid="{064F22AF-3B97-45AE-92E6-F979BA563F73}"/>
    <cellStyle name="Comma 4 2 6 3 4" xfId="18115" xr:uid="{A9076FFC-1CB5-4299-9420-7447E64FE0E7}"/>
    <cellStyle name="Comma 4 2 6 3 5" xfId="9674" xr:uid="{A6BF7673-921B-4304-A727-108B481EA503}"/>
    <cellStyle name="Comma 4 2 6 4" xfId="1548" xr:uid="{00000000-0005-0000-0000-000002090000}"/>
    <cellStyle name="Comma 4 2 6 4 2" xfId="3778" xr:uid="{00000000-0005-0000-0000-000003090000}"/>
    <cellStyle name="Comma 4 2 6 4 2 2" xfId="8000" xr:uid="{00000000-0005-0000-0000-000004090000}"/>
    <cellStyle name="Comma 4 2 6 4 2 2 2" xfId="24891" xr:uid="{79F5D1D3-7916-4097-A214-DBEB86151E1D}"/>
    <cellStyle name="Comma 4 2 6 4 2 2 3" xfId="16450" xr:uid="{5EF4B566-861A-4368-852A-F4A5CA19E293}"/>
    <cellStyle name="Comma 4 2 6 4 2 3" xfId="20673" xr:uid="{54C60226-6529-41BA-8246-0C97716DC3E1}"/>
    <cellStyle name="Comma 4 2 6 4 2 4" xfId="12232" xr:uid="{7D47EEE4-7D9E-4A75-84A8-243EB34C9796}"/>
    <cellStyle name="Comma 4 2 6 4 3" xfId="5855" xr:uid="{00000000-0005-0000-0000-000005090000}"/>
    <cellStyle name="Comma 4 2 6 4 3 2" xfId="22746" xr:uid="{85D21DC6-8706-4FB4-9614-F5B4FDE06C89}"/>
    <cellStyle name="Comma 4 2 6 4 3 3" xfId="14305" xr:uid="{C0BC9959-2480-45BD-BBF4-FD2BF567827C}"/>
    <cellStyle name="Comma 4 2 6 4 4" xfId="18528" xr:uid="{43BD6F28-BB61-4BDD-9B6E-E00AC9878049}"/>
    <cellStyle name="Comma 4 2 6 4 5" xfId="10087" xr:uid="{739D267E-3743-427D-89D1-C98E4FC0650E}"/>
    <cellStyle name="Comma 4 2 6 5" xfId="1962" xr:uid="{00000000-0005-0000-0000-000006090000}"/>
    <cellStyle name="Comma 4 2 6 5 2" xfId="4191" xr:uid="{00000000-0005-0000-0000-000007090000}"/>
    <cellStyle name="Comma 4 2 6 5 2 2" xfId="8413" xr:uid="{00000000-0005-0000-0000-000008090000}"/>
    <cellStyle name="Comma 4 2 6 5 2 2 2" xfId="25304" xr:uid="{0F3D9158-1839-4A6E-9B28-E16779FD3CCA}"/>
    <cellStyle name="Comma 4 2 6 5 2 2 3" xfId="16863" xr:uid="{B1B0C5B2-3F83-4B94-9D5C-7F6820CFEAE7}"/>
    <cellStyle name="Comma 4 2 6 5 2 3" xfId="21086" xr:uid="{EAA14F1A-6C00-4F8D-9091-B8114DF011E1}"/>
    <cellStyle name="Comma 4 2 6 5 2 4" xfId="12645" xr:uid="{C7539A3B-7C21-4021-B15E-1395239F8CF3}"/>
    <cellStyle name="Comma 4 2 6 5 3" xfId="6268" xr:uid="{00000000-0005-0000-0000-000009090000}"/>
    <cellStyle name="Comma 4 2 6 5 3 2" xfId="23159" xr:uid="{920721B3-78BD-4172-B646-1E546BCA9DE0}"/>
    <cellStyle name="Comma 4 2 6 5 3 3" xfId="14718" xr:uid="{D55DD539-5A21-4110-B6A6-1823D08965B5}"/>
    <cellStyle name="Comma 4 2 6 5 4" xfId="18941" xr:uid="{190BDF8E-1376-4CFB-94B1-FBAE4B40871A}"/>
    <cellStyle name="Comma 4 2 6 5 5" xfId="10500" xr:uid="{7BF6E64E-D7F9-4F20-A203-CDF5FA4B267B}"/>
    <cellStyle name="Comma 4 2 6 6" xfId="2397" xr:uid="{00000000-0005-0000-0000-00000A090000}"/>
    <cellStyle name="Comma 4 2 6 6 2" xfId="6681" xr:uid="{00000000-0005-0000-0000-00000B090000}"/>
    <cellStyle name="Comma 4 2 6 6 2 2" xfId="23572" xr:uid="{531862EE-16B1-4E34-8A14-C3BC350175E3}"/>
    <cellStyle name="Comma 4 2 6 6 2 3" xfId="15131" xr:uid="{369F3924-1D34-41DF-8758-73D413F0B02F}"/>
    <cellStyle name="Comma 4 2 6 6 3" xfId="19354" xr:uid="{BF74DF13-0F9E-4B19-BAED-3525074CDB13}"/>
    <cellStyle name="Comma 4 2 6 6 4" xfId="10913" xr:uid="{11AA94A1-A92C-4927-84EC-CE063E6A8AB2}"/>
    <cellStyle name="Comma 4 2 6 7" xfId="2366" xr:uid="{00000000-0005-0000-0000-00000C090000}"/>
    <cellStyle name="Comma 4 2 6 8" xfId="2775" xr:uid="{00000000-0005-0000-0000-00000D090000}"/>
    <cellStyle name="Comma 4 2 6 8 2" xfId="6998" xr:uid="{00000000-0005-0000-0000-00000E090000}"/>
    <cellStyle name="Comma 4 2 6 8 2 2" xfId="23889" xr:uid="{2884455F-CF19-4001-B5D2-013525A3E676}"/>
    <cellStyle name="Comma 4 2 6 8 2 3" xfId="15448" xr:uid="{4D3FDA69-8414-4E44-A8AC-FE960C2E0FED}"/>
    <cellStyle name="Comma 4 2 6 8 3" xfId="19671" xr:uid="{3C0B4246-86FD-416F-998E-4220A4C28852}"/>
    <cellStyle name="Comma 4 2 6 8 4" xfId="11230" xr:uid="{F4639FC9-66FB-4778-A363-5044FDD53FD9}"/>
    <cellStyle name="Comma 4 2 6 9" xfId="4615" xr:uid="{00000000-0005-0000-0000-00000F090000}"/>
    <cellStyle name="Comma 4 2 6 9 2" xfId="21506" xr:uid="{ED85293E-6526-4619-9A9A-E63C1232EAC6}"/>
    <cellStyle name="Comma 4 2 6 9 3" xfId="13065" xr:uid="{106856BF-8078-45C3-BA6D-AA01F542B23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0 2 2" xfId="23890" xr:uid="{5F00247C-A1CD-4C6F-9C6A-E3A214F009D4}"/>
    <cellStyle name="Comma 4 3 2 10 2 3" xfId="15449" xr:uid="{DA28B4BB-8181-4DA4-9F79-A963DAAA1DE8}"/>
    <cellStyle name="Comma 4 3 2 10 3" xfId="19672" xr:uid="{3FDC7FE7-3B1F-4FFF-9482-DA6E6ABD2A0B}"/>
    <cellStyle name="Comma 4 3 2 10 4" xfId="11231" xr:uid="{4ECDF589-0EA6-4542-8D4D-2916AE627BD9}"/>
    <cellStyle name="Comma 4 3 2 11" xfId="4616" xr:uid="{00000000-0005-0000-0000-000014090000}"/>
    <cellStyle name="Comma 4 3 2 11 2" xfId="21507" xr:uid="{2F567394-6E84-4827-9BC5-EF85D720016B}"/>
    <cellStyle name="Comma 4 3 2 11 3" xfId="13066" xr:uid="{78BA9C9D-22CE-4DC0-AEB0-C6347946842A}"/>
    <cellStyle name="Comma 4 3 2 12" xfId="17289" xr:uid="{0A509C89-71EE-4958-B005-9ED0C53B9EC0}"/>
    <cellStyle name="Comma 4 3 2 13" xfId="8848" xr:uid="{18F0DD0F-591B-463A-B1DC-057CE3571D6B}"/>
    <cellStyle name="Comma 4 3 2 2" xfId="146" xr:uid="{00000000-0005-0000-0000-000015090000}"/>
    <cellStyle name="Comma 4 3 2 2 10" xfId="4617" xr:uid="{00000000-0005-0000-0000-000016090000}"/>
    <cellStyle name="Comma 4 3 2 2 10 2" xfId="21508" xr:uid="{446E7015-E6AA-4E37-9D01-E45F66EBA067}"/>
    <cellStyle name="Comma 4 3 2 2 10 3" xfId="13067" xr:uid="{2A39DC8F-DF3B-4CF9-BA2A-F3D10540A44E}"/>
    <cellStyle name="Comma 4 3 2 2 11" xfId="17290" xr:uid="{DE0FFC9C-9082-458F-89B2-446D4A3CF810}"/>
    <cellStyle name="Comma 4 3 2 2 12" xfId="8849" xr:uid="{56639937-9C94-485D-9C01-255D967D89D4}"/>
    <cellStyle name="Comma 4 3 2 2 2" xfId="147" xr:uid="{00000000-0005-0000-0000-000017090000}"/>
    <cellStyle name="Comma 4 3 2 2 2 10" xfId="17291" xr:uid="{CDA5CF85-314F-4DCF-9DBC-0B84DC9E76C7}"/>
    <cellStyle name="Comma 4 3 2 2 2 11" xfId="8850" xr:uid="{44B60979-6CF8-4303-A552-C45EA65E316C}"/>
    <cellStyle name="Comma 4 3 2 2 2 2" xfId="684" xr:uid="{00000000-0005-0000-0000-000018090000}"/>
    <cellStyle name="Comma 4 3 2 2 2 2 2" xfId="2955" xr:uid="{00000000-0005-0000-0000-000019090000}"/>
    <cellStyle name="Comma 4 3 2 2 2 2 2 2" xfId="7177" xr:uid="{00000000-0005-0000-0000-00001A090000}"/>
    <cellStyle name="Comma 4 3 2 2 2 2 2 2 2" xfId="24068" xr:uid="{B4E10EC7-2B0D-47F6-AEB1-F7795F48A60E}"/>
    <cellStyle name="Comma 4 3 2 2 2 2 2 2 3" xfId="15627" xr:uid="{9F6FEFFA-5921-493F-8466-2B9654B611EC}"/>
    <cellStyle name="Comma 4 3 2 2 2 2 2 3" xfId="19850" xr:uid="{7C2389EA-CAA2-4EED-9E6D-6E396174841F}"/>
    <cellStyle name="Comma 4 3 2 2 2 2 2 4" xfId="11409" xr:uid="{07BCD121-E6E1-45A6-8B8A-075D11A65E65}"/>
    <cellStyle name="Comma 4 3 2 2 2 2 3" xfId="5032" xr:uid="{00000000-0005-0000-0000-00001B090000}"/>
    <cellStyle name="Comma 4 3 2 2 2 2 3 2" xfId="21923" xr:uid="{F03D7008-F913-4E03-ADA8-93F55175035C}"/>
    <cellStyle name="Comma 4 3 2 2 2 2 3 3" xfId="13482" xr:uid="{8645443C-129F-41FD-AF00-F2EB1D8084BE}"/>
    <cellStyle name="Comma 4 3 2 2 2 2 4" xfId="17705" xr:uid="{FFE17D11-B89B-4FE4-8617-5767B6FCA556}"/>
    <cellStyle name="Comma 4 3 2 2 2 2 5" xfId="9264" xr:uid="{24441760-A788-4706-B19D-3C88A81EDEBE}"/>
    <cellStyle name="Comma 4 3 2 2 2 3" xfId="1137" xr:uid="{00000000-0005-0000-0000-00001C090000}"/>
    <cellStyle name="Comma 4 3 2 2 2 3 2" xfId="3368" xr:uid="{00000000-0005-0000-0000-00001D090000}"/>
    <cellStyle name="Comma 4 3 2 2 2 3 2 2" xfId="7590" xr:uid="{00000000-0005-0000-0000-00001E090000}"/>
    <cellStyle name="Comma 4 3 2 2 2 3 2 2 2" xfId="24481" xr:uid="{4778515F-3B19-4CB5-8F14-094CE6970868}"/>
    <cellStyle name="Comma 4 3 2 2 2 3 2 2 3" xfId="16040" xr:uid="{6548F8D8-17C6-4AD0-A1C7-162A6723CCA3}"/>
    <cellStyle name="Comma 4 3 2 2 2 3 2 3" xfId="20263" xr:uid="{310403FC-782D-46CD-B060-3579AFDE9B07}"/>
    <cellStyle name="Comma 4 3 2 2 2 3 2 4" xfId="11822" xr:uid="{089E48E0-F0C2-4B2A-9EBB-4BB9E6DCAD87}"/>
    <cellStyle name="Comma 4 3 2 2 2 3 3" xfId="5445" xr:uid="{00000000-0005-0000-0000-00001F090000}"/>
    <cellStyle name="Comma 4 3 2 2 2 3 3 2" xfId="22336" xr:uid="{8CFE5687-DFFE-402B-899C-F738519ED96F}"/>
    <cellStyle name="Comma 4 3 2 2 2 3 3 3" xfId="13895" xr:uid="{68B2FA7D-D85E-4710-A2F8-45A75A6F773C}"/>
    <cellStyle name="Comma 4 3 2 2 2 3 4" xfId="18118" xr:uid="{56A0E32C-18F8-4623-8571-054216E392A8}"/>
    <cellStyle name="Comma 4 3 2 2 2 3 5" xfId="9677" xr:uid="{85930FD1-E3B4-43F6-BB79-5C95D347AD8D}"/>
    <cellStyle name="Comma 4 3 2 2 2 4" xfId="1551" xr:uid="{00000000-0005-0000-0000-000020090000}"/>
    <cellStyle name="Comma 4 3 2 2 2 4 2" xfId="3781" xr:uid="{00000000-0005-0000-0000-000021090000}"/>
    <cellStyle name="Comma 4 3 2 2 2 4 2 2" xfId="8003" xr:uid="{00000000-0005-0000-0000-000022090000}"/>
    <cellStyle name="Comma 4 3 2 2 2 4 2 2 2" xfId="24894" xr:uid="{D276C84E-5108-4399-B7D0-7A80DFE34692}"/>
    <cellStyle name="Comma 4 3 2 2 2 4 2 2 3" xfId="16453" xr:uid="{64F445E0-B701-44DC-9D29-E5B788644D6C}"/>
    <cellStyle name="Comma 4 3 2 2 2 4 2 3" xfId="20676" xr:uid="{5404330C-3659-41F0-8D03-60152270D7F2}"/>
    <cellStyle name="Comma 4 3 2 2 2 4 2 4" xfId="12235" xr:uid="{196BD931-ABA7-4368-8C2B-191A272EEA97}"/>
    <cellStyle name="Comma 4 3 2 2 2 4 3" xfId="5858" xr:uid="{00000000-0005-0000-0000-000023090000}"/>
    <cellStyle name="Comma 4 3 2 2 2 4 3 2" xfId="22749" xr:uid="{D56728BA-4799-4E2E-8EAB-51294FD4225C}"/>
    <cellStyle name="Comma 4 3 2 2 2 4 3 3" xfId="14308" xr:uid="{6D216CF2-7E1D-4149-AA78-5D142ACEEBBE}"/>
    <cellStyle name="Comma 4 3 2 2 2 4 4" xfId="18531" xr:uid="{12EBCB35-D862-4E38-956C-C7189E9DDE47}"/>
    <cellStyle name="Comma 4 3 2 2 2 4 5" xfId="10090" xr:uid="{D56072EE-470D-4414-9180-40BBA4B3C193}"/>
    <cellStyle name="Comma 4 3 2 2 2 5" xfId="1965" xr:uid="{00000000-0005-0000-0000-000024090000}"/>
    <cellStyle name="Comma 4 3 2 2 2 5 2" xfId="4194" xr:uid="{00000000-0005-0000-0000-000025090000}"/>
    <cellStyle name="Comma 4 3 2 2 2 5 2 2" xfId="8416" xr:uid="{00000000-0005-0000-0000-000026090000}"/>
    <cellStyle name="Comma 4 3 2 2 2 5 2 2 2" xfId="25307" xr:uid="{C20010AE-2F02-45E2-8AC3-5C7533D6DC5D}"/>
    <cellStyle name="Comma 4 3 2 2 2 5 2 2 3" xfId="16866" xr:uid="{A0D8EB08-CDC2-4C62-8246-8A9E995A39AF}"/>
    <cellStyle name="Comma 4 3 2 2 2 5 2 3" xfId="21089" xr:uid="{4E25EDA7-E84C-4CA1-8026-54CED47766B3}"/>
    <cellStyle name="Comma 4 3 2 2 2 5 2 4" xfId="12648" xr:uid="{75F4C3BF-E3AE-4386-8656-6DB921CE1879}"/>
    <cellStyle name="Comma 4 3 2 2 2 5 3" xfId="6271" xr:uid="{00000000-0005-0000-0000-000027090000}"/>
    <cellStyle name="Comma 4 3 2 2 2 5 3 2" xfId="23162" xr:uid="{E869F5B5-47A1-41BB-996F-8BB20FADF5B3}"/>
    <cellStyle name="Comma 4 3 2 2 2 5 3 3" xfId="14721" xr:uid="{1B648FBC-93CB-4E47-BFA0-F54CF6622E8D}"/>
    <cellStyle name="Comma 4 3 2 2 2 5 4" xfId="18944" xr:uid="{E313757F-644D-4F98-83D4-807443A50B6F}"/>
    <cellStyle name="Comma 4 3 2 2 2 5 5" xfId="10503" xr:uid="{AC6D9F05-F0FB-4F55-B573-CDA8F6F18F24}"/>
    <cellStyle name="Comma 4 3 2 2 2 6" xfId="2400" xr:uid="{00000000-0005-0000-0000-000028090000}"/>
    <cellStyle name="Comma 4 3 2 2 2 6 2" xfId="6684" xr:uid="{00000000-0005-0000-0000-000029090000}"/>
    <cellStyle name="Comma 4 3 2 2 2 6 2 2" xfId="23575" xr:uid="{1C3ABFB5-BB4A-4153-9ABD-707124D94CAC}"/>
    <cellStyle name="Comma 4 3 2 2 2 6 2 3" xfId="15134" xr:uid="{98730230-736E-42B7-87C0-2A4BDDEBA3BB}"/>
    <cellStyle name="Comma 4 3 2 2 2 6 3" xfId="19357" xr:uid="{0E45227F-6D84-40BE-A218-3CDC2DDEBBB0}"/>
    <cellStyle name="Comma 4 3 2 2 2 6 4" xfId="10916" xr:uid="{E0E85AE6-8608-4291-BA24-B5C846B7EA8B}"/>
    <cellStyle name="Comma 4 3 2 2 2 7" xfId="2363" xr:uid="{00000000-0005-0000-0000-00002A090000}"/>
    <cellStyle name="Comma 4 3 2 2 2 8" xfId="2778" xr:uid="{00000000-0005-0000-0000-00002B090000}"/>
    <cellStyle name="Comma 4 3 2 2 2 8 2" xfId="7001" xr:uid="{00000000-0005-0000-0000-00002C090000}"/>
    <cellStyle name="Comma 4 3 2 2 2 8 2 2" xfId="23892" xr:uid="{722022B7-C9DB-469C-9AC0-44A12AF06693}"/>
    <cellStyle name="Comma 4 3 2 2 2 8 2 3" xfId="15451" xr:uid="{745E70B8-4E5E-455E-8A13-2F1AC13D98EB}"/>
    <cellStyle name="Comma 4 3 2 2 2 8 3" xfId="19674" xr:uid="{DF945DCA-BB39-482E-8857-4D3BC180D0D1}"/>
    <cellStyle name="Comma 4 3 2 2 2 8 4" xfId="11233" xr:uid="{81EEF726-E43E-49C8-A1FB-CD99B3CDCB6F}"/>
    <cellStyle name="Comma 4 3 2 2 2 9" xfId="4618" xr:uid="{00000000-0005-0000-0000-00002D090000}"/>
    <cellStyle name="Comma 4 3 2 2 2 9 2" xfId="21509" xr:uid="{6507C66E-F1F4-40DF-8E11-458268C25826}"/>
    <cellStyle name="Comma 4 3 2 2 2 9 3" xfId="13068" xr:uid="{9EBA7D22-3C3B-4970-ACBA-F2101F088D7B}"/>
    <cellStyle name="Comma 4 3 2 2 3" xfId="683" xr:uid="{00000000-0005-0000-0000-00002E090000}"/>
    <cellStyle name="Comma 4 3 2 2 3 2" xfId="2954" xr:uid="{00000000-0005-0000-0000-00002F090000}"/>
    <cellStyle name="Comma 4 3 2 2 3 2 2" xfId="7176" xr:uid="{00000000-0005-0000-0000-000030090000}"/>
    <cellStyle name="Comma 4 3 2 2 3 2 2 2" xfId="24067" xr:uid="{6D76AA61-22AF-4968-BC83-2AB2E7843D4B}"/>
    <cellStyle name="Comma 4 3 2 2 3 2 2 3" xfId="15626" xr:uid="{4CA5F9F3-2DF1-4522-8A27-1D731E3CB6E9}"/>
    <cellStyle name="Comma 4 3 2 2 3 2 3" xfId="19849" xr:uid="{97AAEDA3-26D4-46DB-BAA8-A92F77B9E604}"/>
    <cellStyle name="Comma 4 3 2 2 3 2 4" xfId="11408" xr:uid="{305CCD81-5FC2-479C-8814-14DA35A83116}"/>
    <cellStyle name="Comma 4 3 2 2 3 3" xfId="5031" xr:uid="{00000000-0005-0000-0000-000031090000}"/>
    <cellStyle name="Comma 4 3 2 2 3 3 2" xfId="21922" xr:uid="{544B1DF9-CC9C-48AE-B8EC-2B4193872C26}"/>
    <cellStyle name="Comma 4 3 2 2 3 3 3" xfId="13481" xr:uid="{268BB1C2-AA88-47EE-8CA7-FDF199CAD5E6}"/>
    <cellStyle name="Comma 4 3 2 2 3 4" xfId="17704" xr:uid="{AB88B613-9923-40E6-967E-A9A8675EAD76}"/>
    <cellStyle name="Comma 4 3 2 2 3 5" xfId="9263" xr:uid="{199270EE-70C7-429F-A509-59EAEF7A3DA5}"/>
    <cellStyle name="Comma 4 3 2 2 4" xfId="1136" xr:uid="{00000000-0005-0000-0000-000032090000}"/>
    <cellStyle name="Comma 4 3 2 2 4 2" xfId="3367" xr:uid="{00000000-0005-0000-0000-000033090000}"/>
    <cellStyle name="Comma 4 3 2 2 4 2 2" xfId="7589" xr:uid="{00000000-0005-0000-0000-000034090000}"/>
    <cellStyle name="Comma 4 3 2 2 4 2 2 2" xfId="24480" xr:uid="{152F5119-4D85-48AB-AFAB-E6C944E5258D}"/>
    <cellStyle name="Comma 4 3 2 2 4 2 2 3" xfId="16039" xr:uid="{A804D27E-E59E-464B-8D9A-26E6DBC746D4}"/>
    <cellStyle name="Comma 4 3 2 2 4 2 3" xfId="20262" xr:uid="{D0451F1E-DFAB-4C45-89A0-FBE7B418C1A1}"/>
    <cellStyle name="Comma 4 3 2 2 4 2 4" xfId="11821" xr:uid="{F5FBA5D0-9338-483A-820F-9018B2213B75}"/>
    <cellStyle name="Comma 4 3 2 2 4 3" xfId="5444" xr:uid="{00000000-0005-0000-0000-000035090000}"/>
    <cellStyle name="Comma 4 3 2 2 4 3 2" xfId="22335" xr:uid="{08F95D16-C740-4597-BCAA-B7641A56B70E}"/>
    <cellStyle name="Comma 4 3 2 2 4 3 3" xfId="13894" xr:uid="{36379AF4-433E-4622-B539-0645B73FC9F9}"/>
    <cellStyle name="Comma 4 3 2 2 4 4" xfId="18117" xr:uid="{A1580CBF-7B2E-481B-913D-1767E6DB4006}"/>
    <cellStyle name="Comma 4 3 2 2 4 5" xfId="9676" xr:uid="{5BCD82D5-21E9-4211-8B6B-B5327A85A65C}"/>
    <cellStyle name="Comma 4 3 2 2 5" xfId="1550" xr:uid="{00000000-0005-0000-0000-000036090000}"/>
    <cellStyle name="Comma 4 3 2 2 5 2" xfId="3780" xr:uid="{00000000-0005-0000-0000-000037090000}"/>
    <cellStyle name="Comma 4 3 2 2 5 2 2" xfId="8002" xr:uid="{00000000-0005-0000-0000-000038090000}"/>
    <cellStyle name="Comma 4 3 2 2 5 2 2 2" xfId="24893" xr:uid="{5F42FAC1-FADA-49C5-9EF4-FB0B114F950D}"/>
    <cellStyle name="Comma 4 3 2 2 5 2 2 3" xfId="16452" xr:uid="{756DF5A0-F007-4844-8036-D1276F89A118}"/>
    <cellStyle name="Comma 4 3 2 2 5 2 3" xfId="20675" xr:uid="{A1B24C06-AC64-4A4D-B352-9294AB06B1B9}"/>
    <cellStyle name="Comma 4 3 2 2 5 2 4" xfId="12234" xr:uid="{5B69F8DF-7CE5-405B-B7C2-32EEC846746F}"/>
    <cellStyle name="Comma 4 3 2 2 5 3" xfId="5857" xr:uid="{00000000-0005-0000-0000-000039090000}"/>
    <cellStyle name="Comma 4 3 2 2 5 3 2" xfId="22748" xr:uid="{62F3BCE2-4689-4860-9C9E-46ACD9D43A25}"/>
    <cellStyle name="Comma 4 3 2 2 5 3 3" xfId="14307" xr:uid="{1DAE23DD-F45E-4248-8D37-8934583AF89E}"/>
    <cellStyle name="Comma 4 3 2 2 5 4" xfId="18530" xr:uid="{9D05ABBE-48E0-4605-A9DD-1462FB081D1D}"/>
    <cellStyle name="Comma 4 3 2 2 5 5" xfId="10089" xr:uid="{AE5025BE-1484-4005-B955-1997C47EA254}"/>
    <cellStyle name="Comma 4 3 2 2 6" xfId="1964" xr:uid="{00000000-0005-0000-0000-00003A090000}"/>
    <cellStyle name="Comma 4 3 2 2 6 2" xfId="4193" xr:uid="{00000000-0005-0000-0000-00003B090000}"/>
    <cellStyle name="Comma 4 3 2 2 6 2 2" xfId="8415" xr:uid="{00000000-0005-0000-0000-00003C090000}"/>
    <cellStyle name="Comma 4 3 2 2 6 2 2 2" xfId="25306" xr:uid="{636BA693-E957-417F-8737-57B8421F8868}"/>
    <cellStyle name="Comma 4 3 2 2 6 2 2 3" xfId="16865" xr:uid="{FD7F6111-801C-4EF9-9D0F-2CD19333B52F}"/>
    <cellStyle name="Comma 4 3 2 2 6 2 3" xfId="21088" xr:uid="{BA621FE4-1FDF-48DA-BA18-B3E617F03B8D}"/>
    <cellStyle name="Comma 4 3 2 2 6 2 4" xfId="12647" xr:uid="{44C602F7-7597-42C3-A50A-F4ED42CE430F}"/>
    <cellStyle name="Comma 4 3 2 2 6 3" xfId="6270" xr:uid="{00000000-0005-0000-0000-00003D090000}"/>
    <cellStyle name="Comma 4 3 2 2 6 3 2" xfId="23161" xr:uid="{20CB1DA8-D43E-48F2-A899-CB4CAB2F7F5F}"/>
    <cellStyle name="Comma 4 3 2 2 6 3 3" xfId="14720" xr:uid="{A4C068E6-6190-4069-8DD0-6A47B67C4201}"/>
    <cellStyle name="Comma 4 3 2 2 6 4" xfId="18943" xr:uid="{14316C83-82F6-4CDD-B6DD-AFFE6A2E8BCB}"/>
    <cellStyle name="Comma 4 3 2 2 6 5" xfId="10502" xr:uid="{332F7A5C-EF23-419F-AC70-F5B846C88BE3}"/>
    <cellStyle name="Comma 4 3 2 2 7" xfId="2399" xr:uid="{00000000-0005-0000-0000-00003E090000}"/>
    <cellStyle name="Comma 4 3 2 2 7 2" xfId="6683" xr:uid="{00000000-0005-0000-0000-00003F090000}"/>
    <cellStyle name="Comma 4 3 2 2 7 2 2" xfId="23574" xr:uid="{CE4682AA-D474-4D7D-93C1-07F034609643}"/>
    <cellStyle name="Comma 4 3 2 2 7 2 3" xfId="15133" xr:uid="{182A9233-2C1E-402E-AE68-854BFC0D69DE}"/>
    <cellStyle name="Comma 4 3 2 2 7 3" xfId="19356" xr:uid="{75020DF2-2138-4F1B-B938-A043DCF1E6B3}"/>
    <cellStyle name="Comma 4 3 2 2 7 4" xfId="10915" xr:uid="{A2706781-3BC2-4E8C-B474-99CEF8AE4A2C}"/>
    <cellStyle name="Comma 4 3 2 2 8" xfId="2364" xr:uid="{00000000-0005-0000-0000-000040090000}"/>
    <cellStyle name="Comma 4 3 2 2 9" xfId="2777" xr:uid="{00000000-0005-0000-0000-000041090000}"/>
    <cellStyle name="Comma 4 3 2 2 9 2" xfId="7000" xr:uid="{00000000-0005-0000-0000-000042090000}"/>
    <cellStyle name="Comma 4 3 2 2 9 2 2" xfId="23891" xr:uid="{10811FCF-A109-4CB6-8658-863B01952ACC}"/>
    <cellStyle name="Comma 4 3 2 2 9 2 3" xfId="15450" xr:uid="{6913B16A-6753-46AD-B925-7159BCC31237}"/>
    <cellStyle name="Comma 4 3 2 2 9 3" xfId="19673" xr:uid="{65D43AFD-88F0-410E-8604-14677A4F69B3}"/>
    <cellStyle name="Comma 4 3 2 2 9 4" xfId="11232" xr:uid="{75D65CF6-9F00-4DC1-849A-E5950FA5AEE2}"/>
    <cellStyle name="Comma 4 3 2 3" xfId="148" xr:uid="{00000000-0005-0000-0000-000043090000}"/>
    <cellStyle name="Comma 4 3 2 3 10" xfId="17292" xr:uid="{5ED45DF2-E99F-49A1-A8CB-FDF50281DC83}"/>
    <cellStyle name="Comma 4 3 2 3 11" xfId="8851" xr:uid="{625E2D72-8104-46D7-807D-5B490B017D76}"/>
    <cellStyle name="Comma 4 3 2 3 2" xfId="685" xr:uid="{00000000-0005-0000-0000-000044090000}"/>
    <cellStyle name="Comma 4 3 2 3 2 2" xfId="2956" xr:uid="{00000000-0005-0000-0000-000045090000}"/>
    <cellStyle name="Comma 4 3 2 3 2 2 2" xfId="7178" xr:uid="{00000000-0005-0000-0000-000046090000}"/>
    <cellStyle name="Comma 4 3 2 3 2 2 2 2" xfId="24069" xr:uid="{EE8DC30A-5211-4BCE-86DF-E96B78FAD050}"/>
    <cellStyle name="Comma 4 3 2 3 2 2 2 3" xfId="15628" xr:uid="{2F3037A9-364C-4DCA-B85A-476E443376B4}"/>
    <cellStyle name="Comma 4 3 2 3 2 2 3" xfId="19851" xr:uid="{8874F9B1-C29B-426B-BAA1-76CEED16E9C6}"/>
    <cellStyle name="Comma 4 3 2 3 2 2 4" xfId="11410" xr:uid="{63044C23-6F14-45FB-BF49-A7D2728A2855}"/>
    <cellStyle name="Comma 4 3 2 3 2 3" xfId="5033" xr:uid="{00000000-0005-0000-0000-000047090000}"/>
    <cellStyle name="Comma 4 3 2 3 2 3 2" xfId="21924" xr:uid="{8C1343CE-CA95-45DE-89D3-ABD7E04AA409}"/>
    <cellStyle name="Comma 4 3 2 3 2 3 3" xfId="13483" xr:uid="{FC8B4B8B-E040-438D-BA87-928014A39464}"/>
    <cellStyle name="Comma 4 3 2 3 2 4" xfId="17706" xr:uid="{8617B71B-F4CA-4ED3-B344-38DED2132FFC}"/>
    <cellStyle name="Comma 4 3 2 3 2 5" xfId="9265" xr:uid="{6E40B927-BDB7-461F-A516-17C85408E403}"/>
    <cellStyle name="Comma 4 3 2 3 3" xfId="1138" xr:uid="{00000000-0005-0000-0000-000048090000}"/>
    <cellStyle name="Comma 4 3 2 3 3 2" xfId="3369" xr:uid="{00000000-0005-0000-0000-000049090000}"/>
    <cellStyle name="Comma 4 3 2 3 3 2 2" xfId="7591" xr:uid="{00000000-0005-0000-0000-00004A090000}"/>
    <cellStyle name="Comma 4 3 2 3 3 2 2 2" xfId="24482" xr:uid="{FA993441-C64F-43BD-AFD9-7BC9D92ED661}"/>
    <cellStyle name="Comma 4 3 2 3 3 2 2 3" xfId="16041" xr:uid="{A4E05736-F2A5-4769-946B-B69E22ABE7E4}"/>
    <cellStyle name="Comma 4 3 2 3 3 2 3" xfId="20264" xr:uid="{BBF93BBA-0B69-40A2-A45E-384306050ECD}"/>
    <cellStyle name="Comma 4 3 2 3 3 2 4" xfId="11823" xr:uid="{4F7D36F3-EF2B-43B9-8D00-8FC6F3D602E7}"/>
    <cellStyle name="Comma 4 3 2 3 3 3" xfId="5446" xr:uid="{00000000-0005-0000-0000-00004B090000}"/>
    <cellStyle name="Comma 4 3 2 3 3 3 2" xfId="22337" xr:uid="{05958C06-D346-4E80-810B-7D1A7035D3C2}"/>
    <cellStyle name="Comma 4 3 2 3 3 3 3" xfId="13896" xr:uid="{982B4772-2D66-4077-9DD8-7B7CB9EBEDFF}"/>
    <cellStyle name="Comma 4 3 2 3 3 4" xfId="18119" xr:uid="{754EC3B7-5F05-4E14-875D-7A6A3B7B5154}"/>
    <cellStyle name="Comma 4 3 2 3 3 5" xfId="9678" xr:uid="{5362AB90-CF8C-4C53-B69E-90B58BF269C6}"/>
    <cellStyle name="Comma 4 3 2 3 4" xfId="1552" xr:uid="{00000000-0005-0000-0000-00004C090000}"/>
    <cellStyle name="Comma 4 3 2 3 4 2" xfId="3782" xr:uid="{00000000-0005-0000-0000-00004D090000}"/>
    <cellStyle name="Comma 4 3 2 3 4 2 2" xfId="8004" xr:uid="{00000000-0005-0000-0000-00004E090000}"/>
    <cellStyle name="Comma 4 3 2 3 4 2 2 2" xfId="24895" xr:uid="{0A548854-951E-4B74-BAA8-484AB002F79E}"/>
    <cellStyle name="Comma 4 3 2 3 4 2 2 3" xfId="16454" xr:uid="{B574C514-C3B0-4880-A30A-3EDB351FAC8D}"/>
    <cellStyle name="Comma 4 3 2 3 4 2 3" xfId="20677" xr:uid="{744BFB1B-2A8C-4DD9-986C-D024E27844FF}"/>
    <cellStyle name="Comma 4 3 2 3 4 2 4" xfId="12236" xr:uid="{28592BA3-7410-4577-921D-459E99B91B21}"/>
    <cellStyle name="Comma 4 3 2 3 4 3" xfId="5859" xr:uid="{00000000-0005-0000-0000-00004F090000}"/>
    <cellStyle name="Comma 4 3 2 3 4 3 2" xfId="22750" xr:uid="{85F66B2E-8EAA-4731-AA6F-6F2430BBC9A4}"/>
    <cellStyle name="Comma 4 3 2 3 4 3 3" xfId="14309" xr:uid="{7C766CD6-1D17-4080-B400-4E51F6EF6639}"/>
    <cellStyle name="Comma 4 3 2 3 4 4" xfId="18532" xr:uid="{7C01D844-0B26-4B48-B7D7-D70816D4D097}"/>
    <cellStyle name="Comma 4 3 2 3 4 5" xfId="10091" xr:uid="{B68D1CBC-4A4D-4A10-8BB1-3A40D3B113BF}"/>
    <cellStyle name="Comma 4 3 2 3 5" xfId="1966" xr:uid="{00000000-0005-0000-0000-000050090000}"/>
    <cellStyle name="Comma 4 3 2 3 5 2" xfId="4195" xr:uid="{00000000-0005-0000-0000-000051090000}"/>
    <cellStyle name="Comma 4 3 2 3 5 2 2" xfId="8417" xr:uid="{00000000-0005-0000-0000-000052090000}"/>
    <cellStyle name="Comma 4 3 2 3 5 2 2 2" xfId="25308" xr:uid="{7BADD0AD-6031-41E2-A368-7A0DE078AEEB}"/>
    <cellStyle name="Comma 4 3 2 3 5 2 2 3" xfId="16867" xr:uid="{7946B009-4A7F-47AA-9742-86D228EB34EB}"/>
    <cellStyle name="Comma 4 3 2 3 5 2 3" xfId="21090" xr:uid="{DE2E07C5-345E-4685-951F-DF0CF2A6C699}"/>
    <cellStyle name="Comma 4 3 2 3 5 2 4" xfId="12649" xr:uid="{358C7B77-A2AD-4902-8B29-D209AA2EFD56}"/>
    <cellStyle name="Comma 4 3 2 3 5 3" xfId="6272" xr:uid="{00000000-0005-0000-0000-000053090000}"/>
    <cellStyle name="Comma 4 3 2 3 5 3 2" xfId="23163" xr:uid="{902F9652-7EF6-4B0D-BB8A-B5DDE1F75C96}"/>
    <cellStyle name="Comma 4 3 2 3 5 3 3" xfId="14722" xr:uid="{3D601A85-FC61-42D3-9178-7BF741AD9A84}"/>
    <cellStyle name="Comma 4 3 2 3 5 4" xfId="18945" xr:uid="{D6583AF3-BE99-4D06-ACF9-8823FECB19E5}"/>
    <cellStyle name="Comma 4 3 2 3 5 5" xfId="10504" xr:uid="{FEEC2C2E-E7A7-490F-89EE-2AD664D6623D}"/>
    <cellStyle name="Comma 4 3 2 3 6" xfId="2401" xr:uid="{00000000-0005-0000-0000-000054090000}"/>
    <cellStyle name="Comma 4 3 2 3 6 2" xfId="6685" xr:uid="{00000000-0005-0000-0000-000055090000}"/>
    <cellStyle name="Comma 4 3 2 3 6 2 2" xfId="23576" xr:uid="{68DBC6FB-3E75-4C39-8834-E4895CC9E73F}"/>
    <cellStyle name="Comma 4 3 2 3 6 2 3" xfId="15135" xr:uid="{968B37CF-4277-4C8D-9192-9347F52866C4}"/>
    <cellStyle name="Comma 4 3 2 3 6 3" xfId="19358" xr:uid="{D1ABB7F2-130E-4C4F-852B-C5E11BA650B7}"/>
    <cellStyle name="Comma 4 3 2 3 6 4" xfId="10917" xr:uid="{73ECA655-6A82-455A-8A71-B0F5A280176C}"/>
    <cellStyle name="Comma 4 3 2 3 7" xfId="2362" xr:uid="{00000000-0005-0000-0000-000056090000}"/>
    <cellStyle name="Comma 4 3 2 3 8" xfId="2779" xr:uid="{00000000-0005-0000-0000-000057090000}"/>
    <cellStyle name="Comma 4 3 2 3 8 2" xfId="7002" xr:uid="{00000000-0005-0000-0000-000058090000}"/>
    <cellStyle name="Comma 4 3 2 3 8 2 2" xfId="23893" xr:uid="{B6037F50-BE95-4AA9-8023-EC350148592E}"/>
    <cellStyle name="Comma 4 3 2 3 8 2 3" xfId="15452" xr:uid="{8842AB64-F1E6-4A80-9D56-95F24C02E0C1}"/>
    <cellStyle name="Comma 4 3 2 3 8 3" xfId="19675" xr:uid="{4D62CB1E-4F7D-433C-BE62-2B5960495972}"/>
    <cellStyle name="Comma 4 3 2 3 8 4" xfId="11234" xr:uid="{ECD1407C-9695-4B6A-8E08-6E8BB50BB203}"/>
    <cellStyle name="Comma 4 3 2 3 9" xfId="4619" xr:uid="{00000000-0005-0000-0000-000059090000}"/>
    <cellStyle name="Comma 4 3 2 3 9 2" xfId="21510" xr:uid="{E9615D97-4D27-449C-BABF-EF58A8E5CB79}"/>
    <cellStyle name="Comma 4 3 2 3 9 3" xfId="13069" xr:uid="{FE63E6B9-3C8C-40CE-8F15-3323AF194841}"/>
    <cellStyle name="Comma 4 3 2 4" xfId="682" xr:uid="{00000000-0005-0000-0000-00005A090000}"/>
    <cellStyle name="Comma 4 3 2 4 2" xfId="2953" xr:uid="{00000000-0005-0000-0000-00005B090000}"/>
    <cellStyle name="Comma 4 3 2 4 2 2" xfId="7175" xr:uid="{00000000-0005-0000-0000-00005C090000}"/>
    <cellStyle name="Comma 4 3 2 4 2 2 2" xfId="24066" xr:uid="{70AC7767-F799-4877-B8A5-1BD4528841AD}"/>
    <cellStyle name="Comma 4 3 2 4 2 2 3" xfId="15625" xr:uid="{A7E395DF-E069-4BAA-B3CE-89E71E5CA0C4}"/>
    <cellStyle name="Comma 4 3 2 4 2 3" xfId="19848" xr:uid="{D0693A9B-2649-4218-91A6-A036574EF08C}"/>
    <cellStyle name="Comma 4 3 2 4 2 4" xfId="11407" xr:uid="{278B4E76-5F5B-4A01-A85A-3E4D47A17315}"/>
    <cellStyle name="Comma 4 3 2 4 3" xfId="5030" xr:uid="{00000000-0005-0000-0000-00005D090000}"/>
    <cellStyle name="Comma 4 3 2 4 3 2" xfId="21921" xr:uid="{AB6B5AB6-F8EB-4980-9E98-B8C69E9FD87E}"/>
    <cellStyle name="Comma 4 3 2 4 3 3" xfId="13480" xr:uid="{2675A409-05CE-49B8-84E7-2EAE7C954624}"/>
    <cellStyle name="Comma 4 3 2 4 4" xfId="17703" xr:uid="{3961A95F-53C1-4977-BAB7-9DB547426C04}"/>
    <cellStyle name="Comma 4 3 2 4 5" xfId="9262" xr:uid="{E3668238-DB11-488E-AFC5-91AF16A54FB3}"/>
    <cellStyle name="Comma 4 3 2 5" xfId="1135" xr:uid="{00000000-0005-0000-0000-00005E090000}"/>
    <cellStyle name="Comma 4 3 2 5 2" xfId="3366" xr:uid="{00000000-0005-0000-0000-00005F090000}"/>
    <cellStyle name="Comma 4 3 2 5 2 2" xfId="7588" xr:uid="{00000000-0005-0000-0000-000060090000}"/>
    <cellStyle name="Comma 4 3 2 5 2 2 2" xfId="24479" xr:uid="{B4FC8429-8DCB-4D2B-B3B0-A5805861206C}"/>
    <cellStyle name="Comma 4 3 2 5 2 2 3" xfId="16038" xr:uid="{4F2BA7B0-0996-4C92-97C3-5C2341460931}"/>
    <cellStyle name="Comma 4 3 2 5 2 3" xfId="20261" xr:uid="{0C4D513A-D1F9-4710-AF32-C68D6C94714D}"/>
    <cellStyle name="Comma 4 3 2 5 2 4" xfId="11820" xr:uid="{FF12528C-3B8C-4879-A42C-11A8815E67CB}"/>
    <cellStyle name="Comma 4 3 2 5 3" xfId="5443" xr:uid="{00000000-0005-0000-0000-000061090000}"/>
    <cellStyle name="Comma 4 3 2 5 3 2" xfId="22334" xr:uid="{146CB65A-228C-4206-B726-00E97C27CAF4}"/>
    <cellStyle name="Comma 4 3 2 5 3 3" xfId="13893" xr:uid="{FA17D20D-BFCA-49AF-8DFB-3CB14A22DF0E}"/>
    <cellStyle name="Comma 4 3 2 5 4" xfId="18116" xr:uid="{C05B8F6B-C647-4F48-BC0C-90B0B0A684AC}"/>
    <cellStyle name="Comma 4 3 2 5 5" xfId="9675" xr:uid="{A0038759-694C-414B-8170-FFF6DD9489FA}"/>
    <cellStyle name="Comma 4 3 2 6" xfId="1549" xr:uid="{00000000-0005-0000-0000-000062090000}"/>
    <cellStyle name="Comma 4 3 2 6 2" xfId="3779" xr:uid="{00000000-0005-0000-0000-000063090000}"/>
    <cellStyle name="Comma 4 3 2 6 2 2" xfId="8001" xr:uid="{00000000-0005-0000-0000-000064090000}"/>
    <cellStyle name="Comma 4 3 2 6 2 2 2" xfId="24892" xr:uid="{9364CE6A-F203-4272-9EFF-23372AB3B907}"/>
    <cellStyle name="Comma 4 3 2 6 2 2 3" xfId="16451" xr:uid="{D38C3643-7CFD-4B7C-B8BD-B9852FD6F1A8}"/>
    <cellStyle name="Comma 4 3 2 6 2 3" xfId="20674" xr:uid="{07366FC7-91F7-4C2C-8BAF-CF5CAD89A496}"/>
    <cellStyle name="Comma 4 3 2 6 2 4" xfId="12233" xr:uid="{6403B28E-CBC0-4520-8E39-E05ABAE94C42}"/>
    <cellStyle name="Comma 4 3 2 6 3" xfId="5856" xr:uid="{00000000-0005-0000-0000-000065090000}"/>
    <cellStyle name="Comma 4 3 2 6 3 2" xfId="22747" xr:uid="{67534A09-C79A-4483-BD5A-D9DC7B4A6927}"/>
    <cellStyle name="Comma 4 3 2 6 3 3" xfId="14306" xr:uid="{35D55A33-A965-4C93-9C7F-70904D96A312}"/>
    <cellStyle name="Comma 4 3 2 6 4" xfId="18529" xr:uid="{39A54434-5FC0-401D-90AF-CB537AE9989B}"/>
    <cellStyle name="Comma 4 3 2 6 5" xfId="10088" xr:uid="{457C085A-E0A0-4C65-8C72-F78A951981CD}"/>
    <cellStyle name="Comma 4 3 2 7" xfId="1963" xr:uid="{00000000-0005-0000-0000-000066090000}"/>
    <cellStyle name="Comma 4 3 2 7 2" xfId="4192" xr:uid="{00000000-0005-0000-0000-000067090000}"/>
    <cellStyle name="Comma 4 3 2 7 2 2" xfId="8414" xr:uid="{00000000-0005-0000-0000-000068090000}"/>
    <cellStyle name="Comma 4 3 2 7 2 2 2" xfId="25305" xr:uid="{D0795BBD-D4A8-42B4-BE0F-AB52BAC7AFE1}"/>
    <cellStyle name="Comma 4 3 2 7 2 2 3" xfId="16864" xr:uid="{EEC6941B-B850-4424-A861-A6F507012462}"/>
    <cellStyle name="Comma 4 3 2 7 2 3" xfId="21087" xr:uid="{73EA6960-C67A-4623-8FB4-E22D2D5608A7}"/>
    <cellStyle name="Comma 4 3 2 7 2 4" xfId="12646" xr:uid="{EC5C6A0F-189F-4BB3-A864-1B93D0FA1DB6}"/>
    <cellStyle name="Comma 4 3 2 7 3" xfId="6269" xr:uid="{00000000-0005-0000-0000-000069090000}"/>
    <cellStyle name="Comma 4 3 2 7 3 2" xfId="23160" xr:uid="{F375545B-459C-4B4D-9EBC-E5D10E21B65B}"/>
    <cellStyle name="Comma 4 3 2 7 3 3" xfId="14719" xr:uid="{709C02F3-9C47-40E6-A766-960A0856229C}"/>
    <cellStyle name="Comma 4 3 2 7 4" xfId="18942" xr:uid="{1B88A8F1-6AD1-4E02-9C5A-CC9F9ABFDAF9}"/>
    <cellStyle name="Comma 4 3 2 7 5" xfId="10501" xr:uid="{199F4068-B376-40A3-ACD0-9946B1423591}"/>
    <cellStyle name="Comma 4 3 2 8" xfId="2398" xr:uid="{00000000-0005-0000-0000-00006A090000}"/>
    <cellStyle name="Comma 4 3 2 8 2" xfId="6682" xr:uid="{00000000-0005-0000-0000-00006B090000}"/>
    <cellStyle name="Comma 4 3 2 8 2 2" xfId="23573" xr:uid="{8C0D0D9E-FFD3-4EA5-B594-554D7C15618A}"/>
    <cellStyle name="Comma 4 3 2 8 2 3" xfId="15132" xr:uid="{FDF254B6-CAF4-491D-B302-74BDE79EE448}"/>
    <cellStyle name="Comma 4 3 2 8 3" xfId="19355" xr:uid="{E90F0C4C-EA4D-40B8-AE27-3195C50B3E99}"/>
    <cellStyle name="Comma 4 3 2 8 4" xfId="10914" xr:uid="{26671D27-4E43-44F9-B58B-499F07B9594D}"/>
    <cellStyle name="Comma 4 3 2 9" xfId="2365" xr:uid="{00000000-0005-0000-0000-00006C090000}"/>
    <cellStyle name="Comma 4 3 3" xfId="149" xr:uid="{00000000-0005-0000-0000-00006D090000}"/>
    <cellStyle name="Comma 4 3 3 10" xfId="4620" xr:uid="{00000000-0005-0000-0000-00006E090000}"/>
    <cellStyle name="Comma 4 3 3 10 2" xfId="21511" xr:uid="{0CF5805D-A84E-4FC6-AD43-28E23B569E4D}"/>
    <cellStyle name="Comma 4 3 3 10 3" xfId="13070" xr:uid="{4419EFBB-68B1-4452-BC08-97B35A899E21}"/>
    <cellStyle name="Comma 4 3 3 11" xfId="17293" xr:uid="{975FAAD3-3F21-41F8-B3F5-02601948D2BE}"/>
    <cellStyle name="Comma 4 3 3 12" xfId="8852" xr:uid="{E4236D14-33A5-4D60-970E-4C15FF3F657C}"/>
    <cellStyle name="Comma 4 3 3 2" xfId="150" xr:uid="{00000000-0005-0000-0000-00006F090000}"/>
    <cellStyle name="Comma 4 3 3 2 10" xfId="17294" xr:uid="{441BA09A-D04B-401A-9CCA-3800412587F5}"/>
    <cellStyle name="Comma 4 3 3 2 11" xfId="8853" xr:uid="{7FEBF6DD-13A3-49C2-96DE-D02787C44A20}"/>
    <cellStyle name="Comma 4 3 3 2 2" xfId="687" xr:uid="{00000000-0005-0000-0000-000070090000}"/>
    <cellStyle name="Comma 4 3 3 2 2 2" xfId="2958" xr:uid="{00000000-0005-0000-0000-000071090000}"/>
    <cellStyle name="Comma 4 3 3 2 2 2 2" xfId="7180" xr:uid="{00000000-0005-0000-0000-000072090000}"/>
    <cellStyle name="Comma 4 3 3 2 2 2 2 2" xfId="24071" xr:uid="{FFDDEE68-67A6-4CDC-968B-E23F02CB03BC}"/>
    <cellStyle name="Comma 4 3 3 2 2 2 2 3" xfId="15630" xr:uid="{0F5FD734-0672-4B8B-BA75-58F1C54387C0}"/>
    <cellStyle name="Comma 4 3 3 2 2 2 3" xfId="19853" xr:uid="{14083539-491D-4B6C-9631-E50AE73F1D23}"/>
    <cellStyle name="Comma 4 3 3 2 2 2 4" xfId="11412" xr:uid="{18C3EBF0-CBF5-44C3-BBF0-D86AD3A1E47C}"/>
    <cellStyle name="Comma 4 3 3 2 2 3" xfId="5035" xr:uid="{00000000-0005-0000-0000-000073090000}"/>
    <cellStyle name="Comma 4 3 3 2 2 3 2" xfId="21926" xr:uid="{EB7A73A4-E5C5-44BF-9702-8C8DEF269259}"/>
    <cellStyle name="Comma 4 3 3 2 2 3 3" xfId="13485" xr:uid="{1D4439AC-EE73-442F-9623-E9D8AB1703C2}"/>
    <cellStyle name="Comma 4 3 3 2 2 4" xfId="17708" xr:uid="{8BDEAAA2-29F5-4827-9169-76DA414AD1D9}"/>
    <cellStyle name="Comma 4 3 3 2 2 5" xfId="9267" xr:uid="{D2ADF58A-8C29-45EE-AA6C-8E057F0D5F03}"/>
    <cellStyle name="Comma 4 3 3 2 3" xfId="1140" xr:uid="{00000000-0005-0000-0000-000074090000}"/>
    <cellStyle name="Comma 4 3 3 2 3 2" xfId="3371" xr:uid="{00000000-0005-0000-0000-000075090000}"/>
    <cellStyle name="Comma 4 3 3 2 3 2 2" xfId="7593" xr:uid="{00000000-0005-0000-0000-000076090000}"/>
    <cellStyle name="Comma 4 3 3 2 3 2 2 2" xfId="24484" xr:uid="{D811F802-592E-4228-B792-E9F56019D9F8}"/>
    <cellStyle name="Comma 4 3 3 2 3 2 2 3" xfId="16043" xr:uid="{C6B0BF2C-40FB-4835-8095-8940450244EF}"/>
    <cellStyle name="Comma 4 3 3 2 3 2 3" xfId="20266" xr:uid="{08BE9925-C17E-4881-8225-154AEB89D652}"/>
    <cellStyle name="Comma 4 3 3 2 3 2 4" xfId="11825" xr:uid="{E4823B7D-3349-4759-A517-A12EDDC34899}"/>
    <cellStyle name="Comma 4 3 3 2 3 3" xfId="5448" xr:uid="{00000000-0005-0000-0000-000077090000}"/>
    <cellStyle name="Comma 4 3 3 2 3 3 2" xfId="22339" xr:uid="{A926D445-66C2-48A3-A2ED-93CA63E77B9C}"/>
    <cellStyle name="Comma 4 3 3 2 3 3 3" xfId="13898" xr:uid="{9D71B758-C229-46D2-A7C3-1B110F377AA8}"/>
    <cellStyle name="Comma 4 3 3 2 3 4" xfId="18121" xr:uid="{D122FF0E-460C-4B1B-8400-66F4A5452A71}"/>
    <cellStyle name="Comma 4 3 3 2 3 5" xfId="9680" xr:uid="{57101F5B-651E-44B1-9C85-745363954EA2}"/>
    <cellStyle name="Comma 4 3 3 2 4" xfId="1554" xr:uid="{00000000-0005-0000-0000-000078090000}"/>
    <cellStyle name="Comma 4 3 3 2 4 2" xfId="3784" xr:uid="{00000000-0005-0000-0000-000079090000}"/>
    <cellStyle name="Comma 4 3 3 2 4 2 2" xfId="8006" xr:uid="{00000000-0005-0000-0000-00007A090000}"/>
    <cellStyle name="Comma 4 3 3 2 4 2 2 2" xfId="24897" xr:uid="{E96BCD21-1A1B-41E5-A385-1A4F28D8497E}"/>
    <cellStyle name="Comma 4 3 3 2 4 2 2 3" xfId="16456" xr:uid="{3E49EF73-20A1-4DC6-8EE2-00B4E4196525}"/>
    <cellStyle name="Comma 4 3 3 2 4 2 3" xfId="20679" xr:uid="{B6F17F03-3614-4AC6-BF43-853B410CFA16}"/>
    <cellStyle name="Comma 4 3 3 2 4 2 4" xfId="12238" xr:uid="{537F472B-12BF-4E44-8355-3E34D1D5BDF7}"/>
    <cellStyle name="Comma 4 3 3 2 4 3" xfId="5861" xr:uid="{00000000-0005-0000-0000-00007B090000}"/>
    <cellStyle name="Comma 4 3 3 2 4 3 2" xfId="22752" xr:uid="{9016AFC4-CABD-4283-B64A-7FBD11EEEC73}"/>
    <cellStyle name="Comma 4 3 3 2 4 3 3" xfId="14311" xr:uid="{EAE59979-6FD1-4F37-B82F-6DFF2D64A52E}"/>
    <cellStyle name="Comma 4 3 3 2 4 4" xfId="18534" xr:uid="{25C3AAEA-6247-4C18-BDAC-1E11E453FE7E}"/>
    <cellStyle name="Comma 4 3 3 2 4 5" xfId="10093" xr:uid="{1A105ED3-653E-4C58-9078-75E25139D329}"/>
    <cellStyle name="Comma 4 3 3 2 5" xfId="1968" xr:uid="{00000000-0005-0000-0000-00007C090000}"/>
    <cellStyle name="Comma 4 3 3 2 5 2" xfId="4197" xr:uid="{00000000-0005-0000-0000-00007D090000}"/>
    <cellStyle name="Comma 4 3 3 2 5 2 2" xfId="8419" xr:uid="{00000000-0005-0000-0000-00007E090000}"/>
    <cellStyle name="Comma 4 3 3 2 5 2 2 2" xfId="25310" xr:uid="{4A3FB244-0466-4FE9-9CB6-314B0E9EB966}"/>
    <cellStyle name="Comma 4 3 3 2 5 2 2 3" xfId="16869" xr:uid="{279E1FCE-1B97-4ED3-969F-B3839763B71E}"/>
    <cellStyle name="Comma 4 3 3 2 5 2 3" xfId="21092" xr:uid="{5271A39A-A9D8-4D72-A8FB-E1227079C031}"/>
    <cellStyle name="Comma 4 3 3 2 5 2 4" xfId="12651" xr:uid="{B03F8E8E-BD18-4ACB-A616-3D2B0DE231F6}"/>
    <cellStyle name="Comma 4 3 3 2 5 3" xfId="6274" xr:uid="{00000000-0005-0000-0000-00007F090000}"/>
    <cellStyle name="Comma 4 3 3 2 5 3 2" xfId="23165" xr:uid="{3992D2EA-DCCC-4C3B-B306-6588D27867A0}"/>
    <cellStyle name="Comma 4 3 3 2 5 3 3" xfId="14724" xr:uid="{193526EB-280D-408D-90FB-473CC0A87EFC}"/>
    <cellStyle name="Comma 4 3 3 2 5 4" xfId="18947" xr:uid="{D7B5FF2D-A031-4F35-BBBF-BDBA88BD8E51}"/>
    <cellStyle name="Comma 4 3 3 2 5 5" xfId="10506" xr:uid="{57664F81-A8B7-4EDA-ABCB-BFCEFE975557}"/>
    <cellStyle name="Comma 4 3 3 2 6" xfId="2403" xr:uid="{00000000-0005-0000-0000-000080090000}"/>
    <cellStyle name="Comma 4 3 3 2 6 2" xfId="6687" xr:uid="{00000000-0005-0000-0000-000081090000}"/>
    <cellStyle name="Comma 4 3 3 2 6 2 2" xfId="23578" xr:uid="{8DDBB793-554B-41CD-9939-A3D631472716}"/>
    <cellStyle name="Comma 4 3 3 2 6 2 3" xfId="15137" xr:uid="{A168BA44-8046-4F13-80D7-C704DFF8EB7A}"/>
    <cellStyle name="Comma 4 3 3 2 6 3" xfId="19360" xr:uid="{C6292728-1E59-4B5A-ADB8-81403350A38A}"/>
    <cellStyle name="Comma 4 3 3 2 6 4" xfId="10919" xr:uid="{0E217745-75C8-4898-BD80-92CA7417F664}"/>
    <cellStyle name="Comma 4 3 3 2 7" xfId="2360" xr:uid="{00000000-0005-0000-0000-000082090000}"/>
    <cellStyle name="Comma 4 3 3 2 8" xfId="2781" xr:uid="{00000000-0005-0000-0000-000083090000}"/>
    <cellStyle name="Comma 4 3 3 2 8 2" xfId="7004" xr:uid="{00000000-0005-0000-0000-000084090000}"/>
    <cellStyle name="Comma 4 3 3 2 8 2 2" xfId="23895" xr:uid="{61097496-D1E8-45E0-AB21-17D9313B6811}"/>
    <cellStyle name="Comma 4 3 3 2 8 2 3" xfId="15454" xr:uid="{1B9855A6-7741-4788-8EEC-730E433C1E83}"/>
    <cellStyle name="Comma 4 3 3 2 8 3" xfId="19677" xr:uid="{8C549CA8-9E08-4228-B2A3-15614C338404}"/>
    <cellStyle name="Comma 4 3 3 2 8 4" xfId="11236" xr:uid="{DEC430BF-EEFA-4AAB-9B76-9157C22C80A8}"/>
    <cellStyle name="Comma 4 3 3 2 9" xfId="4621" xr:uid="{00000000-0005-0000-0000-000085090000}"/>
    <cellStyle name="Comma 4 3 3 2 9 2" xfId="21512" xr:uid="{513A0DB2-28A7-4414-9561-37B5DC25C320}"/>
    <cellStyle name="Comma 4 3 3 2 9 3" xfId="13071" xr:uid="{C64C5EEC-87C4-488D-A63B-3E4A768F2011}"/>
    <cellStyle name="Comma 4 3 3 3" xfId="686" xr:uid="{00000000-0005-0000-0000-000086090000}"/>
    <cellStyle name="Comma 4 3 3 3 2" xfId="2957" xr:uid="{00000000-0005-0000-0000-000087090000}"/>
    <cellStyle name="Comma 4 3 3 3 2 2" xfId="7179" xr:uid="{00000000-0005-0000-0000-000088090000}"/>
    <cellStyle name="Comma 4 3 3 3 2 2 2" xfId="24070" xr:uid="{2E12AA59-A821-4DD6-9E5F-25442EFE671B}"/>
    <cellStyle name="Comma 4 3 3 3 2 2 3" xfId="15629" xr:uid="{8953B21E-8B04-491F-9337-CF9543AEFE0B}"/>
    <cellStyle name="Comma 4 3 3 3 2 3" xfId="19852" xr:uid="{70E0D3FC-5D94-4195-894B-52B629B46850}"/>
    <cellStyle name="Comma 4 3 3 3 2 4" xfId="11411" xr:uid="{B5AE8BFB-D179-4E9E-9BC5-A43A7CE98E0E}"/>
    <cellStyle name="Comma 4 3 3 3 3" xfId="5034" xr:uid="{00000000-0005-0000-0000-000089090000}"/>
    <cellStyle name="Comma 4 3 3 3 3 2" xfId="21925" xr:uid="{DEF93FD1-2F51-4CAE-B08E-026F2A8B6CD7}"/>
    <cellStyle name="Comma 4 3 3 3 3 3" xfId="13484" xr:uid="{3A62C037-3E2C-4950-8DB0-ABA43068B2E6}"/>
    <cellStyle name="Comma 4 3 3 3 4" xfId="17707" xr:uid="{813455F4-4C0B-42DF-A6A7-D36580A5577A}"/>
    <cellStyle name="Comma 4 3 3 3 5" xfId="9266" xr:uid="{A3AC3FFB-D663-4F66-A8C2-83CC8844AAA9}"/>
    <cellStyle name="Comma 4 3 3 4" xfId="1139" xr:uid="{00000000-0005-0000-0000-00008A090000}"/>
    <cellStyle name="Comma 4 3 3 4 2" xfId="3370" xr:uid="{00000000-0005-0000-0000-00008B090000}"/>
    <cellStyle name="Comma 4 3 3 4 2 2" xfId="7592" xr:uid="{00000000-0005-0000-0000-00008C090000}"/>
    <cellStyle name="Comma 4 3 3 4 2 2 2" xfId="24483" xr:uid="{7C166C4E-2408-40E4-B940-EDA10608D5A1}"/>
    <cellStyle name="Comma 4 3 3 4 2 2 3" xfId="16042" xr:uid="{B48D1D31-D0B3-497F-B3CA-D07D97891B2C}"/>
    <cellStyle name="Comma 4 3 3 4 2 3" xfId="20265" xr:uid="{8B324C5B-75B5-4AA0-8C0C-0BBF247687FB}"/>
    <cellStyle name="Comma 4 3 3 4 2 4" xfId="11824" xr:uid="{2173FDA3-4F16-415B-9393-C26FEC0A82C1}"/>
    <cellStyle name="Comma 4 3 3 4 3" xfId="5447" xr:uid="{00000000-0005-0000-0000-00008D090000}"/>
    <cellStyle name="Comma 4 3 3 4 3 2" xfId="22338" xr:uid="{3FFDF5B2-B4A1-425A-888C-969D33EDDA7F}"/>
    <cellStyle name="Comma 4 3 3 4 3 3" xfId="13897" xr:uid="{007DE83B-6D5F-4DA9-9D99-F305F08DE630}"/>
    <cellStyle name="Comma 4 3 3 4 4" xfId="18120" xr:uid="{08F06785-A04D-4DB5-B046-562163B47CD6}"/>
    <cellStyle name="Comma 4 3 3 4 5" xfId="9679" xr:uid="{F7D42DA0-301D-452F-8BE5-19C2BC54BD75}"/>
    <cellStyle name="Comma 4 3 3 5" xfId="1553" xr:uid="{00000000-0005-0000-0000-00008E090000}"/>
    <cellStyle name="Comma 4 3 3 5 2" xfId="3783" xr:uid="{00000000-0005-0000-0000-00008F090000}"/>
    <cellStyle name="Comma 4 3 3 5 2 2" xfId="8005" xr:uid="{00000000-0005-0000-0000-000090090000}"/>
    <cellStyle name="Comma 4 3 3 5 2 2 2" xfId="24896" xr:uid="{F5DBDB55-45BB-4792-A92C-433177B87ED5}"/>
    <cellStyle name="Comma 4 3 3 5 2 2 3" xfId="16455" xr:uid="{ACFE6A69-1146-43F0-A06D-2D460AF2111C}"/>
    <cellStyle name="Comma 4 3 3 5 2 3" xfId="20678" xr:uid="{7E9DEE36-DA77-4DE1-82D0-AEE3853A27E3}"/>
    <cellStyle name="Comma 4 3 3 5 2 4" xfId="12237" xr:uid="{EBA1F610-256B-4F20-A795-BB83431687AC}"/>
    <cellStyle name="Comma 4 3 3 5 3" xfId="5860" xr:uid="{00000000-0005-0000-0000-000091090000}"/>
    <cellStyle name="Comma 4 3 3 5 3 2" xfId="22751" xr:uid="{FDC5367D-01CF-475E-8660-B7879A4588EA}"/>
    <cellStyle name="Comma 4 3 3 5 3 3" xfId="14310" xr:uid="{24EBFDCC-2BEB-4B59-B521-DA99580C1850}"/>
    <cellStyle name="Comma 4 3 3 5 4" xfId="18533" xr:uid="{A330AF95-35A8-4E10-BD76-3A42EC58E214}"/>
    <cellStyle name="Comma 4 3 3 5 5" xfId="10092" xr:uid="{B99E417C-3FCA-4A94-8FE8-E61536807C1E}"/>
    <cellStyle name="Comma 4 3 3 6" xfId="1967" xr:uid="{00000000-0005-0000-0000-000092090000}"/>
    <cellStyle name="Comma 4 3 3 6 2" xfId="4196" xr:uid="{00000000-0005-0000-0000-000093090000}"/>
    <cellStyle name="Comma 4 3 3 6 2 2" xfId="8418" xr:uid="{00000000-0005-0000-0000-000094090000}"/>
    <cellStyle name="Comma 4 3 3 6 2 2 2" xfId="25309" xr:uid="{AB98B3C6-CC2A-43EF-B791-B766F5F860B0}"/>
    <cellStyle name="Comma 4 3 3 6 2 2 3" xfId="16868" xr:uid="{B1D3D4F7-9F00-4491-AE6E-F7D0C436B6DC}"/>
    <cellStyle name="Comma 4 3 3 6 2 3" xfId="21091" xr:uid="{A4DD2B7B-8C56-4E74-9FC3-E1D67DFBF3AE}"/>
    <cellStyle name="Comma 4 3 3 6 2 4" xfId="12650" xr:uid="{D2FB717D-F1BC-4ADF-B880-902D10A88D75}"/>
    <cellStyle name="Comma 4 3 3 6 3" xfId="6273" xr:uid="{00000000-0005-0000-0000-000095090000}"/>
    <cellStyle name="Comma 4 3 3 6 3 2" xfId="23164" xr:uid="{C5EAD282-381F-481C-AAB8-270F7CBE7023}"/>
    <cellStyle name="Comma 4 3 3 6 3 3" xfId="14723" xr:uid="{E39F1DA5-1B06-43E8-9998-46B8C60D9D63}"/>
    <cellStyle name="Comma 4 3 3 6 4" xfId="18946" xr:uid="{76189F06-5B61-4B5C-A42D-3DD6978D9909}"/>
    <cellStyle name="Comma 4 3 3 6 5" xfId="10505" xr:uid="{9B91E6B9-4772-4637-BABB-F5976921908A}"/>
    <cellStyle name="Comma 4 3 3 7" xfId="2402" xr:uid="{00000000-0005-0000-0000-000096090000}"/>
    <cellStyle name="Comma 4 3 3 7 2" xfId="6686" xr:uid="{00000000-0005-0000-0000-000097090000}"/>
    <cellStyle name="Comma 4 3 3 7 2 2" xfId="23577" xr:uid="{C0EDCA57-069E-4937-853E-7CB8942824D9}"/>
    <cellStyle name="Comma 4 3 3 7 2 3" xfId="15136" xr:uid="{3499F42B-8672-4A65-AC9D-014B7A774C8D}"/>
    <cellStyle name="Comma 4 3 3 7 3" xfId="19359" xr:uid="{6676B531-21C1-4C7B-9DF0-84E82FF4DDDD}"/>
    <cellStyle name="Comma 4 3 3 7 4" xfId="10918" xr:uid="{2E6CA658-CF60-4C82-9BC1-B0A38C230DE0}"/>
    <cellStyle name="Comma 4 3 3 8" xfId="2361" xr:uid="{00000000-0005-0000-0000-000098090000}"/>
    <cellStyle name="Comma 4 3 3 9" xfId="2780" xr:uid="{00000000-0005-0000-0000-000099090000}"/>
    <cellStyle name="Comma 4 3 3 9 2" xfId="7003" xr:uid="{00000000-0005-0000-0000-00009A090000}"/>
    <cellStyle name="Comma 4 3 3 9 2 2" xfId="23894" xr:uid="{D62259C1-2CFC-456C-9D36-8C67E644706A}"/>
    <cellStyle name="Comma 4 3 3 9 2 3" xfId="15453" xr:uid="{B7BE1572-F4C3-44A8-AD41-B11F6D25F51E}"/>
    <cellStyle name="Comma 4 3 3 9 3" xfId="19676" xr:uid="{FEF8E6F8-EF8B-4ABE-8B03-6BDA4A70F84F}"/>
    <cellStyle name="Comma 4 3 3 9 4" xfId="11235" xr:uid="{7529CC5E-C77B-4E49-8ECC-96E5328C1582}"/>
    <cellStyle name="Comma 4 3 4" xfId="151" xr:uid="{00000000-0005-0000-0000-00009B090000}"/>
    <cellStyle name="Comma 4 3 4 10" xfId="17295" xr:uid="{C8EE4116-26A4-48D6-9BCE-DC38EEA223E4}"/>
    <cellStyle name="Comma 4 3 4 11" xfId="8854" xr:uid="{237493D0-3527-408F-8146-09A9CDDA514D}"/>
    <cellStyle name="Comma 4 3 4 2" xfId="688" xr:uid="{00000000-0005-0000-0000-00009C090000}"/>
    <cellStyle name="Comma 4 3 4 2 2" xfId="2959" xr:uid="{00000000-0005-0000-0000-00009D090000}"/>
    <cellStyle name="Comma 4 3 4 2 2 2" xfId="7181" xr:uid="{00000000-0005-0000-0000-00009E090000}"/>
    <cellStyle name="Comma 4 3 4 2 2 2 2" xfId="24072" xr:uid="{9CBF5590-C1FD-4E1B-ACBC-21D5BBE8F5BA}"/>
    <cellStyle name="Comma 4 3 4 2 2 2 3" xfId="15631" xr:uid="{062F0F0F-E326-4C5C-A9D5-D85AA5017438}"/>
    <cellStyle name="Comma 4 3 4 2 2 3" xfId="19854" xr:uid="{BAE119F9-9343-4A83-8773-629BA24D2FC1}"/>
    <cellStyle name="Comma 4 3 4 2 2 4" xfId="11413" xr:uid="{98DA7071-6D6F-425F-999E-CFDE00F5E6D0}"/>
    <cellStyle name="Comma 4 3 4 2 3" xfId="5036" xr:uid="{00000000-0005-0000-0000-00009F090000}"/>
    <cellStyle name="Comma 4 3 4 2 3 2" xfId="21927" xr:uid="{C1B81E6D-E0ED-48D5-BF9C-C8B56B58F6E2}"/>
    <cellStyle name="Comma 4 3 4 2 3 3" xfId="13486" xr:uid="{ADECB4CA-75A0-4FEB-B3D1-49ECB26C928D}"/>
    <cellStyle name="Comma 4 3 4 2 4" xfId="17709" xr:uid="{3203834D-110A-4FC9-BCAD-4268C20D9B30}"/>
    <cellStyle name="Comma 4 3 4 2 5" xfId="9268" xr:uid="{2E1EE874-C202-40DB-A31C-AF98C49F8CB1}"/>
    <cellStyle name="Comma 4 3 4 3" xfId="1141" xr:uid="{00000000-0005-0000-0000-0000A0090000}"/>
    <cellStyle name="Comma 4 3 4 3 2" xfId="3372" xr:uid="{00000000-0005-0000-0000-0000A1090000}"/>
    <cellStyle name="Comma 4 3 4 3 2 2" xfId="7594" xr:uid="{00000000-0005-0000-0000-0000A2090000}"/>
    <cellStyle name="Comma 4 3 4 3 2 2 2" xfId="24485" xr:uid="{DA8DD398-45A4-4A78-B3AA-FB23AAC3B201}"/>
    <cellStyle name="Comma 4 3 4 3 2 2 3" xfId="16044" xr:uid="{8C08F65E-5CF7-4E62-A826-30378B808F2E}"/>
    <cellStyle name="Comma 4 3 4 3 2 3" xfId="20267" xr:uid="{3B2B0E37-1C2C-4C52-B2B3-97D247ACCE8A}"/>
    <cellStyle name="Comma 4 3 4 3 2 4" xfId="11826" xr:uid="{CD3593EA-A95D-4377-89C3-04C573418DA6}"/>
    <cellStyle name="Comma 4 3 4 3 3" xfId="5449" xr:uid="{00000000-0005-0000-0000-0000A3090000}"/>
    <cellStyle name="Comma 4 3 4 3 3 2" xfId="22340" xr:uid="{C9D9CB6C-E153-4CBC-AE9D-B2CECBB36ABF}"/>
    <cellStyle name="Comma 4 3 4 3 3 3" xfId="13899" xr:uid="{9AD3009F-8570-482D-A34E-A52EBCB74041}"/>
    <cellStyle name="Comma 4 3 4 3 4" xfId="18122" xr:uid="{38093C4D-62B7-4696-B701-C70682135DF4}"/>
    <cellStyle name="Comma 4 3 4 3 5" xfId="9681" xr:uid="{386AD788-CAFF-45A0-8270-C81F970754AF}"/>
    <cellStyle name="Comma 4 3 4 4" xfId="1555" xr:uid="{00000000-0005-0000-0000-0000A4090000}"/>
    <cellStyle name="Comma 4 3 4 4 2" xfId="3785" xr:uid="{00000000-0005-0000-0000-0000A5090000}"/>
    <cellStyle name="Comma 4 3 4 4 2 2" xfId="8007" xr:uid="{00000000-0005-0000-0000-0000A6090000}"/>
    <cellStyle name="Comma 4 3 4 4 2 2 2" xfId="24898" xr:uid="{CABDCB63-8D3D-4973-B7DF-59BA414882E4}"/>
    <cellStyle name="Comma 4 3 4 4 2 2 3" xfId="16457" xr:uid="{CBC9931E-1B05-420B-95A9-F928A5B34184}"/>
    <cellStyle name="Comma 4 3 4 4 2 3" xfId="20680" xr:uid="{8A671752-E364-4861-8082-9799E415F5F6}"/>
    <cellStyle name="Comma 4 3 4 4 2 4" xfId="12239" xr:uid="{D1CABD96-67B5-413E-B724-6E05439C230F}"/>
    <cellStyle name="Comma 4 3 4 4 3" xfId="5862" xr:uid="{00000000-0005-0000-0000-0000A7090000}"/>
    <cellStyle name="Comma 4 3 4 4 3 2" xfId="22753" xr:uid="{75B01465-F16F-4F27-9547-4DDE4F99CFE7}"/>
    <cellStyle name="Comma 4 3 4 4 3 3" xfId="14312" xr:uid="{95C2ACC0-603B-4564-95F7-7B02653CF90D}"/>
    <cellStyle name="Comma 4 3 4 4 4" xfId="18535" xr:uid="{B047CAA3-354B-4FE1-B975-2F984C377E40}"/>
    <cellStyle name="Comma 4 3 4 4 5" xfId="10094" xr:uid="{5AE4D20D-C0EF-411A-BDF0-89A71DFB9C81}"/>
    <cellStyle name="Comma 4 3 4 5" xfId="1969" xr:uid="{00000000-0005-0000-0000-0000A8090000}"/>
    <cellStyle name="Comma 4 3 4 5 2" xfId="4198" xr:uid="{00000000-0005-0000-0000-0000A9090000}"/>
    <cellStyle name="Comma 4 3 4 5 2 2" xfId="8420" xr:uid="{00000000-0005-0000-0000-0000AA090000}"/>
    <cellStyle name="Comma 4 3 4 5 2 2 2" xfId="25311" xr:uid="{A5BB4B55-5A2D-4636-AC87-470B1C68FD2B}"/>
    <cellStyle name="Comma 4 3 4 5 2 2 3" xfId="16870" xr:uid="{A2C1CF52-F2E8-4D41-A3E5-69FA012F4EAC}"/>
    <cellStyle name="Comma 4 3 4 5 2 3" xfId="21093" xr:uid="{0CEA552B-4DE6-4329-92CD-EA5ED7AFD280}"/>
    <cellStyle name="Comma 4 3 4 5 2 4" xfId="12652" xr:uid="{1A66321F-75F1-42F7-AC2A-8FFB4BE8C76B}"/>
    <cellStyle name="Comma 4 3 4 5 3" xfId="6275" xr:uid="{00000000-0005-0000-0000-0000AB090000}"/>
    <cellStyle name="Comma 4 3 4 5 3 2" xfId="23166" xr:uid="{F3F35DBB-560C-4C38-8844-3C40DA176FE2}"/>
    <cellStyle name="Comma 4 3 4 5 3 3" xfId="14725" xr:uid="{46BEB705-01A5-4B35-9D6E-164B5DC8B02A}"/>
    <cellStyle name="Comma 4 3 4 5 4" xfId="18948" xr:uid="{40CCE7E3-DAD2-4B28-B3A8-9A928CA371C5}"/>
    <cellStyle name="Comma 4 3 4 5 5" xfId="10507" xr:uid="{5FCA820B-9855-4107-876A-8DA8A67B18FA}"/>
    <cellStyle name="Comma 4 3 4 6" xfId="2404" xr:uid="{00000000-0005-0000-0000-0000AC090000}"/>
    <cellStyle name="Comma 4 3 4 6 2" xfId="6688" xr:uid="{00000000-0005-0000-0000-0000AD090000}"/>
    <cellStyle name="Comma 4 3 4 6 2 2" xfId="23579" xr:uid="{4DB37095-6279-4AC4-9346-F60D7EFB5EBD}"/>
    <cellStyle name="Comma 4 3 4 6 2 3" xfId="15138" xr:uid="{31C70B1D-DF5E-4BFF-A259-E0F01ECBBA1B}"/>
    <cellStyle name="Comma 4 3 4 6 3" xfId="19361" xr:uid="{3CC497BC-5744-4C4A-9096-AE3CA9EB6AB3}"/>
    <cellStyle name="Comma 4 3 4 6 4" xfId="10920" xr:uid="{66320909-6DAD-4D9D-8712-E953B9D50D91}"/>
    <cellStyle name="Comma 4 3 4 7" xfId="2700" xr:uid="{00000000-0005-0000-0000-0000AE090000}"/>
    <cellStyle name="Comma 4 3 4 8" xfId="2782" xr:uid="{00000000-0005-0000-0000-0000AF090000}"/>
    <cellStyle name="Comma 4 3 4 8 2" xfId="7005" xr:uid="{00000000-0005-0000-0000-0000B0090000}"/>
    <cellStyle name="Comma 4 3 4 8 2 2" xfId="23896" xr:uid="{54CAC98B-1B10-46D9-AA70-B23645A3B2B9}"/>
    <cellStyle name="Comma 4 3 4 8 2 3" xfId="15455" xr:uid="{6510B52C-5089-42F3-A0D7-95CD05806A9A}"/>
    <cellStyle name="Comma 4 3 4 8 3" xfId="19678" xr:uid="{5D91BBDA-C3AB-456E-A1ED-3A22C91A87D7}"/>
    <cellStyle name="Comma 4 3 4 8 4" xfId="11237" xr:uid="{E4B4F054-7BA1-41DE-86B2-1FE696B4FD92}"/>
    <cellStyle name="Comma 4 3 4 9" xfId="4622" xr:uid="{00000000-0005-0000-0000-0000B1090000}"/>
    <cellStyle name="Comma 4 3 4 9 2" xfId="21513" xr:uid="{9549AD7F-1370-4A4F-AF6D-EB83C0C94E59}"/>
    <cellStyle name="Comma 4 3 4 9 3" xfId="13072" xr:uid="{EA7AED8F-7354-4CDD-8A97-CEAA4E9E6EB3}"/>
    <cellStyle name="Comma 4 3 5" xfId="152" xr:uid="{00000000-0005-0000-0000-0000B2090000}"/>
    <cellStyle name="Comma 4 3 5 10" xfId="17296" xr:uid="{F7305F43-9A22-4438-A757-9DB342968C54}"/>
    <cellStyle name="Comma 4 3 5 11" xfId="8855" xr:uid="{05F95D72-D422-4621-BC5B-0BC79E87CBD8}"/>
    <cellStyle name="Comma 4 3 5 2" xfId="689" xr:uid="{00000000-0005-0000-0000-0000B3090000}"/>
    <cellStyle name="Comma 4 3 5 2 2" xfId="2960" xr:uid="{00000000-0005-0000-0000-0000B4090000}"/>
    <cellStyle name="Comma 4 3 5 2 2 2" xfId="7182" xr:uid="{00000000-0005-0000-0000-0000B5090000}"/>
    <cellStyle name="Comma 4 3 5 2 2 2 2" xfId="24073" xr:uid="{EBE7C3A7-6305-4411-9E64-81BC0E0EBCCD}"/>
    <cellStyle name="Comma 4 3 5 2 2 2 3" xfId="15632" xr:uid="{0875D05B-0D2F-4DC7-BA1B-22AEB46685ED}"/>
    <cellStyle name="Comma 4 3 5 2 2 3" xfId="19855" xr:uid="{3B01AE91-FF4B-49A1-9888-4C8D10D9B506}"/>
    <cellStyle name="Comma 4 3 5 2 2 4" xfId="11414" xr:uid="{50A65EA8-D097-4890-BBDD-5D77F783C70E}"/>
    <cellStyle name="Comma 4 3 5 2 3" xfId="5037" xr:uid="{00000000-0005-0000-0000-0000B6090000}"/>
    <cellStyle name="Comma 4 3 5 2 3 2" xfId="21928" xr:uid="{F07880A3-CB1D-4125-B64B-9B7322C863C4}"/>
    <cellStyle name="Comma 4 3 5 2 3 3" xfId="13487" xr:uid="{9071DB86-7982-4BD2-82FE-A4F5C7EFF86E}"/>
    <cellStyle name="Comma 4 3 5 2 4" xfId="17710" xr:uid="{D0DAE3E3-2166-42F8-A988-CEADFB55F6B8}"/>
    <cellStyle name="Comma 4 3 5 2 5" xfId="9269" xr:uid="{E5D9F99D-ED40-4F2B-8805-359B68384406}"/>
    <cellStyle name="Comma 4 3 5 3" xfId="1142" xr:uid="{00000000-0005-0000-0000-0000B7090000}"/>
    <cellStyle name="Comma 4 3 5 3 2" xfId="3373" xr:uid="{00000000-0005-0000-0000-0000B8090000}"/>
    <cellStyle name="Comma 4 3 5 3 2 2" xfId="7595" xr:uid="{00000000-0005-0000-0000-0000B9090000}"/>
    <cellStyle name="Comma 4 3 5 3 2 2 2" xfId="24486" xr:uid="{EB5AF1DE-F16C-4AD3-A316-15A7047B2458}"/>
    <cellStyle name="Comma 4 3 5 3 2 2 3" xfId="16045" xr:uid="{59B78DE2-15B1-41A4-A0A2-593F3A87D9DA}"/>
    <cellStyle name="Comma 4 3 5 3 2 3" xfId="20268" xr:uid="{63FF672A-9853-4CB3-966E-90563421AE69}"/>
    <cellStyle name="Comma 4 3 5 3 2 4" xfId="11827" xr:uid="{84F9B2F2-C560-427D-98AF-81C67C5E1C03}"/>
    <cellStyle name="Comma 4 3 5 3 3" xfId="5450" xr:uid="{00000000-0005-0000-0000-0000BA090000}"/>
    <cellStyle name="Comma 4 3 5 3 3 2" xfId="22341" xr:uid="{746C8B05-CF67-4C89-9C4C-525CC956BEEA}"/>
    <cellStyle name="Comma 4 3 5 3 3 3" xfId="13900" xr:uid="{6835B74B-6C5B-43F8-AF8F-E1A1325B0753}"/>
    <cellStyle name="Comma 4 3 5 3 4" xfId="18123" xr:uid="{95F1F34E-A38F-46F5-A346-B75C0521DBA4}"/>
    <cellStyle name="Comma 4 3 5 3 5" xfId="9682" xr:uid="{FC2B1FF1-0358-4971-BF39-D84A14FA10E5}"/>
    <cellStyle name="Comma 4 3 5 4" xfId="1556" xr:uid="{00000000-0005-0000-0000-0000BB090000}"/>
    <cellStyle name="Comma 4 3 5 4 2" xfId="3786" xr:uid="{00000000-0005-0000-0000-0000BC090000}"/>
    <cellStyle name="Comma 4 3 5 4 2 2" xfId="8008" xr:uid="{00000000-0005-0000-0000-0000BD090000}"/>
    <cellStyle name="Comma 4 3 5 4 2 2 2" xfId="24899" xr:uid="{C9EBD526-9206-4EC1-ACB9-E4906E81B552}"/>
    <cellStyle name="Comma 4 3 5 4 2 2 3" xfId="16458" xr:uid="{B7EB11EB-A9EB-4F49-B5FF-6EC3B8DBEEA5}"/>
    <cellStyle name="Comma 4 3 5 4 2 3" xfId="20681" xr:uid="{4D7164DD-0317-47A8-B900-6F02FB24B3B0}"/>
    <cellStyle name="Comma 4 3 5 4 2 4" xfId="12240" xr:uid="{8F21CF8F-1FB9-440A-B5D8-E0102CE88330}"/>
    <cellStyle name="Comma 4 3 5 4 3" xfId="5863" xr:uid="{00000000-0005-0000-0000-0000BE090000}"/>
    <cellStyle name="Comma 4 3 5 4 3 2" xfId="22754" xr:uid="{0C2F2097-4E7B-4B93-A27B-BDC9110BE4B1}"/>
    <cellStyle name="Comma 4 3 5 4 3 3" xfId="14313" xr:uid="{73FCCC5A-E8F2-401D-AE0C-D7AF5CF69F07}"/>
    <cellStyle name="Comma 4 3 5 4 4" xfId="18536" xr:uid="{418C0354-F6A5-437F-A130-6800D46A0ED2}"/>
    <cellStyle name="Comma 4 3 5 4 5" xfId="10095" xr:uid="{4426743F-A461-4818-BC6D-9998A38FACA8}"/>
    <cellStyle name="Comma 4 3 5 5" xfId="1970" xr:uid="{00000000-0005-0000-0000-0000BF090000}"/>
    <cellStyle name="Comma 4 3 5 5 2" xfId="4199" xr:uid="{00000000-0005-0000-0000-0000C0090000}"/>
    <cellStyle name="Comma 4 3 5 5 2 2" xfId="8421" xr:uid="{00000000-0005-0000-0000-0000C1090000}"/>
    <cellStyle name="Comma 4 3 5 5 2 2 2" xfId="25312" xr:uid="{D7A47AAB-95AD-4B92-AB12-CD2B2ACEA59C}"/>
    <cellStyle name="Comma 4 3 5 5 2 2 3" xfId="16871" xr:uid="{409CEE67-7302-4BCB-9CA2-C02427371CB2}"/>
    <cellStyle name="Comma 4 3 5 5 2 3" xfId="21094" xr:uid="{964C4766-DF89-4615-906C-03BFE337F53C}"/>
    <cellStyle name="Comma 4 3 5 5 2 4" xfId="12653" xr:uid="{38580456-D15F-46AC-9AAB-F963ADF0C3D2}"/>
    <cellStyle name="Comma 4 3 5 5 3" xfId="6276" xr:uid="{00000000-0005-0000-0000-0000C2090000}"/>
    <cellStyle name="Comma 4 3 5 5 3 2" xfId="23167" xr:uid="{1A7FCE0A-028C-46C2-9408-7C8BFC3550AA}"/>
    <cellStyle name="Comma 4 3 5 5 3 3" xfId="14726" xr:uid="{60ECEDC1-56F5-40D2-BE72-3A9CF04F6FFE}"/>
    <cellStyle name="Comma 4 3 5 5 4" xfId="18949" xr:uid="{C8FDB45C-D671-42AC-BA9F-45E86D239048}"/>
    <cellStyle name="Comma 4 3 5 5 5" xfId="10508" xr:uid="{A5A02AB4-2AB2-489F-82EA-5A9824878271}"/>
    <cellStyle name="Comma 4 3 5 6" xfId="2405" xr:uid="{00000000-0005-0000-0000-0000C3090000}"/>
    <cellStyle name="Comma 4 3 5 6 2" xfId="6689" xr:uid="{00000000-0005-0000-0000-0000C4090000}"/>
    <cellStyle name="Comma 4 3 5 6 2 2" xfId="23580" xr:uid="{964D840F-ACCF-4882-86ED-425510A66589}"/>
    <cellStyle name="Comma 4 3 5 6 2 3" xfId="15139" xr:uid="{922046CF-0B58-4672-A905-4E9A3EE2DC1B}"/>
    <cellStyle name="Comma 4 3 5 6 3" xfId="19362" xr:uid="{3F1179B7-CF0E-4D5B-8C59-39CD073E6F55}"/>
    <cellStyle name="Comma 4 3 5 6 4" xfId="10921" xr:uid="{494A68D4-E0B7-4322-B4B4-9EE6DCC32194}"/>
    <cellStyle name="Comma 4 3 5 7" xfId="2701" xr:uid="{00000000-0005-0000-0000-0000C5090000}"/>
    <cellStyle name="Comma 4 3 5 8" xfId="2783" xr:uid="{00000000-0005-0000-0000-0000C6090000}"/>
    <cellStyle name="Comma 4 3 5 8 2" xfId="7006" xr:uid="{00000000-0005-0000-0000-0000C7090000}"/>
    <cellStyle name="Comma 4 3 5 8 2 2" xfId="23897" xr:uid="{A4F379F5-5048-422B-BAAA-42FC4F182B19}"/>
    <cellStyle name="Comma 4 3 5 8 2 3" xfId="15456" xr:uid="{AF90F43E-6BA3-4C8F-A1B5-CAB7D9803CAD}"/>
    <cellStyle name="Comma 4 3 5 8 3" xfId="19679" xr:uid="{DC2F58F3-7C84-485F-B00A-B018C0A98223}"/>
    <cellStyle name="Comma 4 3 5 8 4" xfId="11238" xr:uid="{2D221F1F-5535-4DA4-BA1C-AF7651C755D9}"/>
    <cellStyle name="Comma 4 3 5 9" xfId="4623" xr:uid="{00000000-0005-0000-0000-0000C8090000}"/>
    <cellStyle name="Comma 4 3 5 9 2" xfId="21514" xr:uid="{D93BF363-6AEF-452C-8181-C3E3181BB5D2}"/>
    <cellStyle name="Comma 4 3 5 9 3" xfId="13073" xr:uid="{3BBAB6CB-7582-46D9-B115-3B51F92E84B6}"/>
    <cellStyle name="Comma 4 4" xfId="153" xr:uid="{00000000-0005-0000-0000-0000C9090000}"/>
    <cellStyle name="Comma 4 4 10" xfId="2784" xr:uid="{00000000-0005-0000-0000-0000CA090000}"/>
    <cellStyle name="Comma 4 4 10 2" xfId="7007" xr:uid="{00000000-0005-0000-0000-0000CB090000}"/>
    <cellStyle name="Comma 4 4 10 2 2" xfId="23898" xr:uid="{DBE5EBEA-F980-46FB-BF5E-945658F5C5CD}"/>
    <cellStyle name="Comma 4 4 10 2 3" xfId="15457" xr:uid="{3910E46E-8B9A-4304-BF83-1EC684BCB992}"/>
    <cellStyle name="Comma 4 4 10 3" xfId="19680" xr:uid="{46D74256-F87A-48E4-AE8B-98105EDEA9A3}"/>
    <cellStyle name="Comma 4 4 10 4" xfId="11239" xr:uid="{83C709C3-11E5-4609-85A5-DC334062161B}"/>
    <cellStyle name="Comma 4 4 11" xfId="4624" xr:uid="{00000000-0005-0000-0000-0000CC090000}"/>
    <cellStyle name="Comma 4 4 11 2" xfId="21515" xr:uid="{6162CE3B-5646-4AF7-A6B1-31E84A0966AE}"/>
    <cellStyle name="Comma 4 4 11 3" xfId="13074" xr:uid="{37D9C293-C97D-4132-8EC9-1991F09F2D7E}"/>
    <cellStyle name="Comma 4 4 12" xfId="17297" xr:uid="{8AA7C3A7-862A-47FC-A550-DB439FA4EA34}"/>
    <cellStyle name="Comma 4 4 13" xfId="8856" xr:uid="{141738A4-7D63-493C-8BE1-B6FC69777A48}"/>
    <cellStyle name="Comma 4 4 2" xfId="154" xr:uid="{00000000-0005-0000-0000-0000CD090000}"/>
    <cellStyle name="Comma 4 4 2 10" xfId="4625" xr:uid="{00000000-0005-0000-0000-0000CE090000}"/>
    <cellStyle name="Comma 4 4 2 10 2" xfId="21516" xr:uid="{DC06F0D9-C5F7-4EEB-A53D-28D8964CDC91}"/>
    <cellStyle name="Comma 4 4 2 10 3" xfId="13075" xr:uid="{D5C81E8D-AC82-4759-9ADE-4EED3DA39DFF}"/>
    <cellStyle name="Comma 4 4 2 11" xfId="17298" xr:uid="{10EF38F7-0681-4EB8-AB6E-A2B4193AA39E}"/>
    <cellStyle name="Comma 4 4 2 12" xfId="8857" xr:uid="{02CE2093-D729-4406-93E8-78E05A0DF7E8}"/>
    <cellStyle name="Comma 4 4 2 2" xfId="155" xr:uid="{00000000-0005-0000-0000-0000CF090000}"/>
    <cellStyle name="Comma 4 4 2 2 10" xfId="17299" xr:uid="{FCDA3876-4D68-492C-A0B0-4DEAE923E567}"/>
    <cellStyle name="Comma 4 4 2 2 11" xfId="8858" xr:uid="{5EEDC372-345A-4D26-9E15-6F8C73248102}"/>
    <cellStyle name="Comma 4 4 2 2 2" xfId="692" xr:uid="{00000000-0005-0000-0000-0000D0090000}"/>
    <cellStyle name="Comma 4 4 2 2 2 2" xfId="2963" xr:uid="{00000000-0005-0000-0000-0000D1090000}"/>
    <cellStyle name="Comma 4 4 2 2 2 2 2" xfId="7185" xr:uid="{00000000-0005-0000-0000-0000D2090000}"/>
    <cellStyle name="Comma 4 4 2 2 2 2 2 2" xfId="24076" xr:uid="{A6D4ECAD-9A2C-4CB0-B08D-C5E538FCD9E7}"/>
    <cellStyle name="Comma 4 4 2 2 2 2 2 3" xfId="15635" xr:uid="{ED8E6487-3DD9-4D6D-B35E-AD50EA7C758C}"/>
    <cellStyle name="Comma 4 4 2 2 2 2 3" xfId="19858" xr:uid="{8239F519-6164-449A-ACB1-5D0EABCB4794}"/>
    <cellStyle name="Comma 4 4 2 2 2 2 4" xfId="11417" xr:uid="{126CF2DE-C59F-4200-B160-97712A0F283D}"/>
    <cellStyle name="Comma 4 4 2 2 2 3" xfId="5040" xr:uid="{00000000-0005-0000-0000-0000D3090000}"/>
    <cellStyle name="Comma 4 4 2 2 2 3 2" xfId="21931" xr:uid="{A6A0541D-181D-4E31-9F80-27958AEF662E}"/>
    <cellStyle name="Comma 4 4 2 2 2 3 3" xfId="13490" xr:uid="{A5811B55-1B6A-49ED-931D-37328A86B49A}"/>
    <cellStyle name="Comma 4 4 2 2 2 4" xfId="17713" xr:uid="{2604C362-6583-4F04-91A6-839D83227D9D}"/>
    <cellStyle name="Comma 4 4 2 2 2 5" xfId="9272" xr:uid="{BEB4149B-03AF-4D0B-BB60-973B80B6669C}"/>
    <cellStyle name="Comma 4 4 2 2 3" xfId="1145" xr:uid="{00000000-0005-0000-0000-0000D4090000}"/>
    <cellStyle name="Comma 4 4 2 2 3 2" xfId="3376" xr:uid="{00000000-0005-0000-0000-0000D5090000}"/>
    <cellStyle name="Comma 4 4 2 2 3 2 2" xfId="7598" xr:uid="{00000000-0005-0000-0000-0000D6090000}"/>
    <cellStyle name="Comma 4 4 2 2 3 2 2 2" xfId="24489" xr:uid="{9692EE6B-9774-4D1F-AE2B-FB6E893B5EB5}"/>
    <cellStyle name="Comma 4 4 2 2 3 2 2 3" xfId="16048" xr:uid="{F65BA3C3-8321-4F97-9B8D-1794A1ED59AE}"/>
    <cellStyle name="Comma 4 4 2 2 3 2 3" xfId="20271" xr:uid="{DE0408EB-DC63-40B1-B65D-0BE31DAB4387}"/>
    <cellStyle name="Comma 4 4 2 2 3 2 4" xfId="11830" xr:uid="{BA747C2A-D65F-4A62-881F-477D9D2F09E4}"/>
    <cellStyle name="Comma 4 4 2 2 3 3" xfId="5453" xr:uid="{00000000-0005-0000-0000-0000D7090000}"/>
    <cellStyle name="Comma 4 4 2 2 3 3 2" xfId="22344" xr:uid="{4A29C2E7-E37E-49A8-9748-3E8B92871534}"/>
    <cellStyle name="Comma 4 4 2 2 3 3 3" xfId="13903" xr:uid="{D329595A-BD6A-4F14-A427-F36BF5FDF1C7}"/>
    <cellStyle name="Comma 4 4 2 2 3 4" xfId="18126" xr:uid="{8557BF9E-8945-49E3-9B20-38C8B31A41D6}"/>
    <cellStyle name="Comma 4 4 2 2 3 5" xfId="9685" xr:uid="{0BDC4D2D-9CE6-4C5C-82EA-56C30732A675}"/>
    <cellStyle name="Comma 4 4 2 2 4" xfId="1559" xr:uid="{00000000-0005-0000-0000-0000D8090000}"/>
    <cellStyle name="Comma 4 4 2 2 4 2" xfId="3789" xr:uid="{00000000-0005-0000-0000-0000D9090000}"/>
    <cellStyle name="Comma 4 4 2 2 4 2 2" xfId="8011" xr:uid="{00000000-0005-0000-0000-0000DA090000}"/>
    <cellStyle name="Comma 4 4 2 2 4 2 2 2" xfId="24902" xr:uid="{598F292D-FD4B-4FB4-8FBF-BFE68BC93DFE}"/>
    <cellStyle name="Comma 4 4 2 2 4 2 2 3" xfId="16461" xr:uid="{CA8F33A2-2C59-4CCB-B275-2BBD7D431CD1}"/>
    <cellStyle name="Comma 4 4 2 2 4 2 3" xfId="20684" xr:uid="{97C2745C-42EA-43C2-AC53-BD018A862CDC}"/>
    <cellStyle name="Comma 4 4 2 2 4 2 4" xfId="12243" xr:uid="{EFC90031-9583-4127-91E3-934DFA2F9A59}"/>
    <cellStyle name="Comma 4 4 2 2 4 3" xfId="5866" xr:uid="{00000000-0005-0000-0000-0000DB090000}"/>
    <cellStyle name="Comma 4 4 2 2 4 3 2" xfId="22757" xr:uid="{2181D01A-A979-47CA-B7FD-8148B75A3C3E}"/>
    <cellStyle name="Comma 4 4 2 2 4 3 3" xfId="14316" xr:uid="{B1E725A2-FBEE-47E2-9F7E-4CD58DA84517}"/>
    <cellStyle name="Comma 4 4 2 2 4 4" xfId="18539" xr:uid="{FB700B2F-10F2-44C1-B1D6-0C537464A9A5}"/>
    <cellStyle name="Comma 4 4 2 2 4 5" xfId="10098" xr:uid="{6FABCAAA-24FF-4AFB-AB4E-3BD1EEBC8117}"/>
    <cellStyle name="Comma 4 4 2 2 5" xfId="1973" xr:uid="{00000000-0005-0000-0000-0000DC090000}"/>
    <cellStyle name="Comma 4 4 2 2 5 2" xfId="4202" xr:uid="{00000000-0005-0000-0000-0000DD090000}"/>
    <cellStyle name="Comma 4 4 2 2 5 2 2" xfId="8424" xr:uid="{00000000-0005-0000-0000-0000DE090000}"/>
    <cellStyle name="Comma 4 4 2 2 5 2 2 2" xfId="25315" xr:uid="{F9A42427-FBFF-4683-A48A-C27C544A273A}"/>
    <cellStyle name="Comma 4 4 2 2 5 2 2 3" xfId="16874" xr:uid="{74E6FB6B-5D0A-4202-A6BE-2F7CDAD6E2BD}"/>
    <cellStyle name="Comma 4 4 2 2 5 2 3" xfId="21097" xr:uid="{00564DFC-2506-45DB-BFEA-7A7F82F000AB}"/>
    <cellStyle name="Comma 4 4 2 2 5 2 4" xfId="12656" xr:uid="{5FF58504-7428-4B07-AD1F-642DE584547F}"/>
    <cellStyle name="Comma 4 4 2 2 5 3" xfId="6279" xr:uid="{00000000-0005-0000-0000-0000DF090000}"/>
    <cellStyle name="Comma 4 4 2 2 5 3 2" xfId="23170" xr:uid="{8B7659E2-32ED-49ED-805D-9075073B0CDF}"/>
    <cellStyle name="Comma 4 4 2 2 5 3 3" xfId="14729" xr:uid="{578A34B6-3018-41CE-9583-1A3F974A9A08}"/>
    <cellStyle name="Comma 4 4 2 2 5 4" xfId="18952" xr:uid="{EB55DE4B-07CA-4351-A04F-8CF9081C176D}"/>
    <cellStyle name="Comma 4 4 2 2 5 5" xfId="10511" xr:uid="{B93F9DE7-6F1C-451F-836B-8154EC5D556A}"/>
    <cellStyle name="Comma 4 4 2 2 6" xfId="2408" xr:uid="{00000000-0005-0000-0000-0000E0090000}"/>
    <cellStyle name="Comma 4 4 2 2 6 2" xfId="6692" xr:uid="{00000000-0005-0000-0000-0000E1090000}"/>
    <cellStyle name="Comma 4 4 2 2 6 2 2" xfId="23583" xr:uid="{906D21D0-6E20-4E54-AAC6-CA35A86BAB74}"/>
    <cellStyle name="Comma 4 4 2 2 6 2 3" xfId="15142" xr:uid="{D1ECEC60-4088-41CC-88FF-3074D0109D25}"/>
    <cellStyle name="Comma 4 4 2 2 6 3" xfId="19365" xr:uid="{047F99AF-2672-4324-B61E-EBA9B2F4CBA8}"/>
    <cellStyle name="Comma 4 4 2 2 6 4" xfId="10924" xr:uid="{27BACEEA-C9BD-44AA-B499-E2C5B70776AE}"/>
    <cellStyle name="Comma 4 4 2 2 7" xfId="2704" xr:uid="{00000000-0005-0000-0000-0000E2090000}"/>
    <cellStyle name="Comma 4 4 2 2 8" xfId="2786" xr:uid="{00000000-0005-0000-0000-0000E3090000}"/>
    <cellStyle name="Comma 4 4 2 2 8 2" xfId="7009" xr:uid="{00000000-0005-0000-0000-0000E4090000}"/>
    <cellStyle name="Comma 4 4 2 2 8 2 2" xfId="23900" xr:uid="{31B08D21-8F31-444D-B0F9-BEF65698BCB6}"/>
    <cellStyle name="Comma 4 4 2 2 8 2 3" xfId="15459" xr:uid="{A2788F46-5B25-466B-A5BD-0E0FE862B849}"/>
    <cellStyle name="Comma 4 4 2 2 8 3" xfId="19682" xr:uid="{376F5422-0E5F-4FB9-9CCD-9F9B31B93286}"/>
    <cellStyle name="Comma 4 4 2 2 8 4" xfId="11241" xr:uid="{01C5CF1B-D024-4E01-AC24-C7C1E819E766}"/>
    <cellStyle name="Comma 4 4 2 2 9" xfId="4626" xr:uid="{00000000-0005-0000-0000-0000E5090000}"/>
    <cellStyle name="Comma 4 4 2 2 9 2" xfId="21517" xr:uid="{C1EAA241-CC30-47EE-9925-D4477A3E42D0}"/>
    <cellStyle name="Comma 4 4 2 2 9 3" xfId="13076" xr:uid="{9B7861FE-0CF7-408B-9FEE-9012B9F2A2FA}"/>
    <cellStyle name="Comma 4 4 2 3" xfId="691" xr:uid="{00000000-0005-0000-0000-0000E6090000}"/>
    <cellStyle name="Comma 4 4 2 3 2" xfId="2962" xr:uid="{00000000-0005-0000-0000-0000E7090000}"/>
    <cellStyle name="Comma 4 4 2 3 2 2" xfId="7184" xr:uid="{00000000-0005-0000-0000-0000E8090000}"/>
    <cellStyle name="Comma 4 4 2 3 2 2 2" xfId="24075" xr:uid="{C49B9534-440B-45CA-AC85-B4B3E6CB9E0F}"/>
    <cellStyle name="Comma 4 4 2 3 2 2 3" xfId="15634" xr:uid="{D2B39263-AB53-4D9B-939A-254236B76FAE}"/>
    <cellStyle name="Comma 4 4 2 3 2 3" xfId="19857" xr:uid="{75566CE7-7D80-43A3-B454-86A6C8C13ECF}"/>
    <cellStyle name="Comma 4 4 2 3 2 4" xfId="11416" xr:uid="{850DDBC8-93F8-49FA-8526-1A0F03EB4063}"/>
    <cellStyle name="Comma 4 4 2 3 3" xfId="5039" xr:uid="{00000000-0005-0000-0000-0000E9090000}"/>
    <cellStyle name="Comma 4 4 2 3 3 2" xfId="21930" xr:uid="{3EA9C91A-6F1D-414C-886D-4945B136BA73}"/>
    <cellStyle name="Comma 4 4 2 3 3 3" xfId="13489" xr:uid="{8ED72E16-6C67-4F6A-9442-1F797028C11C}"/>
    <cellStyle name="Comma 4 4 2 3 4" xfId="17712" xr:uid="{E4029AC5-BBF5-4BB1-8840-D6832C36E28E}"/>
    <cellStyle name="Comma 4 4 2 3 5" xfId="9271" xr:uid="{B560FB45-4E00-4985-80EF-9DC146AF16A5}"/>
    <cellStyle name="Comma 4 4 2 4" xfId="1144" xr:uid="{00000000-0005-0000-0000-0000EA090000}"/>
    <cellStyle name="Comma 4 4 2 4 2" xfId="3375" xr:uid="{00000000-0005-0000-0000-0000EB090000}"/>
    <cellStyle name="Comma 4 4 2 4 2 2" xfId="7597" xr:uid="{00000000-0005-0000-0000-0000EC090000}"/>
    <cellStyle name="Comma 4 4 2 4 2 2 2" xfId="24488" xr:uid="{191604D5-6BEA-4A53-93EC-F23DFA2EC1D3}"/>
    <cellStyle name="Comma 4 4 2 4 2 2 3" xfId="16047" xr:uid="{9620BB4C-612F-4649-8B3F-E3EBEDEEC8D8}"/>
    <cellStyle name="Comma 4 4 2 4 2 3" xfId="20270" xr:uid="{2DA5CB18-3EF8-4EFC-BD24-C9D1494B5140}"/>
    <cellStyle name="Comma 4 4 2 4 2 4" xfId="11829" xr:uid="{A377B7AB-EFEE-4126-A6F2-EABB71780833}"/>
    <cellStyle name="Comma 4 4 2 4 3" xfId="5452" xr:uid="{00000000-0005-0000-0000-0000ED090000}"/>
    <cellStyle name="Comma 4 4 2 4 3 2" xfId="22343" xr:uid="{2ED782F3-4D2F-4549-B345-EAD40B6C174B}"/>
    <cellStyle name="Comma 4 4 2 4 3 3" xfId="13902" xr:uid="{F3C386A7-C506-4823-B933-32A5146F079E}"/>
    <cellStyle name="Comma 4 4 2 4 4" xfId="18125" xr:uid="{88B9342F-640D-4F93-9F9B-33FDEF8B497B}"/>
    <cellStyle name="Comma 4 4 2 4 5" xfId="9684" xr:uid="{7EB6103C-D851-49FD-9524-7172292FB5DC}"/>
    <cellStyle name="Comma 4 4 2 5" xfId="1558" xr:uid="{00000000-0005-0000-0000-0000EE090000}"/>
    <cellStyle name="Comma 4 4 2 5 2" xfId="3788" xr:uid="{00000000-0005-0000-0000-0000EF090000}"/>
    <cellStyle name="Comma 4 4 2 5 2 2" xfId="8010" xr:uid="{00000000-0005-0000-0000-0000F0090000}"/>
    <cellStyle name="Comma 4 4 2 5 2 2 2" xfId="24901" xr:uid="{F6E7F143-2ACE-4986-8CAF-4F9A88AD1CCF}"/>
    <cellStyle name="Comma 4 4 2 5 2 2 3" xfId="16460" xr:uid="{17EE53C5-50B4-4339-ABE9-50554DB624DB}"/>
    <cellStyle name="Comma 4 4 2 5 2 3" xfId="20683" xr:uid="{7F281A29-70D6-4FAF-8303-B1C75D499E04}"/>
    <cellStyle name="Comma 4 4 2 5 2 4" xfId="12242" xr:uid="{DF770B51-3436-4B8D-B526-9F660B9FB8E7}"/>
    <cellStyle name="Comma 4 4 2 5 3" xfId="5865" xr:uid="{00000000-0005-0000-0000-0000F1090000}"/>
    <cellStyle name="Comma 4 4 2 5 3 2" xfId="22756" xr:uid="{D0BAE71B-D99E-40EA-95D2-AF3E09734951}"/>
    <cellStyle name="Comma 4 4 2 5 3 3" xfId="14315" xr:uid="{C25919FF-A8D9-49EA-9588-633F95138FDB}"/>
    <cellStyle name="Comma 4 4 2 5 4" xfId="18538" xr:uid="{C3B425B2-078E-4B4E-9638-107C1610C2BF}"/>
    <cellStyle name="Comma 4 4 2 5 5" xfId="10097" xr:uid="{32DA44F5-EA39-4A7B-8195-9CE7A0139F28}"/>
    <cellStyle name="Comma 4 4 2 6" xfId="1972" xr:uid="{00000000-0005-0000-0000-0000F2090000}"/>
    <cellStyle name="Comma 4 4 2 6 2" xfId="4201" xr:uid="{00000000-0005-0000-0000-0000F3090000}"/>
    <cellStyle name="Comma 4 4 2 6 2 2" xfId="8423" xr:uid="{00000000-0005-0000-0000-0000F4090000}"/>
    <cellStyle name="Comma 4 4 2 6 2 2 2" xfId="25314" xr:uid="{70DAD547-E60E-4D60-A3CB-DB11F2DE2194}"/>
    <cellStyle name="Comma 4 4 2 6 2 2 3" xfId="16873" xr:uid="{513D6A9C-FD48-4046-86E0-9660F75DBB14}"/>
    <cellStyle name="Comma 4 4 2 6 2 3" xfId="21096" xr:uid="{C1D51983-F3E3-4ECC-8FB2-741F708AD831}"/>
    <cellStyle name="Comma 4 4 2 6 2 4" xfId="12655" xr:uid="{CC764AB9-4C70-4155-9D1C-2DF83A1D5EBE}"/>
    <cellStyle name="Comma 4 4 2 6 3" xfId="6278" xr:uid="{00000000-0005-0000-0000-0000F5090000}"/>
    <cellStyle name="Comma 4 4 2 6 3 2" xfId="23169" xr:uid="{FBFFB7B5-6278-452E-B473-6DEA73F16FA9}"/>
    <cellStyle name="Comma 4 4 2 6 3 3" xfId="14728" xr:uid="{D6D9BF08-F7DF-4C0E-8A10-F506D813103F}"/>
    <cellStyle name="Comma 4 4 2 6 4" xfId="18951" xr:uid="{C498873F-E255-4D05-8E63-292F4DEF8D93}"/>
    <cellStyle name="Comma 4 4 2 6 5" xfId="10510" xr:uid="{CECAF7FD-4533-4D0A-8475-916A3C23529B}"/>
    <cellStyle name="Comma 4 4 2 7" xfId="2407" xr:uid="{00000000-0005-0000-0000-0000F6090000}"/>
    <cellStyle name="Comma 4 4 2 7 2" xfId="6691" xr:uid="{00000000-0005-0000-0000-0000F7090000}"/>
    <cellStyle name="Comma 4 4 2 7 2 2" xfId="23582" xr:uid="{BF4073FA-8D4C-463B-9D43-F134F59E6260}"/>
    <cellStyle name="Comma 4 4 2 7 2 3" xfId="15141" xr:uid="{11A71BB8-6F18-488C-84AD-989C1215428F}"/>
    <cellStyle name="Comma 4 4 2 7 3" xfId="19364" xr:uid="{2C2ACC14-BA7D-4D9D-B03B-1E1A71EBFC86}"/>
    <cellStyle name="Comma 4 4 2 7 4" xfId="10923" xr:uid="{FDA2F074-61E6-42B1-95AA-13CFE71AD146}"/>
    <cellStyle name="Comma 4 4 2 8" xfId="2703" xr:uid="{00000000-0005-0000-0000-0000F8090000}"/>
    <cellStyle name="Comma 4 4 2 9" xfId="2785" xr:uid="{00000000-0005-0000-0000-0000F9090000}"/>
    <cellStyle name="Comma 4 4 2 9 2" xfId="7008" xr:uid="{00000000-0005-0000-0000-0000FA090000}"/>
    <cellStyle name="Comma 4 4 2 9 2 2" xfId="23899" xr:uid="{D83EF17B-4F3F-4E98-B9A0-77657334D766}"/>
    <cellStyle name="Comma 4 4 2 9 2 3" xfId="15458" xr:uid="{25922AC2-9AEA-4E34-84E3-1DFB92C4B00B}"/>
    <cellStyle name="Comma 4 4 2 9 3" xfId="19681" xr:uid="{F9A6C4E9-A2DC-47B7-86F5-9E7BA0C1ACE5}"/>
    <cellStyle name="Comma 4 4 2 9 4" xfId="11240" xr:uid="{154AF6FC-CB9E-4CDC-A778-A31A3A5AF8CF}"/>
    <cellStyle name="Comma 4 4 3" xfId="156" xr:uid="{00000000-0005-0000-0000-0000FB090000}"/>
    <cellStyle name="Comma 4 4 3 10" xfId="17300" xr:uid="{D26C606C-2F09-420C-8743-6029F74602BF}"/>
    <cellStyle name="Comma 4 4 3 11" xfId="8859" xr:uid="{A5EF2C81-FF9B-4D2B-A79F-4D0D65E7FCCF}"/>
    <cellStyle name="Comma 4 4 3 2" xfId="693" xr:uid="{00000000-0005-0000-0000-0000FC090000}"/>
    <cellStyle name="Comma 4 4 3 2 2" xfId="2964" xr:uid="{00000000-0005-0000-0000-0000FD090000}"/>
    <cellStyle name="Comma 4 4 3 2 2 2" xfId="7186" xr:uid="{00000000-0005-0000-0000-0000FE090000}"/>
    <cellStyle name="Comma 4 4 3 2 2 2 2" xfId="24077" xr:uid="{16C7EBDB-C493-409E-979A-017D5394D1D8}"/>
    <cellStyle name="Comma 4 4 3 2 2 2 3" xfId="15636" xr:uid="{D3629E87-EF6B-4F24-8A56-FAB2A96CDDAB}"/>
    <cellStyle name="Comma 4 4 3 2 2 3" xfId="19859" xr:uid="{6DFF76F7-C80A-4D1D-9864-436F81C0D2C1}"/>
    <cellStyle name="Comma 4 4 3 2 2 4" xfId="11418" xr:uid="{032F21FD-182F-42E0-B5A6-9943B874EF2B}"/>
    <cellStyle name="Comma 4 4 3 2 3" xfId="5041" xr:uid="{00000000-0005-0000-0000-0000FF090000}"/>
    <cellStyle name="Comma 4 4 3 2 3 2" xfId="21932" xr:uid="{2ED93104-54B2-4FC5-A8D8-1DFB537FCAAB}"/>
    <cellStyle name="Comma 4 4 3 2 3 3" xfId="13491" xr:uid="{AE3697B6-8B79-4FC5-876D-520BA61229A0}"/>
    <cellStyle name="Comma 4 4 3 2 4" xfId="17714" xr:uid="{0C6BACBB-C89C-4F91-95C2-F561D8DA3C99}"/>
    <cellStyle name="Comma 4 4 3 2 5" xfId="9273" xr:uid="{971B346A-5FB1-4983-A750-236B6A9E9AA0}"/>
    <cellStyle name="Comma 4 4 3 3" xfId="1146" xr:uid="{00000000-0005-0000-0000-0000000A0000}"/>
    <cellStyle name="Comma 4 4 3 3 2" xfId="3377" xr:uid="{00000000-0005-0000-0000-0000010A0000}"/>
    <cellStyle name="Comma 4 4 3 3 2 2" xfId="7599" xr:uid="{00000000-0005-0000-0000-0000020A0000}"/>
    <cellStyle name="Comma 4 4 3 3 2 2 2" xfId="24490" xr:uid="{5E8224B5-2F7D-417B-8D8B-BDF5AE97EF8D}"/>
    <cellStyle name="Comma 4 4 3 3 2 2 3" xfId="16049" xr:uid="{3989B4D0-B780-4B3C-920A-2AF4A5BFABF1}"/>
    <cellStyle name="Comma 4 4 3 3 2 3" xfId="20272" xr:uid="{8353C567-6675-4A6A-AE3A-F28DCFA3132F}"/>
    <cellStyle name="Comma 4 4 3 3 2 4" xfId="11831" xr:uid="{1ABE0F08-2A05-4EC6-AFE0-43B498745340}"/>
    <cellStyle name="Comma 4 4 3 3 3" xfId="5454" xr:uid="{00000000-0005-0000-0000-0000030A0000}"/>
    <cellStyle name="Comma 4 4 3 3 3 2" xfId="22345" xr:uid="{AD3CEA95-F91B-4C39-8E64-6DC4AE2B2602}"/>
    <cellStyle name="Comma 4 4 3 3 3 3" xfId="13904" xr:uid="{09BC69E4-A43D-4E4E-BC11-AAB18066FB7C}"/>
    <cellStyle name="Comma 4 4 3 3 4" xfId="18127" xr:uid="{116561BE-FABC-4DE8-926F-63E72A99D93F}"/>
    <cellStyle name="Comma 4 4 3 3 5" xfId="9686" xr:uid="{4C891387-B140-4799-BED5-E08E910080BC}"/>
    <cellStyle name="Comma 4 4 3 4" xfId="1560" xr:uid="{00000000-0005-0000-0000-0000040A0000}"/>
    <cellStyle name="Comma 4 4 3 4 2" xfId="3790" xr:uid="{00000000-0005-0000-0000-0000050A0000}"/>
    <cellStyle name="Comma 4 4 3 4 2 2" xfId="8012" xr:uid="{00000000-0005-0000-0000-0000060A0000}"/>
    <cellStyle name="Comma 4 4 3 4 2 2 2" xfId="24903" xr:uid="{6344051E-3635-4BC3-AF38-65C50D6C0D42}"/>
    <cellStyle name="Comma 4 4 3 4 2 2 3" xfId="16462" xr:uid="{76468712-45C0-4951-AD5B-3A1E69D6E534}"/>
    <cellStyle name="Comma 4 4 3 4 2 3" xfId="20685" xr:uid="{702D6CC3-E64A-4532-8B60-85AC4F17A065}"/>
    <cellStyle name="Comma 4 4 3 4 2 4" xfId="12244" xr:uid="{B853D68F-AC67-4ED5-98AE-75AB5B513BFC}"/>
    <cellStyle name="Comma 4 4 3 4 3" xfId="5867" xr:uid="{00000000-0005-0000-0000-0000070A0000}"/>
    <cellStyle name="Comma 4 4 3 4 3 2" xfId="22758" xr:uid="{07D4EF57-6721-48C9-8B04-D29CFEC55A4D}"/>
    <cellStyle name="Comma 4 4 3 4 3 3" xfId="14317" xr:uid="{DCACEE11-8635-4913-ACCA-B69D44EC466C}"/>
    <cellStyle name="Comma 4 4 3 4 4" xfId="18540" xr:uid="{A4CC3638-3D5E-495C-8F5E-392154B4621D}"/>
    <cellStyle name="Comma 4 4 3 4 5" xfId="10099" xr:uid="{E68D206D-E2FA-4A36-9017-419AD76C5AE9}"/>
    <cellStyle name="Comma 4 4 3 5" xfId="1974" xr:uid="{00000000-0005-0000-0000-0000080A0000}"/>
    <cellStyle name="Comma 4 4 3 5 2" xfId="4203" xr:uid="{00000000-0005-0000-0000-0000090A0000}"/>
    <cellStyle name="Comma 4 4 3 5 2 2" xfId="8425" xr:uid="{00000000-0005-0000-0000-00000A0A0000}"/>
    <cellStyle name="Comma 4 4 3 5 2 2 2" xfId="25316" xr:uid="{5F40557E-82D1-40C2-9B79-26E08E29D775}"/>
    <cellStyle name="Comma 4 4 3 5 2 2 3" xfId="16875" xr:uid="{49AE2948-C75C-4EFE-A67B-0E02E0FB56DB}"/>
    <cellStyle name="Comma 4 4 3 5 2 3" xfId="21098" xr:uid="{AE346036-47CB-4331-B444-A37A4FE4DB20}"/>
    <cellStyle name="Comma 4 4 3 5 2 4" xfId="12657" xr:uid="{C4428A8B-56DC-452F-B1A1-07FAF0CC33B7}"/>
    <cellStyle name="Comma 4 4 3 5 3" xfId="6280" xr:uid="{00000000-0005-0000-0000-00000B0A0000}"/>
    <cellStyle name="Comma 4 4 3 5 3 2" xfId="23171" xr:uid="{92334FB1-0CAD-464B-9B62-C37DE72A42E1}"/>
    <cellStyle name="Comma 4 4 3 5 3 3" xfId="14730" xr:uid="{AD6A5E9C-50E7-4DBC-939D-C331A643E2D0}"/>
    <cellStyle name="Comma 4 4 3 5 4" xfId="18953" xr:uid="{447D72AD-DE90-458E-8E5B-8D7C79954319}"/>
    <cellStyle name="Comma 4 4 3 5 5" xfId="10512" xr:uid="{BB9C9C96-35E3-4E7B-81B4-A7680594EFD7}"/>
    <cellStyle name="Comma 4 4 3 6" xfId="2409" xr:uid="{00000000-0005-0000-0000-00000C0A0000}"/>
    <cellStyle name="Comma 4 4 3 6 2" xfId="6693" xr:uid="{00000000-0005-0000-0000-00000D0A0000}"/>
    <cellStyle name="Comma 4 4 3 6 2 2" xfId="23584" xr:uid="{C55FB7C3-41FD-47E5-960A-C6BD9F037700}"/>
    <cellStyle name="Comma 4 4 3 6 2 3" xfId="15143" xr:uid="{08B6FAFA-C0EA-4F33-8D41-0D1CBF8D4E40}"/>
    <cellStyle name="Comma 4 4 3 6 3" xfId="19366" xr:uid="{FA4510EB-5720-486D-A1D7-053FE536C23D}"/>
    <cellStyle name="Comma 4 4 3 6 4" xfId="10925" xr:uid="{A472A1F4-A583-4876-919E-F340991984D2}"/>
    <cellStyle name="Comma 4 4 3 7" xfId="2705" xr:uid="{00000000-0005-0000-0000-00000E0A0000}"/>
    <cellStyle name="Comma 4 4 3 8" xfId="2787" xr:uid="{00000000-0005-0000-0000-00000F0A0000}"/>
    <cellStyle name="Comma 4 4 3 8 2" xfId="7010" xr:uid="{00000000-0005-0000-0000-0000100A0000}"/>
    <cellStyle name="Comma 4 4 3 8 2 2" xfId="23901" xr:uid="{F4147E7D-F947-4536-8C74-4C2C0DA08833}"/>
    <cellStyle name="Comma 4 4 3 8 2 3" xfId="15460" xr:uid="{2EE077EA-B59B-4312-9C7B-580018B57961}"/>
    <cellStyle name="Comma 4 4 3 8 3" xfId="19683" xr:uid="{182A7A06-AD4A-4711-A958-02B79C9F80FB}"/>
    <cellStyle name="Comma 4 4 3 8 4" xfId="11242" xr:uid="{BCBB489A-E9DE-48A2-B8FF-66D41FC5826D}"/>
    <cellStyle name="Comma 4 4 3 9" xfId="4627" xr:uid="{00000000-0005-0000-0000-0000110A0000}"/>
    <cellStyle name="Comma 4 4 3 9 2" xfId="21518" xr:uid="{4CC6D6E7-59A2-4FE2-9FCA-12398DBC4D35}"/>
    <cellStyle name="Comma 4 4 3 9 3" xfId="13077" xr:uid="{B757039C-0319-4AAE-9702-5E223E3EA046}"/>
    <cellStyle name="Comma 4 4 4" xfId="690" xr:uid="{00000000-0005-0000-0000-0000120A0000}"/>
    <cellStyle name="Comma 4 4 4 2" xfId="2961" xr:uid="{00000000-0005-0000-0000-0000130A0000}"/>
    <cellStyle name="Comma 4 4 4 2 2" xfId="7183" xr:uid="{00000000-0005-0000-0000-0000140A0000}"/>
    <cellStyle name="Comma 4 4 4 2 2 2" xfId="24074" xr:uid="{6146557B-DB35-47DE-884C-39F0227352A0}"/>
    <cellStyle name="Comma 4 4 4 2 2 3" xfId="15633" xr:uid="{64DFB424-6237-4C99-82AF-F67D8F2D9B14}"/>
    <cellStyle name="Comma 4 4 4 2 3" xfId="19856" xr:uid="{E83AEAB8-B727-4848-9F81-B94EC6962C55}"/>
    <cellStyle name="Comma 4 4 4 2 4" xfId="11415" xr:uid="{F7DA7B9C-3C77-4659-9538-8C3E932DF9D6}"/>
    <cellStyle name="Comma 4 4 4 3" xfId="5038" xr:uid="{00000000-0005-0000-0000-0000150A0000}"/>
    <cellStyle name="Comma 4 4 4 3 2" xfId="21929" xr:uid="{89EF3BCC-E5F5-4790-B8BB-7226A1A62DF4}"/>
    <cellStyle name="Comma 4 4 4 3 3" xfId="13488" xr:uid="{FC36067B-5D76-4C60-A129-63C56E40D5B1}"/>
    <cellStyle name="Comma 4 4 4 4" xfId="17711" xr:uid="{710390C3-F42E-4BB6-8373-49DE32A97A36}"/>
    <cellStyle name="Comma 4 4 4 5" xfId="9270" xr:uid="{8587CF3E-61C8-4FA8-A447-1D5C88BEDB6A}"/>
    <cellStyle name="Comma 4 4 5" xfId="1143" xr:uid="{00000000-0005-0000-0000-0000160A0000}"/>
    <cellStyle name="Comma 4 4 5 2" xfId="3374" xr:uid="{00000000-0005-0000-0000-0000170A0000}"/>
    <cellStyle name="Comma 4 4 5 2 2" xfId="7596" xr:uid="{00000000-0005-0000-0000-0000180A0000}"/>
    <cellStyle name="Comma 4 4 5 2 2 2" xfId="24487" xr:uid="{47DE8F4C-3F40-418E-BA67-B1AE2185835A}"/>
    <cellStyle name="Comma 4 4 5 2 2 3" xfId="16046" xr:uid="{ADAE2858-E2E1-46E1-817C-A59DC579506E}"/>
    <cellStyle name="Comma 4 4 5 2 3" xfId="20269" xr:uid="{E6E172FC-F4B1-4DD7-80A4-E877113423A4}"/>
    <cellStyle name="Comma 4 4 5 2 4" xfId="11828" xr:uid="{1A3ED39A-CE84-4C6D-B354-29E2B3D90164}"/>
    <cellStyle name="Comma 4 4 5 3" xfId="5451" xr:uid="{00000000-0005-0000-0000-0000190A0000}"/>
    <cellStyle name="Comma 4 4 5 3 2" xfId="22342" xr:uid="{5BD05269-3BE1-4EA2-9008-7521D285B7CB}"/>
    <cellStyle name="Comma 4 4 5 3 3" xfId="13901" xr:uid="{047ACEDE-4A54-4B9E-9341-C9209EC67B8E}"/>
    <cellStyle name="Comma 4 4 5 4" xfId="18124" xr:uid="{27CE2C9F-3E85-4420-B675-A5F744550259}"/>
    <cellStyle name="Comma 4 4 5 5" xfId="9683" xr:uid="{435EC024-EBF5-4D75-85B6-90538E9325C7}"/>
    <cellStyle name="Comma 4 4 6" xfId="1557" xr:uid="{00000000-0005-0000-0000-00001A0A0000}"/>
    <cellStyle name="Comma 4 4 6 2" xfId="3787" xr:uid="{00000000-0005-0000-0000-00001B0A0000}"/>
    <cellStyle name="Comma 4 4 6 2 2" xfId="8009" xr:uid="{00000000-0005-0000-0000-00001C0A0000}"/>
    <cellStyle name="Comma 4 4 6 2 2 2" xfId="24900" xr:uid="{FA80F526-B061-415B-9DD8-389A33073E22}"/>
    <cellStyle name="Comma 4 4 6 2 2 3" xfId="16459" xr:uid="{A0B249CB-8724-4B2F-AE0B-874A78E54828}"/>
    <cellStyle name="Comma 4 4 6 2 3" xfId="20682" xr:uid="{566C6429-A1D0-48DA-8F32-42F1869A73FF}"/>
    <cellStyle name="Comma 4 4 6 2 4" xfId="12241" xr:uid="{FBC9F114-2E45-4D86-99E9-73D90E3BDD82}"/>
    <cellStyle name="Comma 4 4 6 3" xfId="5864" xr:uid="{00000000-0005-0000-0000-00001D0A0000}"/>
    <cellStyle name="Comma 4 4 6 3 2" xfId="22755" xr:uid="{F43408BD-192B-401C-B48B-5A334835D8C4}"/>
    <cellStyle name="Comma 4 4 6 3 3" xfId="14314" xr:uid="{F3A2FAE9-ACA0-44BE-873F-5D851F6791DF}"/>
    <cellStyle name="Comma 4 4 6 4" xfId="18537" xr:uid="{F6AB2F48-A684-43BA-A4C0-A299CA09943C}"/>
    <cellStyle name="Comma 4 4 6 5" xfId="10096" xr:uid="{8C4585B6-3274-4D16-92F9-C3D64FEB020E}"/>
    <cellStyle name="Comma 4 4 7" xfId="1971" xr:uid="{00000000-0005-0000-0000-00001E0A0000}"/>
    <cellStyle name="Comma 4 4 7 2" xfId="4200" xr:uid="{00000000-0005-0000-0000-00001F0A0000}"/>
    <cellStyle name="Comma 4 4 7 2 2" xfId="8422" xr:uid="{00000000-0005-0000-0000-0000200A0000}"/>
    <cellStyle name="Comma 4 4 7 2 2 2" xfId="25313" xr:uid="{1B9A07EE-6115-4BD8-A9D8-C2EB0E50D028}"/>
    <cellStyle name="Comma 4 4 7 2 2 3" xfId="16872" xr:uid="{81B5E16C-2A56-40F0-A392-ED28F3B65D8D}"/>
    <cellStyle name="Comma 4 4 7 2 3" xfId="21095" xr:uid="{827742BA-9A6D-4062-8854-6B5FF8D21FC3}"/>
    <cellStyle name="Comma 4 4 7 2 4" xfId="12654" xr:uid="{3204145C-A37D-456C-A3EC-3F9078D74B04}"/>
    <cellStyle name="Comma 4 4 7 3" xfId="6277" xr:uid="{00000000-0005-0000-0000-0000210A0000}"/>
    <cellStyle name="Comma 4 4 7 3 2" xfId="23168" xr:uid="{3B6BD422-A57E-49F6-82AB-771676BEF067}"/>
    <cellStyle name="Comma 4 4 7 3 3" xfId="14727" xr:uid="{9C626980-5792-42FC-9632-A0785E6DC042}"/>
    <cellStyle name="Comma 4 4 7 4" xfId="18950" xr:uid="{7809F65C-7FB1-4B76-8FC2-AFF869D4DB40}"/>
    <cellStyle name="Comma 4 4 7 5" xfId="10509" xr:uid="{914F55CF-25A7-4CEF-831B-9673E46B7296}"/>
    <cellStyle name="Comma 4 4 8" xfId="2406" xr:uid="{00000000-0005-0000-0000-0000220A0000}"/>
    <cellStyle name="Comma 4 4 8 2" xfId="6690" xr:uid="{00000000-0005-0000-0000-0000230A0000}"/>
    <cellStyle name="Comma 4 4 8 2 2" xfId="23581" xr:uid="{0C278B38-CCD3-4B76-B433-65BEAF30C994}"/>
    <cellStyle name="Comma 4 4 8 2 3" xfId="15140" xr:uid="{7BC548FA-ED33-4C19-98E2-2034DA0A7E41}"/>
    <cellStyle name="Comma 4 4 8 3" xfId="19363" xr:uid="{3EA9B7B4-C73B-4472-A228-DFCFAA400C5B}"/>
    <cellStyle name="Comma 4 4 8 4" xfId="10922" xr:uid="{BFA29660-0374-4754-998F-3F57E4D3249D}"/>
    <cellStyle name="Comma 4 4 9" xfId="2702" xr:uid="{00000000-0005-0000-0000-0000240A0000}"/>
    <cellStyle name="Comma 4 5" xfId="157" xr:uid="{00000000-0005-0000-0000-0000250A0000}"/>
    <cellStyle name="Comma 4 5 10" xfId="4628" xr:uid="{00000000-0005-0000-0000-0000260A0000}"/>
    <cellStyle name="Comma 4 5 10 2" xfId="21519" xr:uid="{EEEDFAB3-583F-49BA-B8B9-37442F0F5AB9}"/>
    <cellStyle name="Comma 4 5 10 3" xfId="13078" xr:uid="{6E7DA70A-38CB-492E-BFB9-5A96E0423FC0}"/>
    <cellStyle name="Comma 4 5 11" xfId="17301" xr:uid="{2BEC0741-2FE0-4C32-BE36-3E25B8BA543B}"/>
    <cellStyle name="Comma 4 5 12" xfId="8860" xr:uid="{BEF28552-CCC0-41CA-8D10-161D020B52F4}"/>
    <cellStyle name="Comma 4 5 2" xfId="158" xr:uid="{00000000-0005-0000-0000-0000270A0000}"/>
    <cellStyle name="Comma 4 5 2 10" xfId="17302" xr:uid="{AAED02AD-9D7A-4F26-ADB4-99AC3152C7F0}"/>
    <cellStyle name="Comma 4 5 2 11" xfId="8861" xr:uid="{54EA0803-886C-4DA3-BDA5-752E51AA6065}"/>
    <cellStyle name="Comma 4 5 2 2" xfId="695" xr:uid="{00000000-0005-0000-0000-0000280A0000}"/>
    <cellStyle name="Comma 4 5 2 2 2" xfId="2966" xr:uid="{00000000-0005-0000-0000-0000290A0000}"/>
    <cellStyle name="Comma 4 5 2 2 2 2" xfId="7188" xr:uid="{00000000-0005-0000-0000-00002A0A0000}"/>
    <cellStyle name="Comma 4 5 2 2 2 2 2" xfId="24079" xr:uid="{1C97CB52-0000-454C-8B7E-20162F701A6F}"/>
    <cellStyle name="Comma 4 5 2 2 2 2 3" xfId="15638" xr:uid="{7B05C029-9880-43D8-94F9-718D021E7FAE}"/>
    <cellStyle name="Comma 4 5 2 2 2 3" xfId="19861" xr:uid="{02815CB3-E970-4DDD-B169-A4678BC17F61}"/>
    <cellStyle name="Comma 4 5 2 2 2 4" xfId="11420" xr:uid="{F57B2415-1E3E-4E72-B0AE-2E1D1305F791}"/>
    <cellStyle name="Comma 4 5 2 2 3" xfId="5043" xr:uid="{00000000-0005-0000-0000-00002B0A0000}"/>
    <cellStyle name="Comma 4 5 2 2 3 2" xfId="21934" xr:uid="{FEB7D058-DDBC-4D67-AE3F-6021767CF02E}"/>
    <cellStyle name="Comma 4 5 2 2 3 3" xfId="13493" xr:uid="{FABC0C0C-0174-4ACB-A65E-AA29EA8FFCCE}"/>
    <cellStyle name="Comma 4 5 2 2 4" xfId="17716" xr:uid="{9CC6F195-E3E5-4777-919F-A499A55338DB}"/>
    <cellStyle name="Comma 4 5 2 2 5" xfId="9275" xr:uid="{796AC3BE-044E-4568-8A5C-1997484127BA}"/>
    <cellStyle name="Comma 4 5 2 3" xfId="1148" xr:uid="{00000000-0005-0000-0000-00002C0A0000}"/>
    <cellStyle name="Comma 4 5 2 3 2" xfId="3379" xr:uid="{00000000-0005-0000-0000-00002D0A0000}"/>
    <cellStyle name="Comma 4 5 2 3 2 2" xfId="7601" xr:uid="{00000000-0005-0000-0000-00002E0A0000}"/>
    <cellStyle name="Comma 4 5 2 3 2 2 2" xfId="24492" xr:uid="{437B0A4A-E798-4D03-809F-4ABBF899C2B0}"/>
    <cellStyle name="Comma 4 5 2 3 2 2 3" xfId="16051" xr:uid="{C6C4B37C-EC7C-47FB-BA76-5BBE704DC46F}"/>
    <cellStyle name="Comma 4 5 2 3 2 3" xfId="20274" xr:uid="{408D1740-52F4-4846-8BE2-A598BEFA0C83}"/>
    <cellStyle name="Comma 4 5 2 3 2 4" xfId="11833" xr:uid="{F214E7BF-5679-4010-867D-55B519DA4EC4}"/>
    <cellStyle name="Comma 4 5 2 3 3" xfId="5456" xr:uid="{00000000-0005-0000-0000-00002F0A0000}"/>
    <cellStyle name="Comma 4 5 2 3 3 2" xfId="22347" xr:uid="{4B5E7548-0CF7-4629-9C6B-EA4132F89B36}"/>
    <cellStyle name="Comma 4 5 2 3 3 3" xfId="13906" xr:uid="{5588EE10-93DB-4A59-8648-F632914537C9}"/>
    <cellStyle name="Comma 4 5 2 3 4" xfId="18129" xr:uid="{054F6519-3185-4BD7-B8BC-BF7913C8BEB2}"/>
    <cellStyle name="Comma 4 5 2 3 5" xfId="9688" xr:uid="{B13854BF-51D3-4425-8C68-ABBDB48B87C5}"/>
    <cellStyle name="Comma 4 5 2 4" xfId="1562" xr:uid="{00000000-0005-0000-0000-0000300A0000}"/>
    <cellStyle name="Comma 4 5 2 4 2" xfId="3792" xr:uid="{00000000-0005-0000-0000-0000310A0000}"/>
    <cellStyle name="Comma 4 5 2 4 2 2" xfId="8014" xr:uid="{00000000-0005-0000-0000-0000320A0000}"/>
    <cellStyle name="Comma 4 5 2 4 2 2 2" xfId="24905" xr:uid="{45079520-2079-472B-90A9-F3B49624DF1A}"/>
    <cellStyle name="Comma 4 5 2 4 2 2 3" xfId="16464" xr:uid="{8626470B-1569-480E-8FA7-D4C3087DDEE8}"/>
    <cellStyle name="Comma 4 5 2 4 2 3" xfId="20687" xr:uid="{42623C0E-7DF4-48AC-B06E-963603805BEC}"/>
    <cellStyle name="Comma 4 5 2 4 2 4" xfId="12246" xr:uid="{2EB31F1B-A0DF-4A96-AC16-468CBF0D82EE}"/>
    <cellStyle name="Comma 4 5 2 4 3" xfId="5869" xr:uid="{00000000-0005-0000-0000-0000330A0000}"/>
    <cellStyle name="Comma 4 5 2 4 3 2" xfId="22760" xr:uid="{61D74789-7069-415D-A42A-5A0263FE825C}"/>
    <cellStyle name="Comma 4 5 2 4 3 3" xfId="14319" xr:uid="{C854E2A5-3E74-4107-98C5-F1698000C51F}"/>
    <cellStyle name="Comma 4 5 2 4 4" xfId="18542" xr:uid="{09498CC3-CE1A-463E-BD37-195BB921F53D}"/>
    <cellStyle name="Comma 4 5 2 4 5" xfId="10101" xr:uid="{7B51D249-A8CF-4E8C-ADE3-98A2535EEE5A}"/>
    <cellStyle name="Comma 4 5 2 5" xfId="1976" xr:uid="{00000000-0005-0000-0000-0000340A0000}"/>
    <cellStyle name="Comma 4 5 2 5 2" xfId="4205" xr:uid="{00000000-0005-0000-0000-0000350A0000}"/>
    <cellStyle name="Comma 4 5 2 5 2 2" xfId="8427" xr:uid="{00000000-0005-0000-0000-0000360A0000}"/>
    <cellStyle name="Comma 4 5 2 5 2 2 2" xfId="25318" xr:uid="{738083C5-1491-4D9E-8648-739296BBF62E}"/>
    <cellStyle name="Comma 4 5 2 5 2 2 3" xfId="16877" xr:uid="{267FD7E4-2DE1-4F48-804C-2D7B3403B63C}"/>
    <cellStyle name="Comma 4 5 2 5 2 3" xfId="21100" xr:uid="{EA93C7A8-53B4-49A2-A46E-D76D397CBC45}"/>
    <cellStyle name="Comma 4 5 2 5 2 4" xfId="12659" xr:uid="{528163D3-FC21-445C-8695-174AC8365508}"/>
    <cellStyle name="Comma 4 5 2 5 3" xfId="6282" xr:uid="{00000000-0005-0000-0000-0000370A0000}"/>
    <cellStyle name="Comma 4 5 2 5 3 2" xfId="23173" xr:uid="{6C604755-096E-40B4-BCB9-8A4122248567}"/>
    <cellStyle name="Comma 4 5 2 5 3 3" xfId="14732" xr:uid="{C3BD38C7-F0A6-4E49-83A0-4E4AC9670E66}"/>
    <cellStyle name="Comma 4 5 2 5 4" xfId="18955" xr:uid="{303EE67D-685C-4B10-B050-344E01D7F506}"/>
    <cellStyle name="Comma 4 5 2 5 5" xfId="10514" xr:uid="{5A90780A-5B81-4346-A978-721CB311CA82}"/>
    <cellStyle name="Comma 4 5 2 6" xfId="2411" xr:uid="{00000000-0005-0000-0000-0000380A0000}"/>
    <cellStyle name="Comma 4 5 2 6 2" xfId="6695" xr:uid="{00000000-0005-0000-0000-0000390A0000}"/>
    <cellStyle name="Comma 4 5 2 6 2 2" xfId="23586" xr:uid="{0914D348-2A8B-4508-AD44-71E496CE6956}"/>
    <cellStyle name="Comma 4 5 2 6 2 3" xfId="15145" xr:uid="{02247DD4-3899-4DA5-ACF3-97FA6E4336BC}"/>
    <cellStyle name="Comma 4 5 2 6 3" xfId="19368" xr:uid="{DAE58301-45BE-4F58-ACE4-4C3C8B103FC4}"/>
    <cellStyle name="Comma 4 5 2 6 4" xfId="10927" xr:uid="{BDDC2CF4-45DB-4D05-9369-77879913DA39}"/>
    <cellStyle name="Comma 4 5 2 7" xfId="2707" xr:uid="{00000000-0005-0000-0000-00003A0A0000}"/>
    <cellStyle name="Comma 4 5 2 8" xfId="2789" xr:uid="{00000000-0005-0000-0000-00003B0A0000}"/>
    <cellStyle name="Comma 4 5 2 8 2" xfId="7012" xr:uid="{00000000-0005-0000-0000-00003C0A0000}"/>
    <cellStyle name="Comma 4 5 2 8 2 2" xfId="23903" xr:uid="{E2759BD7-570B-4F46-9F26-CB92616337A0}"/>
    <cellStyle name="Comma 4 5 2 8 2 3" xfId="15462" xr:uid="{119AC3ED-8968-4339-8A2F-FFDFAF38E53F}"/>
    <cellStyle name="Comma 4 5 2 8 3" xfId="19685" xr:uid="{06F41B2F-0D75-4525-A658-CF4FE8CCDB3C}"/>
    <cellStyle name="Comma 4 5 2 8 4" xfId="11244" xr:uid="{DBFD05E4-4998-43C6-ABFA-5914294E8693}"/>
    <cellStyle name="Comma 4 5 2 9" xfId="4629" xr:uid="{00000000-0005-0000-0000-00003D0A0000}"/>
    <cellStyle name="Comma 4 5 2 9 2" xfId="21520" xr:uid="{07BFFE13-A6FE-46AE-A94E-83ADC44530BF}"/>
    <cellStyle name="Comma 4 5 2 9 3" xfId="13079" xr:uid="{77732C76-FD04-4B69-B81F-AACD7EB5149A}"/>
    <cellStyle name="Comma 4 5 3" xfId="694" xr:uid="{00000000-0005-0000-0000-00003E0A0000}"/>
    <cellStyle name="Comma 4 5 3 2" xfId="2965" xr:uid="{00000000-0005-0000-0000-00003F0A0000}"/>
    <cellStyle name="Comma 4 5 3 2 2" xfId="7187" xr:uid="{00000000-0005-0000-0000-0000400A0000}"/>
    <cellStyle name="Comma 4 5 3 2 2 2" xfId="24078" xr:uid="{6912E85D-11C7-4406-BD95-7C9F57500A16}"/>
    <cellStyle name="Comma 4 5 3 2 2 3" xfId="15637" xr:uid="{83C3848D-1CD6-4131-9259-5FFE4B287C09}"/>
    <cellStyle name="Comma 4 5 3 2 3" xfId="19860" xr:uid="{0F3E88F5-F412-4E57-B58B-0432E0D3EDB2}"/>
    <cellStyle name="Comma 4 5 3 2 4" xfId="11419" xr:uid="{BD6FD63B-41F3-4CBA-ADDB-8670872ACE5F}"/>
    <cellStyle name="Comma 4 5 3 3" xfId="5042" xr:uid="{00000000-0005-0000-0000-0000410A0000}"/>
    <cellStyle name="Comma 4 5 3 3 2" xfId="21933" xr:uid="{E9F87EAF-F4A8-44D6-9047-D2B2DA8018AD}"/>
    <cellStyle name="Comma 4 5 3 3 3" xfId="13492" xr:uid="{C2EAB98E-8CB1-4F3C-9277-2B4A92921920}"/>
    <cellStyle name="Comma 4 5 3 4" xfId="17715" xr:uid="{6848C1E4-7356-46D9-9854-007068519E24}"/>
    <cellStyle name="Comma 4 5 3 5" xfId="9274" xr:uid="{0D1DBE17-945E-4C32-96FC-93C999B85AC3}"/>
    <cellStyle name="Comma 4 5 4" xfId="1147" xr:uid="{00000000-0005-0000-0000-0000420A0000}"/>
    <cellStyle name="Comma 4 5 4 2" xfId="3378" xr:uid="{00000000-0005-0000-0000-0000430A0000}"/>
    <cellStyle name="Comma 4 5 4 2 2" xfId="7600" xr:uid="{00000000-0005-0000-0000-0000440A0000}"/>
    <cellStyle name="Comma 4 5 4 2 2 2" xfId="24491" xr:uid="{E9379986-CE97-4811-BB81-BB74A978238B}"/>
    <cellStyle name="Comma 4 5 4 2 2 3" xfId="16050" xr:uid="{11E2C497-8E10-4096-A116-881C45C9F713}"/>
    <cellStyle name="Comma 4 5 4 2 3" xfId="20273" xr:uid="{3011F443-0461-4882-8335-E8785FF31850}"/>
    <cellStyle name="Comma 4 5 4 2 4" xfId="11832" xr:uid="{0C3A118B-8302-4F50-833A-54323428DACA}"/>
    <cellStyle name="Comma 4 5 4 3" xfId="5455" xr:uid="{00000000-0005-0000-0000-0000450A0000}"/>
    <cellStyle name="Comma 4 5 4 3 2" xfId="22346" xr:uid="{70C83939-F1C4-4F66-8567-B271D84C2B72}"/>
    <cellStyle name="Comma 4 5 4 3 3" xfId="13905" xr:uid="{3F4EA316-E196-4F80-A500-E678EF2DBA04}"/>
    <cellStyle name="Comma 4 5 4 4" xfId="18128" xr:uid="{816007CE-467F-4B0C-86D6-F9A9C5F427B7}"/>
    <cellStyle name="Comma 4 5 4 5" xfId="9687" xr:uid="{E620E587-416D-4893-9CAF-90F6F5C6D244}"/>
    <cellStyle name="Comma 4 5 5" xfId="1561" xr:uid="{00000000-0005-0000-0000-0000460A0000}"/>
    <cellStyle name="Comma 4 5 5 2" xfId="3791" xr:uid="{00000000-0005-0000-0000-0000470A0000}"/>
    <cellStyle name="Comma 4 5 5 2 2" xfId="8013" xr:uid="{00000000-0005-0000-0000-0000480A0000}"/>
    <cellStyle name="Comma 4 5 5 2 2 2" xfId="24904" xr:uid="{30F237DF-3EE1-49B1-92CC-5A8130C47FAC}"/>
    <cellStyle name="Comma 4 5 5 2 2 3" xfId="16463" xr:uid="{493E8644-6CE2-4C1C-9BA2-FCA14AE74B59}"/>
    <cellStyle name="Comma 4 5 5 2 3" xfId="20686" xr:uid="{2317150B-BC92-4A7B-8D71-7E30BB89C680}"/>
    <cellStyle name="Comma 4 5 5 2 4" xfId="12245" xr:uid="{2A57C032-A320-4A8A-A737-753D410F5BB5}"/>
    <cellStyle name="Comma 4 5 5 3" xfId="5868" xr:uid="{00000000-0005-0000-0000-0000490A0000}"/>
    <cellStyle name="Comma 4 5 5 3 2" xfId="22759" xr:uid="{B0304DB0-6360-4AF7-BDA2-329A2B77CD7F}"/>
    <cellStyle name="Comma 4 5 5 3 3" xfId="14318" xr:uid="{51799205-AD9A-4BBF-ADC4-A1607C8141FB}"/>
    <cellStyle name="Comma 4 5 5 4" xfId="18541" xr:uid="{863BD131-EB7D-4B64-B745-401E628C3734}"/>
    <cellStyle name="Comma 4 5 5 5" xfId="10100" xr:uid="{DD76EC55-4ECE-454C-87E5-CAC07F1B343B}"/>
    <cellStyle name="Comma 4 5 6" xfId="1975" xr:uid="{00000000-0005-0000-0000-00004A0A0000}"/>
    <cellStyle name="Comma 4 5 6 2" xfId="4204" xr:uid="{00000000-0005-0000-0000-00004B0A0000}"/>
    <cellStyle name="Comma 4 5 6 2 2" xfId="8426" xr:uid="{00000000-0005-0000-0000-00004C0A0000}"/>
    <cellStyle name="Comma 4 5 6 2 2 2" xfId="25317" xr:uid="{18037C03-215E-4290-8DB5-FA4DE4CFA8ED}"/>
    <cellStyle name="Comma 4 5 6 2 2 3" xfId="16876" xr:uid="{AAC73DF0-B297-4BCB-A232-3FA9E89B803E}"/>
    <cellStyle name="Comma 4 5 6 2 3" xfId="21099" xr:uid="{A598ED25-B122-4CEE-944B-4F6A5E547EC3}"/>
    <cellStyle name="Comma 4 5 6 2 4" xfId="12658" xr:uid="{9490F429-72AB-4855-9307-7AFC40434134}"/>
    <cellStyle name="Comma 4 5 6 3" xfId="6281" xr:uid="{00000000-0005-0000-0000-00004D0A0000}"/>
    <cellStyle name="Comma 4 5 6 3 2" xfId="23172" xr:uid="{9DCF1FC2-356D-4ED5-AAF3-72794C502331}"/>
    <cellStyle name="Comma 4 5 6 3 3" xfId="14731" xr:uid="{4BF529E3-C609-4F2D-8CF8-49033169ABDA}"/>
    <cellStyle name="Comma 4 5 6 4" xfId="18954" xr:uid="{90ECAB78-E3DB-48F1-9FEC-C9D8960F2710}"/>
    <cellStyle name="Comma 4 5 6 5" xfId="10513" xr:uid="{5E6B8C12-27BB-4272-A0AD-D2AD453901E4}"/>
    <cellStyle name="Comma 4 5 7" xfId="2410" xr:uid="{00000000-0005-0000-0000-00004E0A0000}"/>
    <cellStyle name="Comma 4 5 7 2" xfId="6694" xr:uid="{00000000-0005-0000-0000-00004F0A0000}"/>
    <cellStyle name="Comma 4 5 7 2 2" xfId="23585" xr:uid="{32FC52BD-D7B5-4694-BEA2-53D4B9BFD640}"/>
    <cellStyle name="Comma 4 5 7 2 3" xfId="15144" xr:uid="{D4893635-CD50-4BE1-A9AB-3EC0D77460D5}"/>
    <cellStyle name="Comma 4 5 7 3" xfId="19367" xr:uid="{21E89D6A-6633-4AE4-8EEB-3449D17296EB}"/>
    <cellStyle name="Comma 4 5 7 4" xfId="10926" xr:uid="{BCB08E4A-632D-4779-947C-CDE71F921DCC}"/>
    <cellStyle name="Comma 4 5 8" xfId="2706" xr:uid="{00000000-0005-0000-0000-0000500A0000}"/>
    <cellStyle name="Comma 4 5 9" xfId="2788" xr:uid="{00000000-0005-0000-0000-0000510A0000}"/>
    <cellStyle name="Comma 4 5 9 2" xfId="7011" xr:uid="{00000000-0005-0000-0000-0000520A0000}"/>
    <cellStyle name="Comma 4 5 9 2 2" xfId="23902" xr:uid="{13740D8A-2D7C-45F2-B804-D2D4AADBF955}"/>
    <cellStyle name="Comma 4 5 9 2 3" xfId="15461" xr:uid="{3A2FD4CB-2524-48ED-A283-7EC6283B82F2}"/>
    <cellStyle name="Comma 4 5 9 3" xfId="19684" xr:uid="{5F7CA5CA-DFB1-4A36-B2C1-1B466FDF5FE9}"/>
    <cellStyle name="Comma 4 5 9 4" xfId="11243" xr:uid="{B6FFADE2-7899-4C95-A073-4C6335E9FA86}"/>
    <cellStyle name="Comma 4 6" xfId="159" xr:uid="{00000000-0005-0000-0000-0000530A0000}"/>
    <cellStyle name="Comma 4 6 10" xfId="17303" xr:uid="{55B1C44B-5F12-42D5-A9C0-0FC6A430FA33}"/>
    <cellStyle name="Comma 4 6 11" xfId="8862" xr:uid="{39868EF7-833C-4931-8568-F85FE4C7D7D1}"/>
    <cellStyle name="Comma 4 6 2" xfId="696" xr:uid="{00000000-0005-0000-0000-0000540A0000}"/>
    <cellStyle name="Comma 4 6 2 2" xfId="2967" xr:uid="{00000000-0005-0000-0000-0000550A0000}"/>
    <cellStyle name="Comma 4 6 2 2 2" xfId="7189" xr:uid="{00000000-0005-0000-0000-0000560A0000}"/>
    <cellStyle name="Comma 4 6 2 2 2 2" xfId="24080" xr:uid="{5172E4B0-9E8A-4EFB-8D9F-1BADFFED4DDF}"/>
    <cellStyle name="Comma 4 6 2 2 2 3" xfId="15639" xr:uid="{F3FB0344-A0EE-4EF0-8AC2-C5708BD93260}"/>
    <cellStyle name="Comma 4 6 2 2 3" xfId="19862" xr:uid="{2CDBA316-4529-4AC7-99AA-892240391AB5}"/>
    <cellStyle name="Comma 4 6 2 2 4" xfId="11421" xr:uid="{C7F9A101-5D8A-42CA-B74E-35C5AEB08141}"/>
    <cellStyle name="Comma 4 6 2 3" xfId="5044" xr:uid="{00000000-0005-0000-0000-0000570A0000}"/>
    <cellStyle name="Comma 4 6 2 3 2" xfId="21935" xr:uid="{914F1A21-A486-462A-9738-8AC09EF850FE}"/>
    <cellStyle name="Comma 4 6 2 3 3" xfId="13494" xr:uid="{A98A58F5-602B-4744-A601-88FF54F654C7}"/>
    <cellStyle name="Comma 4 6 2 4" xfId="17717" xr:uid="{1100F829-50B6-4E6F-913F-4D1D03C41EBA}"/>
    <cellStyle name="Comma 4 6 2 5" xfId="9276" xr:uid="{A6FB876E-AD25-4EF1-95B5-6FE489FE7790}"/>
    <cellStyle name="Comma 4 6 3" xfId="1149" xr:uid="{00000000-0005-0000-0000-0000580A0000}"/>
    <cellStyle name="Comma 4 6 3 2" xfId="3380" xr:uid="{00000000-0005-0000-0000-0000590A0000}"/>
    <cellStyle name="Comma 4 6 3 2 2" xfId="7602" xr:uid="{00000000-0005-0000-0000-00005A0A0000}"/>
    <cellStyle name="Comma 4 6 3 2 2 2" xfId="24493" xr:uid="{103F1D15-D57C-4C9D-8856-7FE9380AB50A}"/>
    <cellStyle name="Comma 4 6 3 2 2 3" xfId="16052" xr:uid="{F946CFEF-9DDE-415F-8D4B-B875DD1297FA}"/>
    <cellStyle name="Comma 4 6 3 2 3" xfId="20275" xr:uid="{4371CFC2-5155-403D-A4D6-804A1B3FF10F}"/>
    <cellStyle name="Comma 4 6 3 2 4" xfId="11834" xr:uid="{242D654B-F087-4363-A968-14A04616C66B}"/>
    <cellStyle name="Comma 4 6 3 3" xfId="5457" xr:uid="{00000000-0005-0000-0000-00005B0A0000}"/>
    <cellStyle name="Comma 4 6 3 3 2" xfId="22348" xr:uid="{7301B1D4-6E10-47DC-B279-3C0C590C865C}"/>
    <cellStyle name="Comma 4 6 3 3 3" xfId="13907" xr:uid="{9D015C8F-1865-416E-9C44-2FFA131D3FCD}"/>
    <cellStyle name="Comma 4 6 3 4" xfId="18130" xr:uid="{BA403416-74CF-4C03-A668-26F541C8F38E}"/>
    <cellStyle name="Comma 4 6 3 5" xfId="9689" xr:uid="{420E95EF-7427-4454-A5CE-9E585E11DC64}"/>
    <cellStyle name="Comma 4 6 4" xfId="1563" xr:uid="{00000000-0005-0000-0000-00005C0A0000}"/>
    <cellStyle name="Comma 4 6 4 2" xfId="3793" xr:uid="{00000000-0005-0000-0000-00005D0A0000}"/>
    <cellStyle name="Comma 4 6 4 2 2" xfId="8015" xr:uid="{00000000-0005-0000-0000-00005E0A0000}"/>
    <cellStyle name="Comma 4 6 4 2 2 2" xfId="24906" xr:uid="{498EBC7E-F313-4FA3-B62B-71540858CDF0}"/>
    <cellStyle name="Comma 4 6 4 2 2 3" xfId="16465" xr:uid="{5FD802CC-BF29-47C8-AFAA-71AD9858FA45}"/>
    <cellStyle name="Comma 4 6 4 2 3" xfId="20688" xr:uid="{6DB972BF-9218-48EE-8BA8-84065CCC488C}"/>
    <cellStyle name="Comma 4 6 4 2 4" xfId="12247" xr:uid="{1B59DF80-0B73-415F-BDB4-D53E27E66CBA}"/>
    <cellStyle name="Comma 4 6 4 3" xfId="5870" xr:uid="{00000000-0005-0000-0000-00005F0A0000}"/>
    <cellStyle name="Comma 4 6 4 3 2" xfId="22761" xr:uid="{70970BF0-E02B-495B-AE39-1168369206FD}"/>
    <cellStyle name="Comma 4 6 4 3 3" xfId="14320" xr:uid="{9CA241C8-176B-455E-8820-EB0E0B2184DB}"/>
    <cellStyle name="Comma 4 6 4 4" xfId="18543" xr:uid="{FB05F003-00A1-4763-B48B-A0701042501D}"/>
    <cellStyle name="Comma 4 6 4 5" xfId="10102" xr:uid="{40AFD896-6E79-4CD2-8707-5187FFE8293D}"/>
    <cellStyle name="Comma 4 6 5" xfId="1977" xr:uid="{00000000-0005-0000-0000-0000600A0000}"/>
    <cellStyle name="Comma 4 6 5 2" xfId="4206" xr:uid="{00000000-0005-0000-0000-0000610A0000}"/>
    <cellStyle name="Comma 4 6 5 2 2" xfId="8428" xr:uid="{00000000-0005-0000-0000-0000620A0000}"/>
    <cellStyle name="Comma 4 6 5 2 2 2" xfId="25319" xr:uid="{3CB9A4DA-665E-4502-8710-349DFCA06A01}"/>
    <cellStyle name="Comma 4 6 5 2 2 3" xfId="16878" xr:uid="{FBFF4A2B-2FE0-4907-8BAE-5CE809564B50}"/>
    <cellStyle name="Comma 4 6 5 2 3" xfId="21101" xr:uid="{0C8D77AB-0784-4518-98B7-C046622EC984}"/>
    <cellStyle name="Comma 4 6 5 2 4" xfId="12660" xr:uid="{6D1E8A56-F5B9-4BE2-A889-1DC24EF64EE4}"/>
    <cellStyle name="Comma 4 6 5 3" xfId="6283" xr:uid="{00000000-0005-0000-0000-0000630A0000}"/>
    <cellStyle name="Comma 4 6 5 3 2" xfId="23174" xr:uid="{0133281D-1493-41AF-883A-917758D8BDCF}"/>
    <cellStyle name="Comma 4 6 5 3 3" xfId="14733" xr:uid="{831017CB-8A61-428C-A964-55ADF66F5E07}"/>
    <cellStyle name="Comma 4 6 5 4" xfId="18956" xr:uid="{4BD21D44-8DE4-4AC2-9E57-AB48E3D3162E}"/>
    <cellStyle name="Comma 4 6 5 5" xfId="10515" xr:uid="{FDA77231-863D-432C-9762-D4F524D6BB34}"/>
    <cellStyle name="Comma 4 6 6" xfId="2412" xr:uid="{00000000-0005-0000-0000-0000640A0000}"/>
    <cellStyle name="Comma 4 6 6 2" xfId="6696" xr:uid="{00000000-0005-0000-0000-0000650A0000}"/>
    <cellStyle name="Comma 4 6 6 2 2" xfId="23587" xr:uid="{73F2BA41-9D36-40A4-81B6-965436492371}"/>
    <cellStyle name="Comma 4 6 6 2 3" xfId="15146" xr:uid="{35E372B5-AA6E-43D2-8ADD-BA91672EE017}"/>
    <cellStyle name="Comma 4 6 6 3" xfId="19369" xr:uid="{698DDFAA-6F38-48AF-9F7F-DB0C3B7D4681}"/>
    <cellStyle name="Comma 4 6 6 4" xfId="10928" xr:uid="{FE1B8DA6-2363-4BED-BD3B-AFC6208E4455}"/>
    <cellStyle name="Comma 4 6 7" xfId="2708" xr:uid="{00000000-0005-0000-0000-0000660A0000}"/>
    <cellStyle name="Comma 4 6 8" xfId="2790" xr:uid="{00000000-0005-0000-0000-0000670A0000}"/>
    <cellStyle name="Comma 4 6 8 2" xfId="7013" xr:uid="{00000000-0005-0000-0000-0000680A0000}"/>
    <cellStyle name="Comma 4 6 8 2 2" xfId="23904" xr:uid="{E696FFA7-038E-4824-99E8-DC3C44E750BD}"/>
    <cellStyle name="Comma 4 6 8 2 3" xfId="15463" xr:uid="{B6541E01-AC7D-4D96-967D-624C14F8EE83}"/>
    <cellStyle name="Comma 4 6 8 3" xfId="19686" xr:uid="{D537D1AA-8FC1-4036-9F4E-96264BF9E3E2}"/>
    <cellStyle name="Comma 4 6 8 4" xfId="11245" xr:uid="{8227A1A8-3EE8-4E95-9F57-1D3F536C888A}"/>
    <cellStyle name="Comma 4 6 9" xfId="4630" xr:uid="{00000000-0005-0000-0000-0000690A0000}"/>
    <cellStyle name="Comma 4 6 9 2" xfId="21521" xr:uid="{BFF77D0A-BD83-434E-9833-96BD11AA9D8A}"/>
    <cellStyle name="Comma 4 6 9 3" xfId="13080" xr:uid="{EE1D0F65-4C8B-4F8F-B76C-BCCEF6A75B37}"/>
    <cellStyle name="Comma 4 7" xfId="160" xr:uid="{00000000-0005-0000-0000-00006A0A0000}"/>
    <cellStyle name="Comma 4 7 10" xfId="17304" xr:uid="{3FF62CF4-7EEF-49F9-BC69-6A4201F769BB}"/>
    <cellStyle name="Comma 4 7 11" xfId="8863" xr:uid="{E95E67FA-5862-4ED5-A2BF-41FD43FB2293}"/>
    <cellStyle name="Comma 4 7 2" xfId="697" xr:uid="{00000000-0005-0000-0000-00006B0A0000}"/>
    <cellStyle name="Comma 4 7 2 2" xfId="2968" xr:uid="{00000000-0005-0000-0000-00006C0A0000}"/>
    <cellStyle name="Comma 4 7 2 2 2" xfId="7190" xr:uid="{00000000-0005-0000-0000-00006D0A0000}"/>
    <cellStyle name="Comma 4 7 2 2 2 2" xfId="24081" xr:uid="{E190A6B9-FF20-4C50-9474-86837F0F9F79}"/>
    <cellStyle name="Comma 4 7 2 2 2 3" xfId="15640" xr:uid="{8A4276DE-56E0-4E5A-A5BF-154D1B8703E5}"/>
    <cellStyle name="Comma 4 7 2 2 3" xfId="19863" xr:uid="{99A60038-218D-463B-A0A0-F8F418CB1260}"/>
    <cellStyle name="Comma 4 7 2 2 4" xfId="11422" xr:uid="{E8AFC5D7-7D6A-4C0F-8392-F0545F485448}"/>
    <cellStyle name="Comma 4 7 2 3" xfId="5045" xr:uid="{00000000-0005-0000-0000-00006E0A0000}"/>
    <cellStyle name="Comma 4 7 2 3 2" xfId="21936" xr:uid="{0E003E50-3636-4B44-B569-589A776A2718}"/>
    <cellStyle name="Comma 4 7 2 3 3" xfId="13495" xr:uid="{BE534182-F53D-4162-8098-A7B6FB7C749C}"/>
    <cellStyle name="Comma 4 7 2 4" xfId="17718" xr:uid="{8DB6CC3E-0121-4550-B11B-1F7C1F215D0C}"/>
    <cellStyle name="Comma 4 7 2 5" xfId="9277" xr:uid="{C5DD36CB-F559-4912-B03F-2346F2E9578A}"/>
    <cellStyle name="Comma 4 7 3" xfId="1150" xr:uid="{00000000-0005-0000-0000-00006F0A0000}"/>
    <cellStyle name="Comma 4 7 3 2" xfId="3381" xr:uid="{00000000-0005-0000-0000-0000700A0000}"/>
    <cellStyle name="Comma 4 7 3 2 2" xfId="7603" xr:uid="{00000000-0005-0000-0000-0000710A0000}"/>
    <cellStyle name="Comma 4 7 3 2 2 2" xfId="24494" xr:uid="{F4ED4156-D92E-49F0-8158-19F5735683F8}"/>
    <cellStyle name="Comma 4 7 3 2 2 3" xfId="16053" xr:uid="{59884142-2E79-46CA-89A1-6FF928A8538E}"/>
    <cellStyle name="Comma 4 7 3 2 3" xfId="20276" xr:uid="{66883320-F454-4EE5-BB3E-D7C5E73FE81D}"/>
    <cellStyle name="Comma 4 7 3 2 4" xfId="11835" xr:uid="{4C98BAC5-4428-426A-8CEF-7F368E8339ED}"/>
    <cellStyle name="Comma 4 7 3 3" xfId="5458" xr:uid="{00000000-0005-0000-0000-0000720A0000}"/>
    <cellStyle name="Comma 4 7 3 3 2" xfId="22349" xr:uid="{6BB5BCFE-6463-4824-B7BB-52A61E68583E}"/>
    <cellStyle name="Comma 4 7 3 3 3" xfId="13908" xr:uid="{59543A4A-09B7-4E58-ADB4-9913053CA664}"/>
    <cellStyle name="Comma 4 7 3 4" xfId="18131" xr:uid="{D444C1C2-7745-4C5F-8941-924410FC53F2}"/>
    <cellStyle name="Comma 4 7 3 5" xfId="9690" xr:uid="{2E90847C-E5C1-4D1D-B4A7-64717964591C}"/>
    <cellStyle name="Comma 4 7 4" xfId="1564" xr:uid="{00000000-0005-0000-0000-0000730A0000}"/>
    <cellStyle name="Comma 4 7 4 2" xfId="3794" xr:uid="{00000000-0005-0000-0000-0000740A0000}"/>
    <cellStyle name="Comma 4 7 4 2 2" xfId="8016" xr:uid="{00000000-0005-0000-0000-0000750A0000}"/>
    <cellStyle name="Comma 4 7 4 2 2 2" xfId="24907" xr:uid="{C4CAA815-A082-4407-9EFC-4EE00A0D9337}"/>
    <cellStyle name="Comma 4 7 4 2 2 3" xfId="16466" xr:uid="{258F1C5A-CC74-41A2-A492-F304A5EC6017}"/>
    <cellStyle name="Comma 4 7 4 2 3" xfId="20689" xr:uid="{99EFCCA1-37DB-4AF0-92CD-7303007F0E8E}"/>
    <cellStyle name="Comma 4 7 4 2 4" xfId="12248" xr:uid="{2F1833ED-0AD9-4513-993F-9B30DF2C8289}"/>
    <cellStyle name="Comma 4 7 4 3" xfId="5871" xr:uid="{00000000-0005-0000-0000-0000760A0000}"/>
    <cellStyle name="Comma 4 7 4 3 2" xfId="22762" xr:uid="{50CA3503-6BE1-4E05-B3C5-59788C02E6DE}"/>
    <cellStyle name="Comma 4 7 4 3 3" xfId="14321" xr:uid="{B6082A71-CF15-452B-B8A8-F65FF3FDB48C}"/>
    <cellStyle name="Comma 4 7 4 4" xfId="18544" xr:uid="{4BFA9700-AFE9-43A1-B8D0-A746905AC184}"/>
    <cellStyle name="Comma 4 7 4 5" xfId="10103" xr:uid="{93A43238-D794-4BBB-BE80-A9657C15A193}"/>
    <cellStyle name="Comma 4 7 5" xfId="1978" xr:uid="{00000000-0005-0000-0000-0000770A0000}"/>
    <cellStyle name="Comma 4 7 5 2" xfId="4207" xr:uid="{00000000-0005-0000-0000-0000780A0000}"/>
    <cellStyle name="Comma 4 7 5 2 2" xfId="8429" xr:uid="{00000000-0005-0000-0000-0000790A0000}"/>
    <cellStyle name="Comma 4 7 5 2 2 2" xfId="25320" xr:uid="{90EA3719-C1E7-4C04-A11F-18FED6456E88}"/>
    <cellStyle name="Comma 4 7 5 2 2 3" xfId="16879" xr:uid="{E3A9226E-8004-48DA-98CC-FEAA646199F0}"/>
    <cellStyle name="Comma 4 7 5 2 3" xfId="21102" xr:uid="{186C263F-3DB9-4A79-9808-EC9C3F1CA0EB}"/>
    <cellStyle name="Comma 4 7 5 2 4" xfId="12661" xr:uid="{6DB468C5-3C18-413D-BDB1-DADFEA842E9F}"/>
    <cellStyle name="Comma 4 7 5 3" xfId="6284" xr:uid="{00000000-0005-0000-0000-00007A0A0000}"/>
    <cellStyle name="Comma 4 7 5 3 2" xfId="23175" xr:uid="{821D2317-1C3C-433F-9054-D3C55558B541}"/>
    <cellStyle name="Comma 4 7 5 3 3" xfId="14734" xr:uid="{9958409D-9145-4F50-A129-B2C0EC1BB652}"/>
    <cellStyle name="Comma 4 7 5 4" xfId="18957" xr:uid="{5514ABEF-A935-47BD-82F0-A6C18A24387A}"/>
    <cellStyle name="Comma 4 7 5 5" xfId="10516" xr:uid="{21C0F6B7-D941-4885-A2BE-5DAA7AB117B2}"/>
    <cellStyle name="Comma 4 7 6" xfId="2413" xr:uid="{00000000-0005-0000-0000-00007B0A0000}"/>
    <cellStyle name="Comma 4 7 6 2" xfId="6697" xr:uid="{00000000-0005-0000-0000-00007C0A0000}"/>
    <cellStyle name="Comma 4 7 6 2 2" xfId="23588" xr:uid="{CEF0B263-6012-4D0D-A0A4-393EDCF83B0D}"/>
    <cellStyle name="Comma 4 7 6 2 3" xfId="15147" xr:uid="{9D5E5086-A49E-47B1-950F-EB3836C9AFB9}"/>
    <cellStyle name="Comma 4 7 6 3" xfId="19370" xr:uid="{50C02E49-41C7-4410-8524-E3E4C24E59AA}"/>
    <cellStyle name="Comma 4 7 6 4" xfId="10929" xr:uid="{3C8BD29A-B243-4F27-8201-1F36791FBA41}"/>
    <cellStyle name="Comma 4 7 7" xfId="2709" xr:uid="{00000000-0005-0000-0000-00007D0A0000}"/>
    <cellStyle name="Comma 4 7 8" xfId="2791" xr:uid="{00000000-0005-0000-0000-00007E0A0000}"/>
    <cellStyle name="Comma 4 7 8 2" xfId="7014" xr:uid="{00000000-0005-0000-0000-00007F0A0000}"/>
    <cellStyle name="Comma 4 7 8 2 2" xfId="23905" xr:uid="{4C425F38-7585-4420-B916-1C2918A2E3B9}"/>
    <cellStyle name="Comma 4 7 8 2 3" xfId="15464" xr:uid="{B0DFF260-79FE-4F1F-903C-CEE06A607D6B}"/>
    <cellStyle name="Comma 4 7 8 3" xfId="19687" xr:uid="{9D66A10F-1B9C-4A37-B128-7BFC882DC6E9}"/>
    <cellStyle name="Comma 4 7 8 4" xfId="11246" xr:uid="{9C02865C-10F4-4BF9-8AC2-6339CC538207}"/>
    <cellStyle name="Comma 4 7 9" xfId="4631" xr:uid="{00000000-0005-0000-0000-0000800A0000}"/>
    <cellStyle name="Comma 4 7 9 2" xfId="21522" xr:uid="{D1F5E2E9-C043-4B95-B0D5-5617CD609624}"/>
    <cellStyle name="Comma 4 7 9 3" xfId="13081" xr:uid="{643E0745-1534-4521-AFD0-A49303F9F394}"/>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21390" xr:uid="{9741F76A-BF60-479B-8706-2489B5159FA4}"/>
    <cellStyle name="Comma 7 3" xfId="12949" xr:uid="{2DCF1E7C-D38C-420C-A490-4D6D578C2149}"/>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2 2" xfId="25607" xr:uid="{9A510B86-C399-443F-B798-582635BA45F7}"/>
    <cellStyle name="Currency 14 2 3" xfId="17166" xr:uid="{12504197-645F-4B14-8036-D675913DB327}"/>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14 3 2 2 3" xfId="17175" xr:uid="{42F6342E-9731-4B2E-840D-792EFDDE52F0}"/>
    <cellStyle name="Currency 14 3 2 3" xfId="25613" xr:uid="{542F1A1B-85E1-43C6-86E9-8B60950147EA}"/>
    <cellStyle name="Currency 14 3 2 4" xfId="17172" xr:uid="{8AD024CB-D25E-4307-A7E6-2E6B8FE4F2C2}"/>
    <cellStyle name="Currency 14 3 3" xfId="25610" xr:uid="{1C2D86A1-7EEF-476D-BD8A-0190A3BDC371}"/>
    <cellStyle name="Currency 14 3 4" xfId="17169" xr:uid="{4C6CC36B-075B-421E-BF99-0B779ED112EA}"/>
    <cellStyle name="Currency 14 4" xfId="21393" xr:uid="{48F1EA38-3F95-4D17-BD5C-43D2EBF20F73}"/>
    <cellStyle name="Currency 14 5" xfId="12952" xr:uid="{DFAE7FEF-90A8-4086-96E7-619B9A4E0BF9}"/>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0 2 2" xfId="23906" xr:uid="{4C77F58D-324F-4924-8A6D-6617371A9D04}"/>
    <cellStyle name="Currency 3 2 2 10 2 3" xfId="15465" xr:uid="{0DFA79E1-03B6-4D54-92F2-DB0CFA1DEF2B}"/>
    <cellStyle name="Currency 3 2 2 10 3" xfId="19688" xr:uid="{5411717F-7828-4F79-96A9-5B9BCD2032BD}"/>
    <cellStyle name="Currency 3 2 2 10 4" xfId="11247" xr:uid="{A9F649FE-09D1-4897-BF91-64534F2E9ADF}"/>
    <cellStyle name="Currency 3 2 2 11" xfId="4632" xr:uid="{00000000-0005-0000-0000-0000A50A0000}"/>
    <cellStyle name="Currency 3 2 2 11 2" xfId="21523" xr:uid="{216BF4D8-9FA4-4B6B-BB5E-A18571B46FD0}"/>
    <cellStyle name="Currency 3 2 2 11 3" xfId="13082" xr:uid="{709E40DA-FB77-411C-8116-F6C81D4140D6}"/>
    <cellStyle name="Currency 3 2 2 12" xfId="17305" xr:uid="{0DBCC3B0-CBA3-4D5A-B743-E786A96E9C96}"/>
    <cellStyle name="Currency 3 2 2 13" xfId="8864" xr:uid="{ADA35EED-3645-402A-9B83-34EEE36333B9}"/>
    <cellStyle name="Currency 3 2 2 2" xfId="179" xr:uid="{00000000-0005-0000-0000-0000A60A0000}"/>
    <cellStyle name="Currency 3 2 2 2 10" xfId="4633" xr:uid="{00000000-0005-0000-0000-0000A70A0000}"/>
    <cellStyle name="Currency 3 2 2 2 10 2" xfId="21524" xr:uid="{316BA37A-C8B7-4C11-AC91-03B9F51DDFDD}"/>
    <cellStyle name="Currency 3 2 2 2 10 3" xfId="13083" xr:uid="{58667783-9575-45F9-8280-B16C5A7D1A98}"/>
    <cellStyle name="Currency 3 2 2 2 11" xfId="17306" xr:uid="{7FB41DEB-0E3F-4EAB-91F0-193ACB411FAF}"/>
    <cellStyle name="Currency 3 2 2 2 12" xfId="8865" xr:uid="{0B2D119F-A8BC-45DD-AC91-F07A7DB8C09C}"/>
    <cellStyle name="Currency 3 2 2 2 2" xfId="180" xr:uid="{00000000-0005-0000-0000-0000A80A0000}"/>
    <cellStyle name="Currency 3 2 2 2 2 10" xfId="17307" xr:uid="{AD1DF957-6146-4F7C-8668-35D03D910C3A}"/>
    <cellStyle name="Currency 3 2 2 2 2 11" xfId="8866" xr:uid="{1E496C04-0E4C-4AAC-A59C-4C57322C00E2}"/>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2 2 2" xfId="24084" xr:uid="{70DF6A25-254D-45C2-96D2-C7E428334AE9}"/>
    <cellStyle name="Currency 3 2 2 2 2 2 2 2 3" xfId="15643" xr:uid="{646DA3F1-E8A3-4AEE-96C2-DA997FC725CF}"/>
    <cellStyle name="Currency 3 2 2 2 2 2 2 3" xfId="19866" xr:uid="{4403AF6F-0B46-4807-8444-7DD62543682D}"/>
    <cellStyle name="Currency 3 2 2 2 2 2 2 4" xfId="11425" xr:uid="{98AA2775-9EA9-4E35-AE2C-C1A59E68B4DC}"/>
    <cellStyle name="Currency 3 2 2 2 2 2 3" xfId="5048" xr:uid="{00000000-0005-0000-0000-0000AC0A0000}"/>
    <cellStyle name="Currency 3 2 2 2 2 2 3 2" xfId="21939" xr:uid="{07794923-3561-4560-B3F9-9281D4AB2DE3}"/>
    <cellStyle name="Currency 3 2 2 2 2 2 3 3" xfId="13498" xr:uid="{45043A6B-EF01-4323-BE3A-97CC8FAF687E}"/>
    <cellStyle name="Currency 3 2 2 2 2 2 4" xfId="17721" xr:uid="{BA62D6C1-382E-4055-A3D5-86F8BA8C1D73}"/>
    <cellStyle name="Currency 3 2 2 2 2 2 5" xfId="9280" xr:uid="{F9B95DBA-9B25-4961-AFC2-1DF5FB347B6F}"/>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2 2 2" xfId="24497" xr:uid="{7347BF5F-1771-4F0C-B295-AB723D15AC8C}"/>
    <cellStyle name="Currency 3 2 2 2 2 3 2 2 3" xfId="16056" xr:uid="{BEB5CDE4-8151-4979-8478-FEB71167898C}"/>
    <cellStyle name="Currency 3 2 2 2 2 3 2 3" xfId="20279" xr:uid="{E7B43EA6-8031-4102-B4AF-6F270B144256}"/>
    <cellStyle name="Currency 3 2 2 2 2 3 2 4" xfId="11838" xr:uid="{1374C36A-BE06-4730-87D3-F9101E5DB4F7}"/>
    <cellStyle name="Currency 3 2 2 2 2 3 3" xfId="5461" xr:uid="{00000000-0005-0000-0000-0000B00A0000}"/>
    <cellStyle name="Currency 3 2 2 2 2 3 3 2" xfId="22352" xr:uid="{D5880E50-6F84-4263-8A72-DE0B247D1A1C}"/>
    <cellStyle name="Currency 3 2 2 2 2 3 3 3" xfId="13911" xr:uid="{2E423826-EE11-4838-9987-8141BB3022EA}"/>
    <cellStyle name="Currency 3 2 2 2 2 3 4" xfId="18134" xr:uid="{BF333436-B305-4512-A914-BC042C552F2A}"/>
    <cellStyle name="Currency 3 2 2 2 2 3 5" xfId="9693" xr:uid="{E9466537-C8CA-477C-A778-2441E549784D}"/>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2 2 2" xfId="24910" xr:uid="{C3DDDFC2-A7BD-47E4-A73F-8B122918DA3E}"/>
    <cellStyle name="Currency 3 2 2 2 2 4 2 2 3" xfId="16469" xr:uid="{19AF7987-73BF-41B6-A84A-3DCF06302950}"/>
    <cellStyle name="Currency 3 2 2 2 2 4 2 3" xfId="20692" xr:uid="{9C344356-64EA-4DE4-935A-38CBCB16DBF2}"/>
    <cellStyle name="Currency 3 2 2 2 2 4 2 4" xfId="12251" xr:uid="{D0A30AA9-F3B7-4D87-9E82-A9F97E73E271}"/>
    <cellStyle name="Currency 3 2 2 2 2 4 3" xfId="5874" xr:uid="{00000000-0005-0000-0000-0000B40A0000}"/>
    <cellStyle name="Currency 3 2 2 2 2 4 3 2" xfId="22765" xr:uid="{EA6583C4-46FF-42B2-9DA8-C1C331C4D7E6}"/>
    <cellStyle name="Currency 3 2 2 2 2 4 3 3" xfId="14324" xr:uid="{710C83A1-1253-4D1B-B8F1-5070F6C4AC85}"/>
    <cellStyle name="Currency 3 2 2 2 2 4 4" xfId="18547" xr:uid="{D87163F8-36E3-4232-9813-449A853658D7}"/>
    <cellStyle name="Currency 3 2 2 2 2 4 5" xfId="10106" xr:uid="{63D9F54B-171E-4FB8-B2F1-70D2C4D43059}"/>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2 2 2" xfId="25323" xr:uid="{197DEC06-E8D6-472F-A3D6-A8FA01FACB56}"/>
    <cellStyle name="Currency 3 2 2 2 2 5 2 2 3" xfId="16882" xr:uid="{CB7C868A-B1AD-4D5F-A54A-4214134AC639}"/>
    <cellStyle name="Currency 3 2 2 2 2 5 2 3" xfId="21105" xr:uid="{B3907C29-98B9-42AF-8FDF-4654D4E0B8DE}"/>
    <cellStyle name="Currency 3 2 2 2 2 5 2 4" xfId="12664" xr:uid="{54942F8F-EFD3-406D-965B-067644D4C1E5}"/>
    <cellStyle name="Currency 3 2 2 2 2 5 3" xfId="6287" xr:uid="{00000000-0005-0000-0000-0000B80A0000}"/>
    <cellStyle name="Currency 3 2 2 2 2 5 3 2" xfId="23178" xr:uid="{BEB8569F-72BC-4761-8D85-D14B8B856B81}"/>
    <cellStyle name="Currency 3 2 2 2 2 5 3 3" xfId="14737" xr:uid="{27451DAA-26D3-4D53-B9EE-D4C50CD46192}"/>
    <cellStyle name="Currency 3 2 2 2 2 5 4" xfId="18960" xr:uid="{856755CC-B0A7-4978-97DF-0E91BFD154B0}"/>
    <cellStyle name="Currency 3 2 2 2 2 5 5" xfId="10519" xr:uid="{2AC091CA-ECC1-4873-8272-1BB8AEA8175E}"/>
    <cellStyle name="Currency 3 2 2 2 2 6" xfId="2416" xr:uid="{00000000-0005-0000-0000-0000B90A0000}"/>
    <cellStyle name="Currency 3 2 2 2 2 6 2" xfId="6700" xr:uid="{00000000-0005-0000-0000-0000BA0A0000}"/>
    <cellStyle name="Currency 3 2 2 2 2 6 2 2" xfId="23591" xr:uid="{15CCBACF-BB06-49EA-807B-8F0DD47580C7}"/>
    <cellStyle name="Currency 3 2 2 2 2 6 2 3" xfId="15150" xr:uid="{093D6CD9-8082-4912-B8AA-75308D67CC79}"/>
    <cellStyle name="Currency 3 2 2 2 2 6 3" xfId="19373" xr:uid="{1D7C84BF-A8C7-45BE-B5BF-D0701A7C32F9}"/>
    <cellStyle name="Currency 3 2 2 2 2 6 4" xfId="10932" xr:uid="{04818577-F6EB-4EE4-A56B-0DBD4EB363D6}"/>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8 2 2" xfId="23908" xr:uid="{CEF56623-C917-4EE0-8C73-87BAAF1D94E2}"/>
    <cellStyle name="Currency 3 2 2 2 2 8 2 3" xfId="15467" xr:uid="{3CA05300-9266-4B9F-8160-60DED6D5C904}"/>
    <cellStyle name="Currency 3 2 2 2 2 8 3" xfId="19690" xr:uid="{8EFACA13-2EB6-4CCC-8D72-370AD8AD7B91}"/>
    <cellStyle name="Currency 3 2 2 2 2 8 4" xfId="11249" xr:uid="{4CE15242-B34D-4468-A1FC-E155181F8F2F}"/>
    <cellStyle name="Currency 3 2 2 2 2 9" xfId="4634" xr:uid="{00000000-0005-0000-0000-0000BE0A0000}"/>
    <cellStyle name="Currency 3 2 2 2 2 9 2" xfId="21525" xr:uid="{CF66F36F-3748-43D6-ACB7-4730ACCB9F6D}"/>
    <cellStyle name="Currency 3 2 2 2 2 9 3" xfId="13084" xr:uid="{24994474-9752-4AD4-86A3-C481CA79C25D}"/>
    <cellStyle name="Currency 3 2 2 2 3" xfId="709" xr:uid="{00000000-0005-0000-0000-0000BF0A0000}"/>
    <cellStyle name="Currency 3 2 2 2 3 2" xfId="2970" xr:uid="{00000000-0005-0000-0000-0000C00A0000}"/>
    <cellStyle name="Currency 3 2 2 2 3 2 2" xfId="7192" xr:uid="{00000000-0005-0000-0000-0000C10A0000}"/>
    <cellStyle name="Currency 3 2 2 2 3 2 2 2" xfId="24083" xr:uid="{1807A641-B09D-4825-BA6E-94ED4C55E87B}"/>
    <cellStyle name="Currency 3 2 2 2 3 2 2 3" xfId="15642" xr:uid="{084A714D-D053-402B-BC9A-5822F0093C52}"/>
    <cellStyle name="Currency 3 2 2 2 3 2 3" xfId="19865" xr:uid="{226C5FF4-0F49-4D1B-88CC-457F3F084ACD}"/>
    <cellStyle name="Currency 3 2 2 2 3 2 4" xfId="11424" xr:uid="{9B63B981-857D-423C-B8B1-F3165DA844C7}"/>
    <cellStyle name="Currency 3 2 2 2 3 3" xfId="5047" xr:uid="{00000000-0005-0000-0000-0000C20A0000}"/>
    <cellStyle name="Currency 3 2 2 2 3 3 2" xfId="21938" xr:uid="{295A2EDB-CC1C-406F-A9BB-B77F767B9528}"/>
    <cellStyle name="Currency 3 2 2 2 3 3 3" xfId="13497" xr:uid="{BF0A63B3-0AC3-4B38-967E-22C92C510FAE}"/>
    <cellStyle name="Currency 3 2 2 2 3 4" xfId="17720" xr:uid="{40E13AA2-974F-4C3B-B5E9-74564D1136AE}"/>
    <cellStyle name="Currency 3 2 2 2 3 5" xfId="9279" xr:uid="{F04A8D49-C2B9-4DF0-8F2F-57F66DD61551}"/>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2 2 2" xfId="24496" xr:uid="{1F871ED0-617B-48E9-AE31-58D812771A7B}"/>
    <cellStyle name="Currency 3 2 2 2 4 2 2 3" xfId="16055" xr:uid="{C6DEC4CC-E912-4912-997A-72CDFC296115}"/>
    <cellStyle name="Currency 3 2 2 2 4 2 3" xfId="20278" xr:uid="{FA397DF8-5285-4E1D-B998-C2FB2F01BE09}"/>
    <cellStyle name="Currency 3 2 2 2 4 2 4" xfId="11837" xr:uid="{1F4BA707-032D-4456-905C-9C888B078295}"/>
    <cellStyle name="Currency 3 2 2 2 4 3" xfId="5460" xr:uid="{00000000-0005-0000-0000-0000C60A0000}"/>
    <cellStyle name="Currency 3 2 2 2 4 3 2" xfId="22351" xr:uid="{0B2DB7E2-43E8-483C-903F-EAF120F6921B}"/>
    <cellStyle name="Currency 3 2 2 2 4 3 3" xfId="13910" xr:uid="{2AD70BC7-868A-4272-BD8A-E6BE045488D1}"/>
    <cellStyle name="Currency 3 2 2 2 4 4" xfId="18133" xr:uid="{9C7CE74C-5F63-4E0A-9F33-4EE7E2ACB703}"/>
    <cellStyle name="Currency 3 2 2 2 4 5" xfId="9692" xr:uid="{4D41FA4B-A039-4FD6-9FD6-71A3EE42F94D}"/>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2 2 2" xfId="24909" xr:uid="{7E40BFA8-0D79-404A-89E6-CB92E8749A35}"/>
    <cellStyle name="Currency 3 2 2 2 5 2 2 3" xfId="16468" xr:uid="{A78430EA-2D04-4F51-90B9-A74C840FD53C}"/>
    <cellStyle name="Currency 3 2 2 2 5 2 3" xfId="20691" xr:uid="{8EE04E8B-438F-4A4A-A2B9-0CA3CEFD3335}"/>
    <cellStyle name="Currency 3 2 2 2 5 2 4" xfId="12250" xr:uid="{4C62E656-2D99-48A2-99F8-CB1B034762F7}"/>
    <cellStyle name="Currency 3 2 2 2 5 3" xfId="5873" xr:uid="{00000000-0005-0000-0000-0000CA0A0000}"/>
    <cellStyle name="Currency 3 2 2 2 5 3 2" xfId="22764" xr:uid="{003055D6-7931-4903-AEB8-1BBC50B75635}"/>
    <cellStyle name="Currency 3 2 2 2 5 3 3" xfId="14323" xr:uid="{C7031A39-0AD9-4002-9A16-01536021D918}"/>
    <cellStyle name="Currency 3 2 2 2 5 4" xfId="18546" xr:uid="{62E9E53E-EE04-4990-BFB1-061C2468A808}"/>
    <cellStyle name="Currency 3 2 2 2 5 5" xfId="10105" xr:uid="{952C2CC5-C155-4BB3-A045-D1461E1E7D4B}"/>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2 2 2" xfId="25322" xr:uid="{F6F48564-A225-48F9-8431-7A2DBB69350D}"/>
    <cellStyle name="Currency 3 2 2 2 6 2 2 3" xfId="16881" xr:uid="{A3C0AE26-A14B-4670-8412-CA7B281C57DD}"/>
    <cellStyle name="Currency 3 2 2 2 6 2 3" xfId="21104" xr:uid="{67A7594A-0ED0-4383-A55C-19A2753A6C4E}"/>
    <cellStyle name="Currency 3 2 2 2 6 2 4" xfId="12663" xr:uid="{24D045CB-ACB6-413A-BB33-6EB69737B588}"/>
    <cellStyle name="Currency 3 2 2 2 6 3" xfId="6286" xr:uid="{00000000-0005-0000-0000-0000CE0A0000}"/>
    <cellStyle name="Currency 3 2 2 2 6 3 2" xfId="23177" xr:uid="{A9FCFECB-3EF2-4B14-9AF4-363C81A58B98}"/>
    <cellStyle name="Currency 3 2 2 2 6 3 3" xfId="14736" xr:uid="{AEE251FE-1A39-48E2-A7DD-9A143BFE10A5}"/>
    <cellStyle name="Currency 3 2 2 2 6 4" xfId="18959" xr:uid="{CF303922-91BE-438F-81D2-FD8E5DCC88B5}"/>
    <cellStyle name="Currency 3 2 2 2 6 5" xfId="10518" xr:uid="{1E621183-1E04-43FF-A504-BBF21957704D}"/>
    <cellStyle name="Currency 3 2 2 2 7" xfId="2415" xr:uid="{00000000-0005-0000-0000-0000CF0A0000}"/>
    <cellStyle name="Currency 3 2 2 2 7 2" xfId="6699" xr:uid="{00000000-0005-0000-0000-0000D00A0000}"/>
    <cellStyle name="Currency 3 2 2 2 7 2 2" xfId="23590" xr:uid="{C9DEE629-E1F0-4F2C-BEFE-14604907A4BB}"/>
    <cellStyle name="Currency 3 2 2 2 7 2 3" xfId="15149" xr:uid="{135B272F-622D-453C-BF0A-3BD3D07D8873}"/>
    <cellStyle name="Currency 3 2 2 2 7 3" xfId="19372" xr:uid="{3D53600F-4D32-416A-8CC0-745E164B8F80}"/>
    <cellStyle name="Currency 3 2 2 2 7 4" xfId="10931" xr:uid="{F956261F-B966-4ACF-BEBB-48742CE36B37}"/>
    <cellStyle name="Currency 3 2 2 2 8" xfId="2712" xr:uid="{00000000-0005-0000-0000-0000D10A0000}"/>
    <cellStyle name="Currency 3 2 2 2 9" xfId="2793" xr:uid="{00000000-0005-0000-0000-0000D20A0000}"/>
    <cellStyle name="Currency 3 2 2 2 9 2" xfId="7016" xr:uid="{00000000-0005-0000-0000-0000D30A0000}"/>
    <cellStyle name="Currency 3 2 2 2 9 2 2" xfId="23907" xr:uid="{137DE017-8214-4473-B540-5AA81DB29E14}"/>
    <cellStyle name="Currency 3 2 2 2 9 2 3" xfId="15466" xr:uid="{DE9E0890-DAC5-461C-8216-9F1CD8F69C46}"/>
    <cellStyle name="Currency 3 2 2 2 9 3" xfId="19689" xr:uid="{8B65E898-2089-400B-ADF5-13EA18C5FADD}"/>
    <cellStyle name="Currency 3 2 2 2 9 4" xfId="11248" xr:uid="{5FB62179-3D54-488D-86D7-A48B847D0601}"/>
    <cellStyle name="Currency 3 2 2 3" xfId="181" xr:uid="{00000000-0005-0000-0000-0000D40A0000}"/>
    <cellStyle name="Currency 3 2 2 3 10" xfId="17308" xr:uid="{867D25DD-2A5F-4C72-A6B7-A9240DCB32A6}"/>
    <cellStyle name="Currency 3 2 2 3 11" xfId="8867" xr:uid="{A68CB89E-AD39-41B0-B040-4691FB0E4501}"/>
    <cellStyle name="Currency 3 2 2 3 2" xfId="711" xr:uid="{00000000-0005-0000-0000-0000D50A0000}"/>
    <cellStyle name="Currency 3 2 2 3 2 2" xfId="2972" xr:uid="{00000000-0005-0000-0000-0000D60A0000}"/>
    <cellStyle name="Currency 3 2 2 3 2 2 2" xfId="7194" xr:uid="{00000000-0005-0000-0000-0000D70A0000}"/>
    <cellStyle name="Currency 3 2 2 3 2 2 2 2" xfId="24085" xr:uid="{E2ABBCF4-9F00-401E-BB36-58D7D36F8545}"/>
    <cellStyle name="Currency 3 2 2 3 2 2 2 3" xfId="15644" xr:uid="{362283FB-EF09-4682-93F2-2D22CEDEA97E}"/>
    <cellStyle name="Currency 3 2 2 3 2 2 3" xfId="19867" xr:uid="{B31A770A-F54B-44C9-A6E7-58DBA0977F7A}"/>
    <cellStyle name="Currency 3 2 2 3 2 2 4" xfId="11426" xr:uid="{67D361B9-AA9B-47C9-A833-636809536BEF}"/>
    <cellStyle name="Currency 3 2 2 3 2 3" xfId="5049" xr:uid="{00000000-0005-0000-0000-0000D80A0000}"/>
    <cellStyle name="Currency 3 2 2 3 2 3 2" xfId="21940" xr:uid="{350FEB66-7087-40EE-8058-D725930E8ADA}"/>
    <cellStyle name="Currency 3 2 2 3 2 3 3" xfId="13499" xr:uid="{913B6624-A7CA-4C28-8994-2BD8B0B61F75}"/>
    <cellStyle name="Currency 3 2 2 3 2 4" xfId="17722" xr:uid="{79CDC6E1-DF21-4910-9255-D66D522E786A}"/>
    <cellStyle name="Currency 3 2 2 3 2 5" xfId="9281" xr:uid="{3524F7A9-57B1-483B-8E93-7688DDD8E379}"/>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2 2 2" xfId="24498" xr:uid="{9D025E3B-EB06-4EA6-B96B-B97082D73544}"/>
    <cellStyle name="Currency 3 2 2 3 3 2 2 3" xfId="16057" xr:uid="{93B23997-050F-4EE8-8319-A3809E2494DF}"/>
    <cellStyle name="Currency 3 2 2 3 3 2 3" xfId="20280" xr:uid="{572B65DC-8E7B-4282-9C90-155065EB5448}"/>
    <cellStyle name="Currency 3 2 2 3 3 2 4" xfId="11839" xr:uid="{D031F031-589C-47E9-B8A5-0E813CCCF8BF}"/>
    <cellStyle name="Currency 3 2 2 3 3 3" xfId="5462" xr:uid="{00000000-0005-0000-0000-0000DC0A0000}"/>
    <cellStyle name="Currency 3 2 2 3 3 3 2" xfId="22353" xr:uid="{F8FFB240-4C6D-4C2B-A575-34356689D0EA}"/>
    <cellStyle name="Currency 3 2 2 3 3 3 3" xfId="13912" xr:uid="{F6D57023-F4E2-436A-B7E9-516CFCE5C2A7}"/>
    <cellStyle name="Currency 3 2 2 3 3 4" xfId="18135" xr:uid="{A87AF2EA-C69B-40B3-818A-3BF3550401BE}"/>
    <cellStyle name="Currency 3 2 2 3 3 5" xfId="9694" xr:uid="{3FF839E2-2642-4673-B121-36A64F3F7425}"/>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2 2 2" xfId="24911" xr:uid="{A8FABBE6-57BC-4AAA-A0C2-DE56FA5AD1C2}"/>
    <cellStyle name="Currency 3 2 2 3 4 2 2 3" xfId="16470" xr:uid="{ECEB7DE0-1E6F-44F4-903E-F80FFCCA1BDC}"/>
    <cellStyle name="Currency 3 2 2 3 4 2 3" xfId="20693" xr:uid="{B2777A75-F792-4E6A-8A2B-F4A589823EE5}"/>
    <cellStyle name="Currency 3 2 2 3 4 2 4" xfId="12252" xr:uid="{8D05DE98-6BD5-4355-B5A4-AAAF73F7330D}"/>
    <cellStyle name="Currency 3 2 2 3 4 3" xfId="5875" xr:uid="{00000000-0005-0000-0000-0000E00A0000}"/>
    <cellStyle name="Currency 3 2 2 3 4 3 2" xfId="22766" xr:uid="{2FBA9913-7141-4255-BFAC-4EA544948F73}"/>
    <cellStyle name="Currency 3 2 2 3 4 3 3" xfId="14325" xr:uid="{F0AB531D-E41E-451F-9809-E24C95185E69}"/>
    <cellStyle name="Currency 3 2 2 3 4 4" xfId="18548" xr:uid="{25005F6D-F48F-4295-8F97-7745FF76196C}"/>
    <cellStyle name="Currency 3 2 2 3 4 5" xfId="10107" xr:uid="{160867F2-D03C-4D36-869E-56C03B31AE26}"/>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2 2 2" xfId="25324" xr:uid="{EDFE93FB-563A-4906-8953-D0457F81734F}"/>
    <cellStyle name="Currency 3 2 2 3 5 2 2 3" xfId="16883" xr:uid="{066C9022-1D89-4773-BACA-B68A253A6CE1}"/>
    <cellStyle name="Currency 3 2 2 3 5 2 3" xfId="21106" xr:uid="{DA862336-9EF6-46BA-A1F1-F7B0A6130B4A}"/>
    <cellStyle name="Currency 3 2 2 3 5 2 4" xfId="12665" xr:uid="{FC754289-B4E8-4B08-BE6B-363768E7196E}"/>
    <cellStyle name="Currency 3 2 2 3 5 3" xfId="6288" xr:uid="{00000000-0005-0000-0000-0000E40A0000}"/>
    <cellStyle name="Currency 3 2 2 3 5 3 2" xfId="23179" xr:uid="{C9160FA9-0D43-4711-830F-230592955611}"/>
    <cellStyle name="Currency 3 2 2 3 5 3 3" xfId="14738" xr:uid="{612FC137-04BC-4720-A91A-8777F058D378}"/>
    <cellStyle name="Currency 3 2 2 3 5 4" xfId="18961" xr:uid="{28152B49-CCBE-4C1F-AF0D-E8171F51650C}"/>
    <cellStyle name="Currency 3 2 2 3 5 5" xfId="10520" xr:uid="{F28A9978-65B3-4C01-B066-DD58BAD96455}"/>
    <cellStyle name="Currency 3 2 2 3 6" xfId="2417" xr:uid="{00000000-0005-0000-0000-0000E50A0000}"/>
    <cellStyle name="Currency 3 2 2 3 6 2" xfId="6701" xr:uid="{00000000-0005-0000-0000-0000E60A0000}"/>
    <cellStyle name="Currency 3 2 2 3 6 2 2" xfId="23592" xr:uid="{FAE684DC-6EB5-4026-AB8C-33BE8BD9E544}"/>
    <cellStyle name="Currency 3 2 2 3 6 2 3" xfId="15151" xr:uid="{244A65CE-D84A-455B-9572-B04FFD9157AC}"/>
    <cellStyle name="Currency 3 2 2 3 6 3" xfId="19374" xr:uid="{D8AF922C-7032-4E7A-B3FF-3730F66E17DB}"/>
    <cellStyle name="Currency 3 2 2 3 6 4" xfId="10933" xr:uid="{3CC30597-A340-4DD8-86B9-932EA88E6D12}"/>
    <cellStyle name="Currency 3 2 2 3 7" xfId="2714" xr:uid="{00000000-0005-0000-0000-0000E70A0000}"/>
    <cellStyle name="Currency 3 2 2 3 8" xfId="2795" xr:uid="{00000000-0005-0000-0000-0000E80A0000}"/>
    <cellStyle name="Currency 3 2 2 3 8 2" xfId="7018" xr:uid="{00000000-0005-0000-0000-0000E90A0000}"/>
    <cellStyle name="Currency 3 2 2 3 8 2 2" xfId="23909" xr:uid="{2A64386C-48A0-428A-85B1-A14B0B6A8B3B}"/>
    <cellStyle name="Currency 3 2 2 3 8 2 3" xfId="15468" xr:uid="{5A4A02F5-7216-4AA8-8F09-8D6A82BC27E6}"/>
    <cellStyle name="Currency 3 2 2 3 8 3" xfId="19691" xr:uid="{72CAD7D1-3A5E-46DE-A110-BB7FB3D97857}"/>
    <cellStyle name="Currency 3 2 2 3 8 4" xfId="11250" xr:uid="{68DF2F98-0C51-4800-B7B0-238A2DA8FF63}"/>
    <cellStyle name="Currency 3 2 2 3 9" xfId="4635" xr:uid="{00000000-0005-0000-0000-0000EA0A0000}"/>
    <cellStyle name="Currency 3 2 2 3 9 2" xfId="21526" xr:uid="{FD3B6FEE-C52D-4A31-BFD8-49B1CFBE8098}"/>
    <cellStyle name="Currency 3 2 2 3 9 3" xfId="13085" xr:uid="{0D94CE5D-CECA-4FE7-8AE2-20D0F4F2AC23}"/>
    <cellStyle name="Currency 3 2 2 4" xfId="708" xr:uid="{00000000-0005-0000-0000-0000EB0A0000}"/>
    <cellStyle name="Currency 3 2 2 4 2" xfId="2969" xr:uid="{00000000-0005-0000-0000-0000EC0A0000}"/>
    <cellStyle name="Currency 3 2 2 4 2 2" xfId="7191" xr:uid="{00000000-0005-0000-0000-0000ED0A0000}"/>
    <cellStyle name="Currency 3 2 2 4 2 2 2" xfId="24082" xr:uid="{6AC9B4CC-F320-472B-AF0A-4AB421378D9F}"/>
    <cellStyle name="Currency 3 2 2 4 2 2 3" xfId="15641" xr:uid="{30A6215E-1F86-48AC-8C70-722EC74E1C9F}"/>
    <cellStyle name="Currency 3 2 2 4 2 3" xfId="19864" xr:uid="{AB3C9975-1DF4-42FC-B88D-55CFF38662FD}"/>
    <cellStyle name="Currency 3 2 2 4 2 4" xfId="11423" xr:uid="{D9F0850C-A05E-4E52-A436-CCD9B1579AFD}"/>
    <cellStyle name="Currency 3 2 2 4 3" xfId="5046" xr:uid="{00000000-0005-0000-0000-0000EE0A0000}"/>
    <cellStyle name="Currency 3 2 2 4 3 2" xfId="21937" xr:uid="{C0A331F1-0D6F-478D-B7F3-44B0150251D9}"/>
    <cellStyle name="Currency 3 2 2 4 3 3" xfId="13496" xr:uid="{85A5DFE6-03EB-4BE8-B5A2-33BCA00D5A52}"/>
    <cellStyle name="Currency 3 2 2 4 4" xfId="17719" xr:uid="{589F1677-2BC4-4F1D-82F9-F659CEFB9B93}"/>
    <cellStyle name="Currency 3 2 2 4 5" xfId="9278" xr:uid="{B2DE1E83-09C4-4BC1-A111-3F1CFBF74071}"/>
    <cellStyle name="Currency 3 2 2 5" xfId="1151" xr:uid="{00000000-0005-0000-0000-0000EF0A0000}"/>
    <cellStyle name="Currency 3 2 2 5 2" xfId="3382" xr:uid="{00000000-0005-0000-0000-0000F00A0000}"/>
    <cellStyle name="Currency 3 2 2 5 2 2" xfId="7604" xr:uid="{00000000-0005-0000-0000-0000F10A0000}"/>
    <cellStyle name="Currency 3 2 2 5 2 2 2" xfId="24495" xr:uid="{41A94461-271B-466E-AD12-923CEC1DA73F}"/>
    <cellStyle name="Currency 3 2 2 5 2 2 3" xfId="16054" xr:uid="{1E257B55-3687-47E1-B0B8-E423AA15977D}"/>
    <cellStyle name="Currency 3 2 2 5 2 3" xfId="20277" xr:uid="{F4B14B85-5598-4830-A3F4-9CBB08669861}"/>
    <cellStyle name="Currency 3 2 2 5 2 4" xfId="11836" xr:uid="{B096BDEC-F055-46E2-B141-E56B017BEC25}"/>
    <cellStyle name="Currency 3 2 2 5 3" xfId="5459" xr:uid="{00000000-0005-0000-0000-0000F20A0000}"/>
    <cellStyle name="Currency 3 2 2 5 3 2" xfId="22350" xr:uid="{66505DE0-CE47-4483-98D3-58AB1C6E7416}"/>
    <cellStyle name="Currency 3 2 2 5 3 3" xfId="13909" xr:uid="{2AF342DD-5F8F-4902-B537-713786D2FB71}"/>
    <cellStyle name="Currency 3 2 2 5 4" xfId="18132" xr:uid="{19318E6E-AEBE-4F33-B2B9-B1199BABE57B}"/>
    <cellStyle name="Currency 3 2 2 5 5" xfId="9691" xr:uid="{D4927D88-8F9C-423D-951A-C347EFF98388}"/>
    <cellStyle name="Currency 3 2 2 6" xfId="1565" xr:uid="{00000000-0005-0000-0000-0000F30A0000}"/>
    <cellStyle name="Currency 3 2 2 6 2" xfId="3795" xr:uid="{00000000-0005-0000-0000-0000F40A0000}"/>
    <cellStyle name="Currency 3 2 2 6 2 2" xfId="8017" xr:uid="{00000000-0005-0000-0000-0000F50A0000}"/>
    <cellStyle name="Currency 3 2 2 6 2 2 2" xfId="24908" xr:uid="{F66B306A-780C-4047-BBDF-160FC4844B1F}"/>
    <cellStyle name="Currency 3 2 2 6 2 2 3" xfId="16467" xr:uid="{B4553E47-D197-4C19-B3AE-DBE2F8DC540E}"/>
    <cellStyle name="Currency 3 2 2 6 2 3" xfId="20690" xr:uid="{607EEB14-4662-47D7-AA8D-AB3C501B33D2}"/>
    <cellStyle name="Currency 3 2 2 6 2 4" xfId="12249" xr:uid="{3C92D6FC-83A5-41AA-88C8-35E06B64426C}"/>
    <cellStyle name="Currency 3 2 2 6 3" xfId="5872" xr:uid="{00000000-0005-0000-0000-0000F60A0000}"/>
    <cellStyle name="Currency 3 2 2 6 3 2" xfId="22763" xr:uid="{074AE7F5-3E0E-4F84-B1E7-E14872E6DE6B}"/>
    <cellStyle name="Currency 3 2 2 6 3 3" xfId="14322" xr:uid="{944E0E3C-9C5E-4A21-9286-6A1D4C216514}"/>
    <cellStyle name="Currency 3 2 2 6 4" xfId="18545" xr:uid="{E64A104A-A067-4A02-904C-EDA46EC01167}"/>
    <cellStyle name="Currency 3 2 2 6 5" xfId="10104" xr:uid="{4CCD4A1A-4D40-478F-A6A2-0EE554620386}"/>
    <cellStyle name="Currency 3 2 2 7" xfId="1979" xr:uid="{00000000-0005-0000-0000-0000F70A0000}"/>
    <cellStyle name="Currency 3 2 2 7 2" xfId="4208" xr:uid="{00000000-0005-0000-0000-0000F80A0000}"/>
    <cellStyle name="Currency 3 2 2 7 2 2" xfId="8430" xr:uid="{00000000-0005-0000-0000-0000F90A0000}"/>
    <cellStyle name="Currency 3 2 2 7 2 2 2" xfId="25321" xr:uid="{A918BAA4-1140-4292-86B3-BAA99D51C3DC}"/>
    <cellStyle name="Currency 3 2 2 7 2 2 3" xfId="16880" xr:uid="{944DB103-9BCE-4E72-9EB7-E100031C195D}"/>
    <cellStyle name="Currency 3 2 2 7 2 3" xfId="21103" xr:uid="{D463808E-D18D-4DC3-9A48-0E69D74B0A55}"/>
    <cellStyle name="Currency 3 2 2 7 2 4" xfId="12662" xr:uid="{021DDBE1-56D0-4B6B-AC84-D14F16BC8398}"/>
    <cellStyle name="Currency 3 2 2 7 3" xfId="6285" xr:uid="{00000000-0005-0000-0000-0000FA0A0000}"/>
    <cellStyle name="Currency 3 2 2 7 3 2" xfId="23176" xr:uid="{5732F425-C97D-47CF-A036-32562D1B834C}"/>
    <cellStyle name="Currency 3 2 2 7 3 3" xfId="14735" xr:uid="{B976A0B3-1028-4ECC-96E2-DC54F9447346}"/>
    <cellStyle name="Currency 3 2 2 7 4" xfId="18958" xr:uid="{36997735-F695-4768-A619-CFF326AFB883}"/>
    <cellStyle name="Currency 3 2 2 7 5" xfId="10517" xr:uid="{64EC285B-5CD6-4053-88E1-0A396460C08D}"/>
    <cellStyle name="Currency 3 2 2 8" xfId="2414" xr:uid="{00000000-0005-0000-0000-0000FB0A0000}"/>
    <cellStyle name="Currency 3 2 2 8 2" xfId="6698" xr:uid="{00000000-0005-0000-0000-0000FC0A0000}"/>
    <cellStyle name="Currency 3 2 2 8 2 2" xfId="23589" xr:uid="{4B527C7D-2B6E-4185-AAB0-4632D258A0AB}"/>
    <cellStyle name="Currency 3 2 2 8 2 3" xfId="15148" xr:uid="{7BA2D0AE-C638-476D-BC27-70682F7E6682}"/>
    <cellStyle name="Currency 3 2 2 8 3" xfId="19371" xr:uid="{D70CC732-372A-4EB7-8BA4-9943E56BE247}"/>
    <cellStyle name="Currency 3 2 2 8 4" xfId="10930" xr:uid="{4F78FAE5-85FE-4443-81F7-FF090EED43C7}"/>
    <cellStyle name="Currency 3 2 2 9" xfId="2711" xr:uid="{00000000-0005-0000-0000-0000FD0A0000}"/>
    <cellStyle name="Currency 3 2 3" xfId="182" xr:uid="{00000000-0005-0000-0000-0000FE0A0000}"/>
    <cellStyle name="Currency 3 2 3 10" xfId="4636" xr:uid="{00000000-0005-0000-0000-0000FF0A0000}"/>
    <cellStyle name="Currency 3 2 3 10 2" xfId="21527" xr:uid="{3A8ADD20-6931-4FBC-ABAD-8BCEE3053B2A}"/>
    <cellStyle name="Currency 3 2 3 10 3" xfId="13086" xr:uid="{7A2973E9-628D-4936-8D18-97427DB8BB9A}"/>
    <cellStyle name="Currency 3 2 3 11" xfId="17309" xr:uid="{4991BCFF-B83D-4C41-BCAB-2570D7E0BF29}"/>
    <cellStyle name="Currency 3 2 3 12" xfId="8868" xr:uid="{BCD88075-FBCE-49F5-9A2E-FCE09D1495F7}"/>
    <cellStyle name="Currency 3 2 3 2" xfId="183" xr:uid="{00000000-0005-0000-0000-0000000B0000}"/>
    <cellStyle name="Currency 3 2 3 2 10" xfId="17310" xr:uid="{E35DF15A-B709-4F44-89D4-B866E9D55254}"/>
    <cellStyle name="Currency 3 2 3 2 11" xfId="8869" xr:uid="{F720337D-2786-4927-9128-B296CC832A76}"/>
    <cellStyle name="Currency 3 2 3 2 2" xfId="713" xr:uid="{00000000-0005-0000-0000-0000010B0000}"/>
    <cellStyle name="Currency 3 2 3 2 2 2" xfId="2974" xr:uid="{00000000-0005-0000-0000-0000020B0000}"/>
    <cellStyle name="Currency 3 2 3 2 2 2 2" xfId="7196" xr:uid="{00000000-0005-0000-0000-0000030B0000}"/>
    <cellStyle name="Currency 3 2 3 2 2 2 2 2" xfId="24087" xr:uid="{EBBDEBDF-7F41-4204-BCE3-526B4EF3A20F}"/>
    <cellStyle name="Currency 3 2 3 2 2 2 2 3" xfId="15646" xr:uid="{03DA1F98-02E0-4658-AFA9-64FD96B39589}"/>
    <cellStyle name="Currency 3 2 3 2 2 2 3" xfId="19869" xr:uid="{9E02FBDA-0EF2-4700-8414-D133112511E7}"/>
    <cellStyle name="Currency 3 2 3 2 2 2 4" xfId="11428" xr:uid="{76A8244D-DE64-4F40-BD1C-526F6B700A87}"/>
    <cellStyle name="Currency 3 2 3 2 2 3" xfId="5051" xr:uid="{00000000-0005-0000-0000-0000040B0000}"/>
    <cellStyle name="Currency 3 2 3 2 2 3 2" xfId="21942" xr:uid="{E4FD365F-009E-4B6A-A68D-E6644B591B8D}"/>
    <cellStyle name="Currency 3 2 3 2 2 3 3" xfId="13501" xr:uid="{59AB5C7D-C200-49EE-8172-CD95B11DEE07}"/>
    <cellStyle name="Currency 3 2 3 2 2 4" xfId="17724" xr:uid="{E56B20E8-D189-49B8-A4DB-8C127AB44122}"/>
    <cellStyle name="Currency 3 2 3 2 2 5" xfId="9283" xr:uid="{00759AF0-07AB-45F9-AF40-D453EE9D04E8}"/>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2 2 2" xfId="24500" xr:uid="{5DD73A99-F5DD-487B-95F8-DCE990E47760}"/>
    <cellStyle name="Currency 3 2 3 2 3 2 2 3" xfId="16059" xr:uid="{E3FF702F-B733-44D2-8169-52BCB0B1F2C3}"/>
    <cellStyle name="Currency 3 2 3 2 3 2 3" xfId="20282" xr:uid="{F76FEDC5-E245-42B4-81E8-7DD1B6ACC250}"/>
    <cellStyle name="Currency 3 2 3 2 3 2 4" xfId="11841" xr:uid="{BC85748A-C164-4151-9EBA-1BA7CF2DB43E}"/>
    <cellStyle name="Currency 3 2 3 2 3 3" xfId="5464" xr:uid="{00000000-0005-0000-0000-0000080B0000}"/>
    <cellStyle name="Currency 3 2 3 2 3 3 2" xfId="22355" xr:uid="{2CEF1F2F-C430-435A-8F46-5E9AA5E53111}"/>
    <cellStyle name="Currency 3 2 3 2 3 3 3" xfId="13914" xr:uid="{9F85C0BD-5AEB-438D-B7E3-7E7F8A76C7A5}"/>
    <cellStyle name="Currency 3 2 3 2 3 4" xfId="18137" xr:uid="{DEDC046D-DF10-4A3B-B069-82C28003C710}"/>
    <cellStyle name="Currency 3 2 3 2 3 5" xfId="9696" xr:uid="{3ED4D859-F181-4040-8F5A-62F714D981A8}"/>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2 2 2" xfId="24913" xr:uid="{616E8FD6-8414-4B88-B0EA-22B1070B9B36}"/>
    <cellStyle name="Currency 3 2 3 2 4 2 2 3" xfId="16472" xr:uid="{BF07B81D-0811-437C-8264-0BE9299DED4E}"/>
    <cellStyle name="Currency 3 2 3 2 4 2 3" xfId="20695" xr:uid="{C4CCEE6F-BB1D-4AC2-A373-AF12FD4B6099}"/>
    <cellStyle name="Currency 3 2 3 2 4 2 4" xfId="12254" xr:uid="{B872619B-4362-4BEA-B3B6-4EDA6D05C619}"/>
    <cellStyle name="Currency 3 2 3 2 4 3" xfId="5877" xr:uid="{00000000-0005-0000-0000-00000C0B0000}"/>
    <cellStyle name="Currency 3 2 3 2 4 3 2" xfId="22768" xr:uid="{B3911636-FA6E-459F-9DEA-6FA3CB0A6511}"/>
    <cellStyle name="Currency 3 2 3 2 4 3 3" xfId="14327" xr:uid="{09F721FD-E1DE-455C-AF42-AD2241FBAC60}"/>
    <cellStyle name="Currency 3 2 3 2 4 4" xfId="18550" xr:uid="{AD5A8FC4-77A5-4C82-963B-19980A7773F1}"/>
    <cellStyle name="Currency 3 2 3 2 4 5" xfId="10109" xr:uid="{1A3A6536-AF2F-47EB-A618-BD277E4AE9EB}"/>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2 2 2" xfId="25326" xr:uid="{25105715-B876-4F03-A331-4E6D50BDAA5C}"/>
    <cellStyle name="Currency 3 2 3 2 5 2 2 3" xfId="16885" xr:uid="{1D3BF9D0-7E4E-4A0B-8EA9-2932D1C7CEF7}"/>
    <cellStyle name="Currency 3 2 3 2 5 2 3" xfId="21108" xr:uid="{8A4127C3-4F14-4044-9BC4-9C6C7F1C14A5}"/>
    <cellStyle name="Currency 3 2 3 2 5 2 4" xfId="12667" xr:uid="{8CDB0E2F-3E7D-4C2D-B7EB-F049FED8DFDE}"/>
    <cellStyle name="Currency 3 2 3 2 5 3" xfId="6290" xr:uid="{00000000-0005-0000-0000-0000100B0000}"/>
    <cellStyle name="Currency 3 2 3 2 5 3 2" xfId="23181" xr:uid="{4E810934-D890-46F2-8D6C-1B97A478D6F9}"/>
    <cellStyle name="Currency 3 2 3 2 5 3 3" xfId="14740" xr:uid="{2ABED63F-921A-4A39-AB76-0BFD9462768E}"/>
    <cellStyle name="Currency 3 2 3 2 5 4" xfId="18963" xr:uid="{6AB2E810-AD39-42A7-BC22-6ED8E95B7E23}"/>
    <cellStyle name="Currency 3 2 3 2 5 5" xfId="10522" xr:uid="{1B81D29B-2249-428A-9C2F-035FBC7D7E6B}"/>
    <cellStyle name="Currency 3 2 3 2 6" xfId="2419" xr:uid="{00000000-0005-0000-0000-0000110B0000}"/>
    <cellStyle name="Currency 3 2 3 2 6 2" xfId="6703" xr:uid="{00000000-0005-0000-0000-0000120B0000}"/>
    <cellStyle name="Currency 3 2 3 2 6 2 2" xfId="23594" xr:uid="{BDAC5037-988D-4564-BFF4-D84D676074C8}"/>
    <cellStyle name="Currency 3 2 3 2 6 2 3" xfId="15153" xr:uid="{49EF48B6-8CD0-4EA8-B2CC-2B5E8C8D63EA}"/>
    <cellStyle name="Currency 3 2 3 2 6 3" xfId="19376" xr:uid="{FD1E9928-139A-4E1F-AC8C-AAECD846AD7D}"/>
    <cellStyle name="Currency 3 2 3 2 6 4" xfId="10935" xr:uid="{586E3BB9-359F-4BAF-81E5-A2B5171BCF20}"/>
    <cellStyle name="Currency 3 2 3 2 7" xfId="2716" xr:uid="{00000000-0005-0000-0000-0000130B0000}"/>
    <cellStyle name="Currency 3 2 3 2 8" xfId="2797" xr:uid="{00000000-0005-0000-0000-0000140B0000}"/>
    <cellStyle name="Currency 3 2 3 2 8 2" xfId="7020" xr:uid="{00000000-0005-0000-0000-0000150B0000}"/>
    <cellStyle name="Currency 3 2 3 2 8 2 2" xfId="23911" xr:uid="{A0B0810E-8B65-4520-BB7C-8EB0D563FB3D}"/>
    <cellStyle name="Currency 3 2 3 2 8 2 3" xfId="15470" xr:uid="{C79ED635-6622-4C7F-B685-3D56E8F2596C}"/>
    <cellStyle name="Currency 3 2 3 2 8 3" xfId="19693" xr:uid="{6A93FEEE-B403-43FB-BEB9-EE32E99E2BA5}"/>
    <cellStyle name="Currency 3 2 3 2 8 4" xfId="11252" xr:uid="{BA38818A-6123-4403-A4B1-4FC0CF88D78A}"/>
    <cellStyle name="Currency 3 2 3 2 9" xfId="4637" xr:uid="{00000000-0005-0000-0000-0000160B0000}"/>
    <cellStyle name="Currency 3 2 3 2 9 2" xfId="21528" xr:uid="{43A663B0-1526-4BF9-842C-B6419CBE4B8A}"/>
    <cellStyle name="Currency 3 2 3 2 9 3" xfId="13087" xr:uid="{D0B2F084-AB5A-45D0-9AFB-9FC96D6941F1}"/>
    <cellStyle name="Currency 3 2 3 3" xfId="712" xr:uid="{00000000-0005-0000-0000-0000170B0000}"/>
    <cellStyle name="Currency 3 2 3 3 2" xfId="2973" xr:uid="{00000000-0005-0000-0000-0000180B0000}"/>
    <cellStyle name="Currency 3 2 3 3 2 2" xfId="7195" xr:uid="{00000000-0005-0000-0000-0000190B0000}"/>
    <cellStyle name="Currency 3 2 3 3 2 2 2" xfId="24086" xr:uid="{D970AD0E-AA43-43E3-B577-1A3DB3CF881B}"/>
    <cellStyle name="Currency 3 2 3 3 2 2 3" xfId="15645" xr:uid="{BD445728-D128-4D97-A033-B939C250C815}"/>
    <cellStyle name="Currency 3 2 3 3 2 3" xfId="19868" xr:uid="{D8155084-6B6C-4D0F-9F78-E6281CAFFBE6}"/>
    <cellStyle name="Currency 3 2 3 3 2 4" xfId="11427" xr:uid="{57013E62-C1A8-4504-96EC-3AE3C1FFF600}"/>
    <cellStyle name="Currency 3 2 3 3 3" xfId="5050" xr:uid="{00000000-0005-0000-0000-00001A0B0000}"/>
    <cellStyle name="Currency 3 2 3 3 3 2" xfId="21941" xr:uid="{E6D26D07-9F8F-4830-9F48-FE7DEB99B7FA}"/>
    <cellStyle name="Currency 3 2 3 3 3 3" xfId="13500" xr:uid="{C291B1C8-8098-4561-A7B0-6269DAF6C8D6}"/>
    <cellStyle name="Currency 3 2 3 3 4" xfId="17723" xr:uid="{C9D5C65E-1EED-47A3-930B-E379CD844020}"/>
    <cellStyle name="Currency 3 2 3 3 5" xfId="9282" xr:uid="{58E6E1C5-D891-4CAA-8E65-09259E95A931}"/>
    <cellStyle name="Currency 3 2 3 4" xfId="1155" xr:uid="{00000000-0005-0000-0000-00001B0B0000}"/>
    <cellStyle name="Currency 3 2 3 4 2" xfId="3386" xr:uid="{00000000-0005-0000-0000-00001C0B0000}"/>
    <cellStyle name="Currency 3 2 3 4 2 2" xfId="7608" xr:uid="{00000000-0005-0000-0000-00001D0B0000}"/>
    <cellStyle name="Currency 3 2 3 4 2 2 2" xfId="24499" xr:uid="{18859BAA-2CAB-4AFD-8EB8-2151930AFC87}"/>
    <cellStyle name="Currency 3 2 3 4 2 2 3" xfId="16058" xr:uid="{4342DFFB-074C-4DB1-83C6-EE5B1A565E2B}"/>
    <cellStyle name="Currency 3 2 3 4 2 3" xfId="20281" xr:uid="{3902FC82-A82E-4D74-A31C-144737E6C301}"/>
    <cellStyle name="Currency 3 2 3 4 2 4" xfId="11840" xr:uid="{4B991D13-4676-49A1-AAFC-2D006130650B}"/>
    <cellStyle name="Currency 3 2 3 4 3" xfId="5463" xr:uid="{00000000-0005-0000-0000-00001E0B0000}"/>
    <cellStyle name="Currency 3 2 3 4 3 2" xfId="22354" xr:uid="{0D4CCE7F-A951-49F5-942B-1939D9F7BE90}"/>
    <cellStyle name="Currency 3 2 3 4 3 3" xfId="13913" xr:uid="{8ED53260-E474-4B6B-8592-3B1658DD512B}"/>
    <cellStyle name="Currency 3 2 3 4 4" xfId="18136" xr:uid="{60621D1C-05DD-4878-9CEC-AF8B3F2D01B7}"/>
    <cellStyle name="Currency 3 2 3 4 5" xfId="9695" xr:uid="{85DD4D78-F331-4428-84CF-61CEFCABDE25}"/>
    <cellStyle name="Currency 3 2 3 5" xfId="1569" xr:uid="{00000000-0005-0000-0000-00001F0B0000}"/>
    <cellStyle name="Currency 3 2 3 5 2" xfId="3799" xr:uid="{00000000-0005-0000-0000-0000200B0000}"/>
    <cellStyle name="Currency 3 2 3 5 2 2" xfId="8021" xr:uid="{00000000-0005-0000-0000-0000210B0000}"/>
    <cellStyle name="Currency 3 2 3 5 2 2 2" xfId="24912" xr:uid="{7715C600-A613-402F-9AB6-0C98BF05F273}"/>
    <cellStyle name="Currency 3 2 3 5 2 2 3" xfId="16471" xr:uid="{FA319B66-52D9-4CE4-8872-A5B81834F4FF}"/>
    <cellStyle name="Currency 3 2 3 5 2 3" xfId="20694" xr:uid="{8CFB644E-1CC7-4992-AF53-F737E5A1AE26}"/>
    <cellStyle name="Currency 3 2 3 5 2 4" xfId="12253" xr:uid="{166AAE67-E4BB-40C4-B637-42433BF458C2}"/>
    <cellStyle name="Currency 3 2 3 5 3" xfId="5876" xr:uid="{00000000-0005-0000-0000-0000220B0000}"/>
    <cellStyle name="Currency 3 2 3 5 3 2" xfId="22767" xr:uid="{DA1F88D0-406B-4A21-9948-592F62506ECB}"/>
    <cellStyle name="Currency 3 2 3 5 3 3" xfId="14326" xr:uid="{9CB5D83A-26E1-48FF-A9AF-192D4AD35066}"/>
    <cellStyle name="Currency 3 2 3 5 4" xfId="18549" xr:uid="{33896788-242E-4675-A14A-31CAF1189963}"/>
    <cellStyle name="Currency 3 2 3 5 5" xfId="10108" xr:uid="{5BC1103E-A83F-45F1-86CE-5F620A080494}"/>
    <cellStyle name="Currency 3 2 3 6" xfId="1983" xr:uid="{00000000-0005-0000-0000-0000230B0000}"/>
    <cellStyle name="Currency 3 2 3 6 2" xfId="4212" xr:uid="{00000000-0005-0000-0000-0000240B0000}"/>
    <cellStyle name="Currency 3 2 3 6 2 2" xfId="8434" xr:uid="{00000000-0005-0000-0000-0000250B0000}"/>
    <cellStyle name="Currency 3 2 3 6 2 2 2" xfId="25325" xr:uid="{EA28C1FE-D3D7-41FA-AA64-C583B595E899}"/>
    <cellStyle name="Currency 3 2 3 6 2 2 3" xfId="16884" xr:uid="{BEC8D136-C633-4E51-8926-C5D8CE912C7A}"/>
    <cellStyle name="Currency 3 2 3 6 2 3" xfId="21107" xr:uid="{021D839A-CC8E-448E-B604-53E507988618}"/>
    <cellStyle name="Currency 3 2 3 6 2 4" xfId="12666" xr:uid="{2CD87744-6374-4936-A575-771DB5B31973}"/>
    <cellStyle name="Currency 3 2 3 6 3" xfId="6289" xr:uid="{00000000-0005-0000-0000-0000260B0000}"/>
    <cellStyle name="Currency 3 2 3 6 3 2" xfId="23180" xr:uid="{D1C079DA-8A67-4ACE-9EDC-2AB5A19EFECB}"/>
    <cellStyle name="Currency 3 2 3 6 3 3" xfId="14739" xr:uid="{09A46BC4-8E38-4366-AC16-02185D1CDC79}"/>
    <cellStyle name="Currency 3 2 3 6 4" xfId="18962" xr:uid="{68D7F74B-6EAA-430C-981E-C62026133586}"/>
    <cellStyle name="Currency 3 2 3 6 5" xfId="10521" xr:uid="{D89CE8F9-ECD7-42F5-BA27-3CAB65162EB7}"/>
    <cellStyle name="Currency 3 2 3 7" xfId="2418" xr:uid="{00000000-0005-0000-0000-0000270B0000}"/>
    <cellStyle name="Currency 3 2 3 7 2" xfId="6702" xr:uid="{00000000-0005-0000-0000-0000280B0000}"/>
    <cellStyle name="Currency 3 2 3 7 2 2" xfId="23593" xr:uid="{C5D4C0A5-CF3A-4E96-801F-9484F18165CC}"/>
    <cellStyle name="Currency 3 2 3 7 2 3" xfId="15152" xr:uid="{F294DC8F-A56A-4935-B526-59C614ED2060}"/>
    <cellStyle name="Currency 3 2 3 7 3" xfId="19375" xr:uid="{0F71CBCB-2AC5-4EA6-BE37-EFBFB2761670}"/>
    <cellStyle name="Currency 3 2 3 7 4" xfId="10934" xr:uid="{667B2F7F-9360-4028-81D1-6F8A8EC93778}"/>
    <cellStyle name="Currency 3 2 3 8" xfId="2715" xr:uid="{00000000-0005-0000-0000-0000290B0000}"/>
    <cellStyle name="Currency 3 2 3 9" xfId="2796" xr:uid="{00000000-0005-0000-0000-00002A0B0000}"/>
    <cellStyle name="Currency 3 2 3 9 2" xfId="7019" xr:uid="{00000000-0005-0000-0000-00002B0B0000}"/>
    <cellStyle name="Currency 3 2 3 9 2 2" xfId="23910" xr:uid="{FB4E27D9-CA76-4EAC-AC08-4D24FEBEBD6C}"/>
    <cellStyle name="Currency 3 2 3 9 2 3" xfId="15469" xr:uid="{342979DF-C6FE-42F8-8792-EE89E5C90C70}"/>
    <cellStyle name="Currency 3 2 3 9 3" xfId="19692" xr:uid="{3C7743EB-25B4-4100-8A32-DDF0947EECB7}"/>
    <cellStyle name="Currency 3 2 3 9 4" xfId="11251" xr:uid="{B0DCC728-C731-4E6C-819D-AFC5C83B281D}"/>
    <cellStyle name="Currency 3 2 4" xfId="184" xr:uid="{00000000-0005-0000-0000-00002C0B0000}"/>
    <cellStyle name="Currency 3 2 4 10" xfId="17311" xr:uid="{693B5F24-EB56-47BC-97CD-B42C8405E088}"/>
    <cellStyle name="Currency 3 2 4 11" xfId="8870" xr:uid="{6F0AA961-8DD4-4A8C-9D68-11988D7000F4}"/>
    <cellStyle name="Currency 3 2 4 2" xfId="714" xr:uid="{00000000-0005-0000-0000-00002D0B0000}"/>
    <cellStyle name="Currency 3 2 4 2 2" xfId="2975" xr:uid="{00000000-0005-0000-0000-00002E0B0000}"/>
    <cellStyle name="Currency 3 2 4 2 2 2" xfId="7197" xr:uid="{00000000-0005-0000-0000-00002F0B0000}"/>
    <cellStyle name="Currency 3 2 4 2 2 2 2" xfId="24088" xr:uid="{618D919D-835D-4C04-8DE7-74534D239C74}"/>
    <cellStyle name="Currency 3 2 4 2 2 2 3" xfId="15647" xr:uid="{FB4FD1B5-38E1-4062-B172-58FE33A89D60}"/>
    <cellStyle name="Currency 3 2 4 2 2 3" xfId="19870" xr:uid="{67EF547B-B339-4369-8BC4-203C465D4DC8}"/>
    <cellStyle name="Currency 3 2 4 2 2 4" xfId="11429" xr:uid="{E1BC1BAD-5A4D-4DC4-A34D-20A375E6ECB4}"/>
    <cellStyle name="Currency 3 2 4 2 3" xfId="5052" xr:uid="{00000000-0005-0000-0000-0000300B0000}"/>
    <cellStyle name="Currency 3 2 4 2 3 2" xfId="21943" xr:uid="{757367C9-3D3B-44D2-99B5-C687A53B915E}"/>
    <cellStyle name="Currency 3 2 4 2 3 3" xfId="13502" xr:uid="{E4215DA7-E156-4ED7-924F-3DBE6D7E76C4}"/>
    <cellStyle name="Currency 3 2 4 2 4" xfId="17725" xr:uid="{BACB02D7-9CA6-460D-B35A-4AB22313EBB4}"/>
    <cellStyle name="Currency 3 2 4 2 5" xfId="9284" xr:uid="{D4E760D1-3837-46D8-8AD0-F05AF03E432F}"/>
    <cellStyle name="Currency 3 2 4 3" xfId="1157" xr:uid="{00000000-0005-0000-0000-0000310B0000}"/>
    <cellStyle name="Currency 3 2 4 3 2" xfId="3388" xr:uid="{00000000-0005-0000-0000-0000320B0000}"/>
    <cellStyle name="Currency 3 2 4 3 2 2" xfId="7610" xr:uid="{00000000-0005-0000-0000-0000330B0000}"/>
    <cellStyle name="Currency 3 2 4 3 2 2 2" xfId="24501" xr:uid="{52274A8D-4C5F-43A8-AA0E-5DE0073E555A}"/>
    <cellStyle name="Currency 3 2 4 3 2 2 3" xfId="16060" xr:uid="{6433D112-A18E-43BA-B47F-87EB538C4790}"/>
    <cellStyle name="Currency 3 2 4 3 2 3" xfId="20283" xr:uid="{68C72E3B-C14A-40F7-A477-0E49F376B08D}"/>
    <cellStyle name="Currency 3 2 4 3 2 4" xfId="11842" xr:uid="{F00EA976-A933-428A-910A-F8C2C84D8337}"/>
    <cellStyle name="Currency 3 2 4 3 3" xfId="5465" xr:uid="{00000000-0005-0000-0000-0000340B0000}"/>
    <cellStyle name="Currency 3 2 4 3 3 2" xfId="22356" xr:uid="{79D6BD8D-6968-4E2F-8144-4F3AC03A3169}"/>
    <cellStyle name="Currency 3 2 4 3 3 3" xfId="13915" xr:uid="{38EBA95B-9D54-458A-8792-24CD0B1ECE0C}"/>
    <cellStyle name="Currency 3 2 4 3 4" xfId="18138" xr:uid="{ABCBE460-1E22-492A-AC09-B2F12176E459}"/>
    <cellStyle name="Currency 3 2 4 3 5" xfId="9697" xr:uid="{F5685E47-6C53-4131-878F-0DE5F1B6D1E0}"/>
    <cellStyle name="Currency 3 2 4 4" xfId="1571" xr:uid="{00000000-0005-0000-0000-0000350B0000}"/>
    <cellStyle name="Currency 3 2 4 4 2" xfId="3801" xr:uid="{00000000-0005-0000-0000-0000360B0000}"/>
    <cellStyle name="Currency 3 2 4 4 2 2" xfId="8023" xr:uid="{00000000-0005-0000-0000-0000370B0000}"/>
    <cellStyle name="Currency 3 2 4 4 2 2 2" xfId="24914" xr:uid="{7AAEA9CB-A728-4ABB-BA54-0DAEBB9B2E79}"/>
    <cellStyle name="Currency 3 2 4 4 2 2 3" xfId="16473" xr:uid="{09F4534A-D4A3-44C7-9A5B-27112044E0FC}"/>
    <cellStyle name="Currency 3 2 4 4 2 3" xfId="20696" xr:uid="{C2A41EF0-2F71-40C2-964F-80AA713274DC}"/>
    <cellStyle name="Currency 3 2 4 4 2 4" xfId="12255" xr:uid="{17DFA400-5596-49E0-88B0-97373D0065B3}"/>
    <cellStyle name="Currency 3 2 4 4 3" xfId="5878" xr:uid="{00000000-0005-0000-0000-0000380B0000}"/>
    <cellStyle name="Currency 3 2 4 4 3 2" xfId="22769" xr:uid="{EBBF2856-31E7-4172-B953-91BC2F9EC9E5}"/>
    <cellStyle name="Currency 3 2 4 4 3 3" xfId="14328" xr:uid="{4E3E4F38-9BDA-4383-B3FA-25ED8105A1BE}"/>
    <cellStyle name="Currency 3 2 4 4 4" xfId="18551" xr:uid="{53ED9B15-E8CC-4999-A869-C8DBCEA47D82}"/>
    <cellStyle name="Currency 3 2 4 4 5" xfId="10110" xr:uid="{75B2A276-2830-43AD-843A-BCB4DF67BA8A}"/>
    <cellStyle name="Currency 3 2 4 5" xfId="1985" xr:uid="{00000000-0005-0000-0000-0000390B0000}"/>
    <cellStyle name="Currency 3 2 4 5 2" xfId="4214" xr:uid="{00000000-0005-0000-0000-00003A0B0000}"/>
    <cellStyle name="Currency 3 2 4 5 2 2" xfId="8436" xr:uid="{00000000-0005-0000-0000-00003B0B0000}"/>
    <cellStyle name="Currency 3 2 4 5 2 2 2" xfId="25327" xr:uid="{EE4BCF27-24D2-45A0-B3FD-259FB402D885}"/>
    <cellStyle name="Currency 3 2 4 5 2 2 3" xfId="16886" xr:uid="{DD69F2DA-7E69-42BC-A1B8-77978CEC4F90}"/>
    <cellStyle name="Currency 3 2 4 5 2 3" xfId="21109" xr:uid="{86B43197-1187-4E25-9347-9B70BDD0A395}"/>
    <cellStyle name="Currency 3 2 4 5 2 4" xfId="12668" xr:uid="{1FAC55FF-548D-49CA-9013-6C47B911DBC0}"/>
    <cellStyle name="Currency 3 2 4 5 3" xfId="6291" xr:uid="{00000000-0005-0000-0000-00003C0B0000}"/>
    <cellStyle name="Currency 3 2 4 5 3 2" xfId="23182" xr:uid="{8AAF4CEC-02B4-42B6-9AD2-F155D9674EEA}"/>
    <cellStyle name="Currency 3 2 4 5 3 3" xfId="14741" xr:uid="{012D1CA8-E494-4155-82AE-198A2EF461C2}"/>
    <cellStyle name="Currency 3 2 4 5 4" xfId="18964" xr:uid="{FE8A51E5-A0F7-4E15-93E2-EC0804EAA70F}"/>
    <cellStyle name="Currency 3 2 4 5 5" xfId="10523" xr:uid="{91ABF8BB-B9DD-46DF-8A0B-B1BCFF64870E}"/>
    <cellStyle name="Currency 3 2 4 6" xfId="2420" xr:uid="{00000000-0005-0000-0000-00003D0B0000}"/>
    <cellStyle name="Currency 3 2 4 6 2" xfId="6704" xr:uid="{00000000-0005-0000-0000-00003E0B0000}"/>
    <cellStyle name="Currency 3 2 4 6 2 2" xfId="23595" xr:uid="{24E6766B-7F3B-4483-BEBD-C8982F6DD4F2}"/>
    <cellStyle name="Currency 3 2 4 6 2 3" xfId="15154" xr:uid="{766A43A9-F098-497B-AA3B-FD91B855E71C}"/>
    <cellStyle name="Currency 3 2 4 6 3" xfId="19377" xr:uid="{7A4E56B6-239D-408C-B816-1FB8E297C406}"/>
    <cellStyle name="Currency 3 2 4 6 4" xfId="10936" xr:uid="{CC7D0360-A18E-4F20-9EBE-0B760390EDB3}"/>
    <cellStyle name="Currency 3 2 4 7" xfId="2717" xr:uid="{00000000-0005-0000-0000-00003F0B0000}"/>
    <cellStyle name="Currency 3 2 4 8" xfId="2798" xr:uid="{00000000-0005-0000-0000-0000400B0000}"/>
    <cellStyle name="Currency 3 2 4 8 2" xfId="7021" xr:uid="{00000000-0005-0000-0000-0000410B0000}"/>
    <cellStyle name="Currency 3 2 4 8 2 2" xfId="23912" xr:uid="{6FCA6E47-135E-4163-8AE0-8C4563B964F2}"/>
    <cellStyle name="Currency 3 2 4 8 2 3" xfId="15471" xr:uid="{022CA5AE-0141-4D8F-B9BF-789F7A8CC76D}"/>
    <cellStyle name="Currency 3 2 4 8 3" xfId="19694" xr:uid="{5D252130-2F14-43AB-809E-EEEA597920B9}"/>
    <cellStyle name="Currency 3 2 4 8 4" xfId="11253" xr:uid="{D7B3EE63-8C41-4E5E-A469-F24E43A3D038}"/>
    <cellStyle name="Currency 3 2 4 9" xfId="4638" xr:uid="{00000000-0005-0000-0000-0000420B0000}"/>
    <cellStyle name="Currency 3 2 4 9 2" xfId="21529" xr:uid="{4A00B3D5-36E2-4C9A-80F9-FB8608DC533F}"/>
    <cellStyle name="Currency 3 2 4 9 3" xfId="13088" xr:uid="{5AFA9657-FAEC-4B09-B12F-81EF9D7B0572}"/>
    <cellStyle name="Currency 3 2 5" xfId="185" xr:uid="{00000000-0005-0000-0000-0000430B0000}"/>
    <cellStyle name="Currency 3 2 5 10" xfId="17312" xr:uid="{B9D49D3C-75E0-446E-9E92-0E7A1F29367F}"/>
    <cellStyle name="Currency 3 2 5 11" xfId="8871" xr:uid="{DB44B757-0D8A-4712-B83F-578DB48E6071}"/>
    <cellStyle name="Currency 3 2 5 2" xfId="715" xr:uid="{00000000-0005-0000-0000-0000440B0000}"/>
    <cellStyle name="Currency 3 2 5 2 2" xfId="2976" xr:uid="{00000000-0005-0000-0000-0000450B0000}"/>
    <cellStyle name="Currency 3 2 5 2 2 2" xfId="7198" xr:uid="{00000000-0005-0000-0000-0000460B0000}"/>
    <cellStyle name="Currency 3 2 5 2 2 2 2" xfId="24089" xr:uid="{6DE8B913-E57F-4E87-A5A8-DC8628E09625}"/>
    <cellStyle name="Currency 3 2 5 2 2 2 3" xfId="15648" xr:uid="{CF64F626-FAAD-4DCF-A38D-A64D8F8F382E}"/>
    <cellStyle name="Currency 3 2 5 2 2 3" xfId="19871" xr:uid="{01E79466-D840-401A-987C-9C97F5021AD7}"/>
    <cellStyle name="Currency 3 2 5 2 2 4" xfId="11430" xr:uid="{69593881-C03C-4929-8CFA-5D7AA5CBF0AC}"/>
    <cellStyle name="Currency 3 2 5 2 3" xfId="5053" xr:uid="{00000000-0005-0000-0000-0000470B0000}"/>
    <cellStyle name="Currency 3 2 5 2 3 2" xfId="21944" xr:uid="{2BC8E158-11B5-452D-BAB9-3E99E6CA5B56}"/>
    <cellStyle name="Currency 3 2 5 2 3 3" xfId="13503" xr:uid="{74AE069C-6CF4-4FB2-BD1A-9938C1225DC8}"/>
    <cellStyle name="Currency 3 2 5 2 4" xfId="17726" xr:uid="{BD23F44C-1E08-4A49-A191-FD6F368F2CCE}"/>
    <cellStyle name="Currency 3 2 5 2 5" xfId="9285" xr:uid="{FED4A218-1F99-4794-8D0A-2DF3F949BE6C}"/>
    <cellStyle name="Currency 3 2 5 3" xfId="1158" xr:uid="{00000000-0005-0000-0000-0000480B0000}"/>
    <cellStyle name="Currency 3 2 5 3 2" xfId="3389" xr:uid="{00000000-0005-0000-0000-0000490B0000}"/>
    <cellStyle name="Currency 3 2 5 3 2 2" xfId="7611" xr:uid="{00000000-0005-0000-0000-00004A0B0000}"/>
    <cellStyle name="Currency 3 2 5 3 2 2 2" xfId="24502" xr:uid="{3C2DC8E2-0122-4FAF-BB48-F6315D5EA1C0}"/>
    <cellStyle name="Currency 3 2 5 3 2 2 3" xfId="16061" xr:uid="{37DB73AF-819D-4487-8E4D-CA4A880F84B6}"/>
    <cellStyle name="Currency 3 2 5 3 2 3" xfId="20284" xr:uid="{D32B4A10-137A-435C-ACDB-629F052CECD0}"/>
    <cellStyle name="Currency 3 2 5 3 2 4" xfId="11843" xr:uid="{6F27E60C-0F3B-4492-9C0F-673A393F413D}"/>
    <cellStyle name="Currency 3 2 5 3 3" xfId="5466" xr:uid="{00000000-0005-0000-0000-00004B0B0000}"/>
    <cellStyle name="Currency 3 2 5 3 3 2" xfId="22357" xr:uid="{0D027183-5CBF-460A-AF78-95AAC4F5C7B5}"/>
    <cellStyle name="Currency 3 2 5 3 3 3" xfId="13916" xr:uid="{1FC1CF4E-D51C-4132-8C8A-34343E5CFEBC}"/>
    <cellStyle name="Currency 3 2 5 3 4" xfId="18139" xr:uid="{F82AC6CD-35E1-42D3-8457-D416E57CDB40}"/>
    <cellStyle name="Currency 3 2 5 3 5" xfId="9698" xr:uid="{27462E10-1019-4608-93F9-FB60D91F5C40}"/>
    <cellStyle name="Currency 3 2 5 4" xfId="1572" xr:uid="{00000000-0005-0000-0000-00004C0B0000}"/>
    <cellStyle name="Currency 3 2 5 4 2" xfId="3802" xr:uid="{00000000-0005-0000-0000-00004D0B0000}"/>
    <cellStyle name="Currency 3 2 5 4 2 2" xfId="8024" xr:uid="{00000000-0005-0000-0000-00004E0B0000}"/>
    <cellStyle name="Currency 3 2 5 4 2 2 2" xfId="24915" xr:uid="{0C06CF19-47E5-4C1C-8E27-98687BA3CA83}"/>
    <cellStyle name="Currency 3 2 5 4 2 2 3" xfId="16474" xr:uid="{924E4FE7-26D6-4F82-B5E7-CFABC4021534}"/>
    <cellStyle name="Currency 3 2 5 4 2 3" xfId="20697" xr:uid="{226082C3-40BB-45D6-B541-8A62EB579277}"/>
    <cellStyle name="Currency 3 2 5 4 2 4" xfId="12256" xr:uid="{8BF16268-C3F6-4D22-86FC-246302E1DC4C}"/>
    <cellStyle name="Currency 3 2 5 4 3" xfId="5879" xr:uid="{00000000-0005-0000-0000-00004F0B0000}"/>
    <cellStyle name="Currency 3 2 5 4 3 2" xfId="22770" xr:uid="{4CCF0294-33D9-410E-860D-EF1ED7540048}"/>
    <cellStyle name="Currency 3 2 5 4 3 3" xfId="14329" xr:uid="{A97488BC-4AF1-499B-AEC1-C33631B7A293}"/>
    <cellStyle name="Currency 3 2 5 4 4" xfId="18552" xr:uid="{3812EA36-72D0-4010-945E-7F5A83EAEBA6}"/>
    <cellStyle name="Currency 3 2 5 4 5" xfId="10111" xr:uid="{34F94231-5D9C-477F-8084-E70E31F318B4}"/>
    <cellStyle name="Currency 3 2 5 5" xfId="1986" xr:uid="{00000000-0005-0000-0000-0000500B0000}"/>
    <cellStyle name="Currency 3 2 5 5 2" xfId="4215" xr:uid="{00000000-0005-0000-0000-0000510B0000}"/>
    <cellStyle name="Currency 3 2 5 5 2 2" xfId="8437" xr:uid="{00000000-0005-0000-0000-0000520B0000}"/>
    <cellStyle name="Currency 3 2 5 5 2 2 2" xfId="25328" xr:uid="{B6B9E754-FB90-4757-8F87-79E97ADE253B}"/>
    <cellStyle name="Currency 3 2 5 5 2 2 3" xfId="16887" xr:uid="{D436F638-E19E-4AB4-BCFA-5FB185C6B259}"/>
    <cellStyle name="Currency 3 2 5 5 2 3" xfId="21110" xr:uid="{84D5CEE4-7B34-486F-A7C5-3B19FA2D05B0}"/>
    <cellStyle name="Currency 3 2 5 5 2 4" xfId="12669" xr:uid="{8E347037-E5D4-44DF-8194-D2015862C9E7}"/>
    <cellStyle name="Currency 3 2 5 5 3" xfId="6292" xr:uid="{00000000-0005-0000-0000-0000530B0000}"/>
    <cellStyle name="Currency 3 2 5 5 3 2" xfId="23183" xr:uid="{4DC16042-BF0D-4369-85FF-C342504CB44F}"/>
    <cellStyle name="Currency 3 2 5 5 3 3" xfId="14742" xr:uid="{E7C2CBE7-32CB-4759-B77A-06020ADB8B88}"/>
    <cellStyle name="Currency 3 2 5 5 4" xfId="18965" xr:uid="{6BD9833E-5F83-4781-AA42-01F6BCB101D6}"/>
    <cellStyle name="Currency 3 2 5 5 5" xfId="10524" xr:uid="{0BEAD68F-439A-4B2F-969D-E2F4FB29F845}"/>
    <cellStyle name="Currency 3 2 5 6" xfId="2421" xr:uid="{00000000-0005-0000-0000-0000540B0000}"/>
    <cellStyle name="Currency 3 2 5 6 2" xfId="6705" xr:uid="{00000000-0005-0000-0000-0000550B0000}"/>
    <cellStyle name="Currency 3 2 5 6 2 2" xfId="23596" xr:uid="{85A4A614-9B42-4609-9E74-31B82F3D6B78}"/>
    <cellStyle name="Currency 3 2 5 6 2 3" xfId="15155" xr:uid="{B938F763-1437-4422-B416-EA3D86294CE9}"/>
    <cellStyle name="Currency 3 2 5 6 3" xfId="19378" xr:uid="{3941EBB2-5B66-41C1-BE05-4F6ADB65CF5E}"/>
    <cellStyle name="Currency 3 2 5 6 4" xfId="10937" xr:uid="{0B50AD3F-E3ED-469C-A899-AC5D5C82D838}"/>
    <cellStyle name="Currency 3 2 5 7" xfId="2718" xr:uid="{00000000-0005-0000-0000-0000560B0000}"/>
    <cellStyle name="Currency 3 2 5 8" xfId="2799" xr:uid="{00000000-0005-0000-0000-0000570B0000}"/>
    <cellStyle name="Currency 3 2 5 8 2" xfId="7022" xr:uid="{00000000-0005-0000-0000-0000580B0000}"/>
    <cellStyle name="Currency 3 2 5 8 2 2" xfId="23913" xr:uid="{C96389A9-78B9-4E1A-B9D4-4C6C9CDE928F}"/>
    <cellStyle name="Currency 3 2 5 8 2 3" xfId="15472" xr:uid="{003C1FD6-5851-472E-B0B0-28BB20BA31F2}"/>
    <cellStyle name="Currency 3 2 5 8 3" xfId="19695" xr:uid="{8938D302-3669-40A6-A084-1469B0A6CA6A}"/>
    <cellStyle name="Currency 3 2 5 8 4" xfId="11254" xr:uid="{34EA4678-9F98-42C4-A61F-4BB648A85F3A}"/>
    <cellStyle name="Currency 3 2 5 9" xfId="4639" xr:uid="{00000000-0005-0000-0000-0000590B0000}"/>
    <cellStyle name="Currency 3 2 5 9 2" xfId="21530" xr:uid="{9CF19047-F6A7-4323-8D4A-FA0E2E37F35F}"/>
    <cellStyle name="Currency 3 2 5 9 3" xfId="13089" xr:uid="{F239BEC4-1FC5-4026-A3F1-8C5F70778AEC}"/>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0 2 2" xfId="23914" xr:uid="{7AD8EC8E-342B-4B37-B7C9-6B788EB2787C}"/>
    <cellStyle name="Currency 5 2 2 2 10 2 3" xfId="15473" xr:uid="{1D94D4A4-675A-44DF-B03C-5030E823B034}"/>
    <cellStyle name="Currency 5 2 2 2 10 3" xfId="19696" xr:uid="{CBF0F1BF-1BD1-451E-B4A4-70E0BC44411F}"/>
    <cellStyle name="Currency 5 2 2 2 10 4" xfId="11255" xr:uid="{ED841C56-0417-4176-AB7B-DA165C1CD6F1}"/>
    <cellStyle name="Currency 5 2 2 2 11" xfId="4640" xr:uid="{00000000-0005-0000-0000-00006C0B0000}"/>
    <cellStyle name="Currency 5 2 2 2 11 2" xfId="21531" xr:uid="{01215845-D94F-424A-8422-67E76F3B7A07}"/>
    <cellStyle name="Currency 5 2 2 2 11 3" xfId="13090" xr:uid="{61D884D7-E835-408C-BCE5-E4BADDC0D501}"/>
    <cellStyle name="Currency 5 2 2 2 12" xfId="17313" xr:uid="{A9604562-763B-4EC0-9CF8-F75EA24B589C}"/>
    <cellStyle name="Currency 5 2 2 2 13" xfId="8872" xr:uid="{ACAA1E8F-6F35-4598-BB73-500B4A1B1BB7}"/>
    <cellStyle name="Currency 5 2 2 2 2" xfId="197" xr:uid="{00000000-0005-0000-0000-00006D0B0000}"/>
    <cellStyle name="Currency 5 2 2 2 2 10" xfId="4641" xr:uid="{00000000-0005-0000-0000-00006E0B0000}"/>
    <cellStyle name="Currency 5 2 2 2 2 10 2" xfId="21532" xr:uid="{FCE17095-A0B1-4EDA-A041-75306C446CCD}"/>
    <cellStyle name="Currency 5 2 2 2 2 10 3" xfId="13091" xr:uid="{4D806CAB-1469-4327-9481-95A69C295E96}"/>
    <cellStyle name="Currency 5 2 2 2 2 11" xfId="17314" xr:uid="{A809BCF8-01F8-4ED8-A542-EC145224A15D}"/>
    <cellStyle name="Currency 5 2 2 2 2 12" xfId="8873" xr:uid="{AEFCF891-150C-44A1-8941-E8BCF8B3000A}"/>
    <cellStyle name="Currency 5 2 2 2 2 2" xfId="198" xr:uid="{00000000-0005-0000-0000-00006F0B0000}"/>
    <cellStyle name="Currency 5 2 2 2 2 2 10" xfId="17315" xr:uid="{752408A5-59B7-4162-8B5D-96BCF5A311AD}"/>
    <cellStyle name="Currency 5 2 2 2 2 2 11" xfId="8874" xr:uid="{21F4565A-91C9-4911-83B4-0DAD730A4556}"/>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2 2 2" xfId="24092" xr:uid="{FBE440E4-F4B7-45F8-A662-9A2C777C9092}"/>
    <cellStyle name="Currency 5 2 2 2 2 2 2 2 2 3" xfId="15651" xr:uid="{B9070C38-ECA7-4F2F-87B9-4585ED00C9FA}"/>
    <cellStyle name="Currency 5 2 2 2 2 2 2 2 3" xfId="19874" xr:uid="{5AA2AD26-9DE1-482E-8E3F-C11100745F1B}"/>
    <cellStyle name="Currency 5 2 2 2 2 2 2 2 4" xfId="11433" xr:uid="{F9209B1C-2439-40F6-AF58-FC1A7F478CA4}"/>
    <cellStyle name="Currency 5 2 2 2 2 2 2 3" xfId="5056" xr:uid="{00000000-0005-0000-0000-0000730B0000}"/>
    <cellStyle name="Currency 5 2 2 2 2 2 2 3 2" xfId="21947" xr:uid="{DE4C7D2F-E0EE-4668-807F-C7B48181B49D}"/>
    <cellStyle name="Currency 5 2 2 2 2 2 2 3 3" xfId="13506" xr:uid="{5E70D807-56C0-46AE-9C94-894089542DCD}"/>
    <cellStyle name="Currency 5 2 2 2 2 2 2 4" xfId="17729" xr:uid="{EF1A9E14-975D-4EA5-AF2E-28AB2FD0AEAD}"/>
    <cellStyle name="Currency 5 2 2 2 2 2 2 5" xfId="9288" xr:uid="{33009421-B9A7-42BB-855C-13A7862D2DB4}"/>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2 2 2" xfId="24505" xr:uid="{8CE89C74-63D6-4713-BCD1-BD71353BCCE1}"/>
    <cellStyle name="Currency 5 2 2 2 2 2 3 2 2 3" xfId="16064" xr:uid="{AF1B92B3-4101-4272-B6C5-04D9788E5EFB}"/>
    <cellStyle name="Currency 5 2 2 2 2 2 3 2 3" xfId="20287" xr:uid="{05FE4D80-0C72-49AB-B048-AA77C3E1BC02}"/>
    <cellStyle name="Currency 5 2 2 2 2 2 3 2 4" xfId="11846" xr:uid="{CE792180-A7E3-4352-A2CD-3F6B5F49B841}"/>
    <cellStyle name="Currency 5 2 2 2 2 2 3 3" xfId="5469" xr:uid="{00000000-0005-0000-0000-0000770B0000}"/>
    <cellStyle name="Currency 5 2 2 2 2 2 3 3 2" xfId="22360" xr:uid="{53CDD34B-F8C8-48A7-B711-34340904AB2C}"/>
    <cellStyle name="Currency 5 2 2 2 2 2 3 3 3" xfId="13919" xr:uid="{AB7C800D-04ED-4237-B874-05DE82E559D8}"/>
    <cellStyle name="Currency 5 2 2 2 2 2 3 4" xfId="18142" xr:uid="{7865B86E-8D78-480C-934E-9FDEADC48B54}"/>
    <cellStyle name="Currency 5 2 2 2 2 2 3 5" xfId="9701" xr:uid="{CA7B9B7D-1E4F-406D-871A-1787EAD86B3D}"/>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2 2 2" xfId="24918" xr:uid="{B5480D89-A191-48B9-A3F3-9F415495B8FF}"/>
    <cellStyle name="Currency 5 2 2 2 2 2 4 2 2 3" xfId="16477" xr:uid="{5D979522-992A-4CE9-8284-CE1D49F15268}"/>
    <cellStyle name="Currency 5 2 2 2 2 2 4 2 3" xfId="20700" xr:uid="{560E5070-C44B-4E8F-8C83-F8E65BECF01A}"/>
    <cellStyle name="Currency 5 2 2 2 2 2 4 2 4" xfId="12259" xr:uid="{72B61630-17D3-447F-B144-120E7CC75DF9}"/>
    <cellStyle name="Currency 5 2 2 2 2 2 4 3" xfId="5882" xr:uid="{00000000-0005-0000-0000-00007B0B0000}"/>
    <cellStyle name="Currency 5 2 2 2 2 2 4 3 2" xfId="22773" xr:uid="{CBAE5673-9B8D-4E60-BA35-DB9FC14DB0B2}"/>
    <cellStyle name="Currency 5 2 2 2 2 2 4 3 3" xfId="14332" xr:uid="{087F1EA6-F180-40FF-9479-99CC099D8EB4}"/>
    <cellStyle name="Currency 5 2 2 2 2 2 4 4" xfId="18555" xr:uid="{0B6003FD-2F43-419D-A957-84BDB24E8027}"/>
    <cellStyle name="Currency 5 2 2 2 2 2 4 5" xfId="10114" xr:uid="{FE4AAF41-020C-4510-9A79-D34D95430CDB}"/>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2 2 2" xfId="25331" xr:uid="{B1A530BD-0CBC-4C1A-9411-2EA3FF532D9C}"/>
    <cellStyle name="Currency 5 2 2 2 2 2 5 2 2 3" xfId="16890" xr:uid="{C66AA83F-9559-4DC6-9F43-2DDA4E32FDCA}"/>
    <cellStyle name="Currency 5 2 2 2 2 2 5 2 3" xfId="21113" xr:uid="{5FEE67DC-7746-4918-A8BD-E6BF364E2962}"/>
    <cellStyle name="Currency 5 2 2 2 2 2 5 2 4" xfId="12672" xr:uid="{0508749B-2318-4EFF-867C-C9AF781EB064}"/>
    <cellStyle name="Currency 5 2 2 2 2 2 5 3" xfId="6295" xr:uid="{00000000-0005-0000-0000-00007F0B0000}"/>
    <cellStyle name="Currency 5 2 2 2 2 2 5 3 2" xfId="23186" xr:uid="{80808CD3-2434-4C6E-A6BC-9BC5DEF65A62}"/>
    <cellStyle name="Currency 5 2 2 2 2 2 5 3 3" xfId="14745" xr:uid="{97BBDEC5-FE98-4A25-9616-2B4706E41313}"/>
    <cellStyle name="Currency 5 2 2 2 2 2 5 4" xfId="18968" xr:uid="{5258DA33-24B9-4721-94F8-E2EED59ACDCF}"/>
    <cellStyle name="Currency 5 2 2 2 2 2 5 5" xfId="10527" xr:uid="{AC98912E-1605-408B-887C-806AD4A6BE59}"/>
    <cellStyle name="Currency 5 2 2 2 2 2 6" xfId="2424" xr:uid="{00000000-0005-0000-0000-0000800B0000}"/>
    <cellStyle name="Currency 5 2 2 2 2 2 6 2" xfId="6708" xr:uid="{00000000-0005-0000-0000-0000810B0000}"/>
    <cellStyle name="Currency 5 2 2 2 2 2 6 2 2" xfId="23599" xr:uid="{BAFD0273-3002-4EE3-A1AB-C5FE35F7AF83}"/>
    <cellStyle name="Currency 5 2 2 2 2 2 6 2 3" xfId="15158" xr:uid="{5DF0C4EB-1D94-489D-9C89-0E7A3BD5EF7E}"/>
    <cellStyle name="Currency 5 2 2 2 2 2 6 3" xfId="19381" xr:uid="{B02B0466-D6A5-4E65-9AC5-55AB33DEC62A}"/>
    <cellStyle name="Currency 5 2 2 2 2 2 6 4" xfId="10940" xr:uid="{03A44093-6229-4839-A952-E9103B0E8C7D}"/>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8 2 2" xfId="23916" xr:uid="{938EBFF9-DBEE-433E-88FC-E8984C489B40}"/>
    <cellStyle name="Currency 5 2 2 2 2 2 8 2 3" xfId="15475" xr:uid="{2CF9D996-F310-4D18-9311-31D7B7C62517}"/>
    <cellStyle name="Currency 5 2 2 2 2 2 8 3" xfId="19698" xr:uid="{380718F1-8A16-4AB5-8EEA-BEC5E0E3498A}"/>
    <cellStyle name="Currency 5 2 2 2 2 2 8 4" xfId="11257" xr:uid="{8422364E-D1DF-4089-A383-9C329911A01A}"/>
    <cellStyle name="Currency 5 2 2 2 2 2 9" xfId="4642" xr:uid="{00000000-0005-0000-0000-0000850B0000}"/>
    <cellStyle name="Currency 5 2 2 2 2 2 9 2" xfId="21533" xr:uid="{B54A89E9-EFCC-4352-BF10-5F8B227AF333}"/>
    <cellStyle name="Currency 5 2 2 2 2 2 9 3" xfId="13092" xr:uid="{CB762B4D-1EFF-4D55-A5D4-FA8E099A0F7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2 2 2" xfId="24091" xr:uid="{8FC11149-6CFC-42E4-BA13-8059712FF8A9}"/>
    <cellStyle name="Currency 5 2 2 2 2 3 2 2 3" xfId="15650" xr:uid="{1EFA9BAD-AC3A-4ED5-B1CB-9328966F8407}"/>
    <cellStyle name="Currency 5 2 2 2 2 3 2 3" xfId="19873" xr:uid="{283E3FA3-52B3-4826-848C-0A46F005DCD1}"/>
    <cellStyle name="Currency 5 2 2 2 2 3 2 4" xfId="11432" xr:uid="{0589C1D9-8DD0-4CFC-ADBB-68652E10F206}"/>
    <cellStyle name="Currency 5 2 2 2 2 3 3" xfId="5055" xr:uid="{00000000-0005-0000-0000-0000890B0000}"/>
    <cellStyle name="Currency 5 2 2 2 2 3 3 2" xfId="21946" xr:uid="{53BC923D-7B3E-41A0-BF72-7B83027AE6C8}"/>
    <cellStyle name="Currency 5 2 2 2 2 3 3 3" xfId="13505" xr:uid="{77D12E66-AF15-4783-887D-1C521D61C12C}"/>
    <cellStyle name="Currency 5 2 2 2 2 3 4" xfId="17728" xr:uid="{F8FB971F-1222-443F-B66A-7361609CECC6}"/>
    <cellStyle name="Currency 5 2 2 2 2 3 5" xfId="9287" xr:uid="{8688BDC3-166C-4F40-A6A4-4E64A6C7658F}"/>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2 2 2" xfId="24504" xr:uid="{F515ED1A-136E-49D1-A25C-088D9E15612F}"/>
    <cellStyle name="Currency 5 2 2 2 2 4 2 2 3" xfId="16063" xr:uid="{851A1785-5ED5-49AA-A556-40C1424DF390}"/>
    <cellStyle name="Currency 5 2 2 2 2 4 2 3" xfId="20286" xr:uid="{84229553-7F17-48EB-8F8D-8857604E66F0}"/>
    <cellStyle name="Currency 5 2 2 2 2 4 2 4" xfId="11845" xr:uid="{8FBAB351-5231-48AE-AD25-2A8F2E21DDA5}"/>
    <cellStyle name="Currency 5 2 2 2 2 4 3" xfId="5468" xr:uid="{00000000-0005-0000-0000-00008D0B0000}"/>
    <cellStyle name="Currency 5 2 2 2 2 4 3 2" xfId="22359" xr:uid="{3B486FA5-B4AA-4261-9A65-5C879DF57CA1}"/>
    <cellStyle name="Currency 5 2 2 2 2 4 3 3" xfId="13918" xr:uid="{8226C26A-846F-47DC-8889-1BF4E4E3D74F}"/>
    <cellStyle name="Currency 5 2 2 2 2 4 4" xfId="18141" xr:uid="{E461D168-57AA-43D8-9F50-D44B4B0CB66B}"/>
    <cellStyle name="Currency 5 2 2 2 2 4 5" xfId="9700" xr:uid="{8450B064-A7D9-4F81-950D-987C3A3EE337}"/>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2 2 2" xfId="24917" xr:uid="{71D96CF2-0A4C-4060-8F30-CE4BC096EBD2}"/>
    <cellStyle name="Currency 5 2 2 2 2 5 2 2 3" xfId="16476" xr:uid="{0EC1D548-EE48-47D0-A0E1-34689CEAE4BC}"/>
    <cellStyle name="Currency 5 2 2 2 2 5 2 3" xfId="20699" xr:uid="{D01DA5DA-62CA-4DAC-B9C8-7942C38E5461}"/>
    <cellStyle name="Currency 5 2 2 2 2 5 2 4" xfId="12258" xr:uid="{F75359B8-7337-4763-AF77-116BAA8FDCDC}"/>
    <cellStyle name="Currency 5 2 2 2 2 5 3" xfId="5881" xr:uid="{00000000-0005-0000-0000-0000910B0000}"/>
    <cellStyle name="Currency 5 2 2 2 2 5 3 2" xfId="22772" xr:uid="{798CD807-7617-468A-80D3-D21B513E95EA}"/>
    <cellStyle name="Currency 5 2 2 2 2 5 3 3" xfId="14331" xr:uid="{5878295C-3479-42AC-B753-9CFCB7E9C62A}"/>
    <cellStyle name="Currency 5 2 2 2 2 5 4" xfId="18554" xr:uid="{200B603E-3CA4-4E6D-B4A9-0EEEB5B49AE6}"/>
    <cellStyle name="Currency 5 2 2 2 2 5 5" xfId="10113" xr:uid="{3C8079DA-A41B-4DED-9F8C-EE39953ED977}"/>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2 2 2" xfId="25330" xr:uid="{432BB3CA-652B-4387-9AEC-73CC9FB1B6F4}"/>
    <cellStyle name="Currency 5 2 2 2 2 6 2 2 3" xfId="16889" xr:uid="{EDD68BC1-B780-480C-8D8B-CCF177B8598D}"/>
    <cellStyle name="Currency 5 2 2 2 2 6 2 3" xfId="21112" xr:uid="{883F3591-12FE-418B-A767-6A852C914B97}"/>
    <cellStyle name="Currency 5 2 2 2 2 6 2 4" xfId="12671" xr:uid="{FF001992-EE15-459C-95E0-0A3FF494F503}"/>
    <cellStyle name="Currency 5 2 2 2 2 6 3" xfId="6294" xr:uid="{00000000-0005-0000-0000-0000950B0000}"/>
    <cellStyle name="Currency 5 2 2 2 2 6 3 2" xfId="23185" xr:uid="{1EACDF1A-B634-4382-A89D-F8B286BCCEFC}"/>
    <cellStyle name="Currency 5 2 2 2 2 6 3 3" xfId="14744" xr:uid="{3F1A0F59-7B62-4EA7-9D2F-86B8A062317D}"/>
    <cellStyle name="Currency 5 2 2 2 2 6 4" xfId="18967" xr:uid="{AD82D6DB-C436-4245-B47E-E320C76E322C}"/>
    <cellStyle name="Currency 5 2 2 2 2 6 5" xfId="10526" xr:uid="{29AFB17C-7E01-4A69-B95B-DE4996CCE282}"/>
    <cellStyle name="Currency 5 2 2 2 2 7" xfId="2423" xr:uid="{00000000-0005-0000-0000-0000960B0000}"/>
    <cellStyle name="Currency 5 2 2 2 2 7 2" xfId="6707" xr:uid="{00000000-0005-0000-0000-0000970B0000}"/>
    <cellStyle name="Currency 5 2 2 2 2 7 2 2" xfId="23598" xr:uid="{ECBD1139-459C-4538-BE7C-82D3DED86A74}"/>
    <cellStyle name="Currency 5 2 2 2 2 7 2 3" xfId="15157" xr:uid="{0FBECD9C-62A8-49B9-A511-DCC13A951041}"/>
    <cellStyle name="Currency 5 2 2 2 2 7 3" xfId="19380" xr:uid="{9D35F540-1DD0-4635-8700-5E5D9FC7FDEE}"/>
    <cellStyle name="Currency 5 2 2 2 2 7 4" xfId="10939" xr:uid="{EBEA0781-0BAD-4F1D-855F-4665D82E33B6}"/>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2 9 2 2" xfId="23915" xr:uid="{C4C83EE1-AD4F-4DD1-B007-EC2D25C040B1}"/>
    <cellStyle name="Currency 5 2 2 2 2 9 2 3" xfId="15474" xr:uid="{3BF293D2-2FAE-42F9-8ECB-0E6CD3D5248A}"/>
    <cellStyle name="Currency 5 2 2 2 2 9 3" xfId="19697" xr:uid="{4A40B5A0-1AEE-4363-B310-88BF8BBB2BF8}"/>
    <cellStyle name="Currency 5 2 2 2 2 9 4" xfId="11256" xr:uid="{689AC2B0-DB13-4197-90AF-02EDA8D42C64}"/>
    <cellStyle name="Currency 5 2 2 2 3" xfId="199" xr:uid="{00000000-0005-0000-0000-00009B0B0000}"/>
    <cellStyle name="Currency 5 2 2 2 3 10" xfId="17316" xr:uid="{D29328C4-FA44-42B2-8A6A-B69D7F3A2A36}"/>
    <cellStyle name="Currency 5 2 2 2 3 11" xfId="8875" xr:uid="{F0B33538-5884-4491-960B-37A2334BEED6}"/>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2 2 2" xfId="24093" xr:uid="{62059582-1B80-43AB-9561-462F457441F4}"/>
    <cellStyle name="Currency 5 2 2 2 3 2 2 2 3" xfId="15652" xr:uid="{5F7516A1-BE2D-4532-91F1-0D9C13AB2E81}"/>
    <cellStyle name="Currency 5 2 2 2 3 2 2 3" xfId="19875" xr:uid="{795362B0-4029-4F44-958B-38ED366C5AC2}"/>
    <cellStyle name="Currency 5 2 2 2 3 2 2 4" xfId="11434" xr:uid="{94CB0FAC-ADCA-4417-8E77-3C5C542A6254}"/>
    <cellStyle name="Currency 5 2 2 2 3 2 3" xfId="5057" xr:uid="{00000000-0005-0000-0000-00009F0B0000}"/>
    <cellStyle name="Currency 5 2 2 2 3 2 3 2" xfId="21948" xr:uid="{44A449C3-9ABC-489F-A1AA-3A3B4F376264}"/>
    <cellStyle name="Currency 5 2 2 2 3 2 3 3" xfId="13507" xr:uid="{BF3CAB37-FBA7-443D-B1C7-EB18F8C51893}"/>
    <cellStyle name="Currency 5 2 2 2 3 2 4" xfId="17730" xr:uid="{F8BA62D8-EA60-47C6-B906-90CB6BAFE9CF}"/>
    <cellStyle name="Currency 5 2 2 2 3 2 5" xfId="9289" xr:uid="{1ED59ABD-C468-4B73-B276-7F2153CBCE6A}"/>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2 2 2" xfId="24506" xr:uid="{9368BAFC-9917-4EEB-84E7-A33CD47C834A}"/>
    <cellStyle name="Currency 5 2 2 2 3 3 2 2 3" xfId="16065" xr:uid="{14AFEF14-698B-4DDC-884E-298D8905EC15}"/>
    <cellStyle name="Currency 5 2 2 2 3 3 2 3" xfId="20288" xr:uid="{16BADC13-8D4D-45DD-AFE5-85B577BC33D1}"/>
    <cellStyle name="Currency 5 2 2 2 3 3 2 4" xfId="11847" xr:uid="{0E11BCF2-48F3-4D77-854E-B7B45C579569}"/>
    <cellStyle name="Currency 5 2 2 2 3 3 3" xfId="5470" xr:uid="{00000000-0005-0000-0000-0000A30B0000}"/>
    <cellStyle name="Currency 5 2 2 2 3 3 3 2" xfId="22361" xr:uid="{F70F1112-08D0-4C97-BA3B-E7D130837E68}"/>
    <cellStyle name="Currency 5 2 2 2 3 3 3 3" xfId="13920" xr:uid="{F6E96573-9A7F-4F1D-9D8C-E3679E90D723}"/>
    <cellStyle name="Currency 5 2 2 2 3 3 4" xfId="18143" xr:uid="{B264830F-2584-4BB5-AC08-634EAA45AA4E}"/>
    <cellStyle name="Currency 5 2 2 2 3 3 5" xfId="9702" xr:uid="{C50E1B3C-23C9-4ED6-9D24-3B4ECCC4B7FE}"/>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2 2 2" xfId="24919" xr:uid="{7F59175F-C271-475C-94DF-A4FC87FFB331}"/>
    <cellStyle name="Currency 5 2 2 2 3 4 2 2 3" xfId="16478" xr:uid="{6A37CD7B-058E-457D-8910-323C297B7215}"/>
    <cellStyle name="Currency 5 2 2 2 3 4 2 3" xfId="20701" xr:uid="{E6730D24-936F-41B6-9D19-9ACE5912EEFA}"/>
    <cellStyle name="Currency 5 2 2 2 3 4 2 4" xfId="12260" xr:uid="{52E44ECD-2732-4475-8DD0-6AD6C9E96D7F}"/>
    <cellStyle name="Currency 5 2 2 2 3 4 3" xfId="5883" xr:uid="{00000000-0005-0000-0000-0000A70B0000}"/>
    <cellStyle name="Currency 5 2 2 2 3 4 3 2" xfId="22774" xr:uid="{DE2E2EC7-C7CD-4657-AE7D-C232E2AC2187}"/>
    <cellStyle name="Currency 5 2 2 2 3 4 3 3" xfId="14333" xr:uid="{9062B60A-93CA-485F-9EF4-F0A4F452F43D}"/>
    <cellStyle name="Currency 5 2 2 2 3 4 4" xfId="18556" xr:uid="{0B2F4D23-2C4F-4770-813B-315ACAEFDC7F}"/>
    <cellStyle name="Currency 5 2 2 2 3 4 5" xfId="10115" xr:uid="{6A7F9AF6-66F3-46FC-8681-D18B80C4F793}"/>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2 2 2" xfId="25332" xr:uid="{7E85D1E8-0E32-4E0F-A3C1-409C8AE324DC}"/>
    <cellStyle name="Currency 5 2 2 2 3 5 2 2 3" xfId="16891" xr:uid="{6699CB97-D191-4193-8561-3A0AEDE4E6E0}"/>
    <cellStyle name="Currency 5 2 2 2 3 5 2 3" xfId="21114" xr:uid="{0FA7C911-9B0B-410F-AF6C-8D8C710FF69F}"/>
    <cellStyle name="Currency 5 2 2 2 3 5 2 4" xfId="12673" xr:uid="{9F706813-00E7-4CE7-8B08-9615E7FFA1C0}"/>
    <cellStyle name="Currency 5 2 2 2 3 5 3" xfId="6296" xr:uid="{00000000-0005-0000-0000-0000AB0B0000}"/>
    <cellStyle name="Currency 5 2 2 2 3 5 3 2" xfId="23187" xr:uid="{095E42A6-9815-46FB-B0B7-718FB70AC308}"/>
    <cellStyle name="Currency 5 2 2 2 3 5 3 3" xfId="14746" xr:uid="{90E10FB3-6994-43E4-87D4-3A301BBA8FC7}"/>
    <cellStyle name="Currency 5 2 2 2 3 5 4" xfId="18969" xr:uid="{83B827E3-ABA9-49ED-93AB-5548CA4440E9}"/>
    <cellStyle name="Currency 5 2 2 2 3 5 5" xfId="10528" xr:uid="{B16DA993-D118-4736-B10F-54E00E748BCD}"/>
    <cellStyle name="Currency 5 2 2 2 3 6" xfId="2425" xr:uid="{00000000-0005-0000-0000-0000AC0B0000}"/>
    <cellStyle name="Currency 5 2 2 2 3 6 2" xfId="6709" xr:uid="{00000000-0005-0000-0000-0000AD0B0000}"/>
    <cellStyle name="Currency 5 2 2 2 3 6 2 2" xfId="23600" xr:uid="{CE02C161-4EED-4453-8E40-7A0314C6BFBB}"/>
    <cellStyle name="Currency 5 2 2 2 3 6 2 3" xfId="15159" xr:uid="{0153B9A0-4C83-4C98-9D09-5412D49F30F4}"/>
    <cellStyle name="Currency 5 2 2 2 3 6 3" xfId="19382" xr:uid="{D221A993-4583-49F1-8684-1CF8F0D888A2}"/>
    <cellStyle name="Currency 5 2 2 2 3 6 4" xfId="10941" xr:uid="{FE4795A3-8FC8-4527-B694-6488ACB6717F}"/>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8 2 2" xfId="23917" xr:uid="{BA3941BA-9062-436A-9EC8-2FDF61A7F115}"/>
    <cellStyle name="Currency 5 2 2 2 3 8 2 3" xfId="15476" xr:uid="{74F29DD5-66EA-41A5-9D15-4F4F46F459D6}"/>
    <cellStyle name="Currency 5 2 2 2 3 8 3" xfId="19699" xr:uid="{C33D8454-FD1E-44CE-A95A-1753FA750C74}"/>
    <cellStyle name="Currency 5 2 2 2 3 8 4" xfId="11258" xr:uid="{2BE3FC7A-02BF-4690-BBD0-EF0C91C5FACD}"/>
    <cellStyle name="Currency 5 2 2 2 3 9" xfId="4643" xr:uid="{00000000-0005-0000-0000-0000B10B0000}"/>
    <cellStyle name="Currency 5 2 2 2 3 9 2" xfId="21534" xr:uid="{8F2BF376-B972-4CBF-9326-27E04D96AF38}"/>
    <cellStyle name="Currency 5 2 2 2 3 9 3" xfId="13093" xr:uid="{851D2FAD-7008-4311-B562-0DC3EDE04F6D}"/>
    <cellStyle name="Currency 5 2 2 2 4" xfId="723" xr:uid="{00000000-0005-0000-0000-0000B20B0000}"/>
    <cellStyle name="Currency 5 2 2 2 4 2" xfId="2977" xr:uid="{00000000-0005-0000-0000-0000B30B0000}"/>
    <cellStyle name="Currency 5 2 2 2 4 2 2" xfId="7199" xr:uid="{00000000-0005-0000-0000-0000B40B0000}"/>
    <cellStyle name="Currency 5 2 2 2 4 2 2 2" xfId="24090" xr:uid="{DBD871CE-927C-43AF-9932-C4BA240F5F85}"/>
    <cellStyle name="Currency 5 2 2 2 4 2 2 3" xfId="15649" xr:uid="{DCA49FF2-5C7C-407A-AA25-5DED94BF350E}"/>
    <cellStyle name="Currency 5 2 2 2 4 2 3" xfId="19872" xr:uid="{9B6C41B4-D9D1-44D0-90EF-FA1A08E20051}"/>
    <cellStyle name="Currency 5 2 2 2 4 2 4" xfId="11431" xr:uid="{262B68E7-5A94-4FA9-A660-D61550E0B4F9}"/>
    <cellStyle name="Currency 5 2 2 2 4 3" xfId="5054" xr:uid="{00000000-0005-0000-0000-0000B50B0000}"/>
    <cellStyle name="Currency 5 2 2 2 4 3 2" xfId="21945" xr:uid="{6AFC60D1-D18B-4932-84FA-4DCCCACCE4AD}"/>
    <cellStyle name="Currency 5 2 2 2 4 3 3" xfId="13504" xr:uid="{69FAFF73-DF23-4DEA-B04D-C26D7126F4F4}"/>
    <cellStyle name="Currency 5 2 2 2 4 4" xfId="17727" xr:uid="{E8CC6C77-2A26-418E-89D0-95EEC7DD3731}"/>
    <cellStyle name="Currency 5 2 2 2 4 5" xfId="9286" xr:uid="{4AF001E3-C23C-4FCD-A227-E7D98C6EA47A}"/>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2 2 2" xfId="24503" xr:uid="{FEB5FEA8-A5FB-4133-9B84-4657D036F6D1}"/>
    <cellStyle name="Currency 5 2 2 2 5 2 2 3" xfId="16062" xr:uid="{7CD50FA6-869D-4C0A-A3DA-9168943A64BD}"/>
    <cellStyle name="Currency 5 2 2 2 5 2 3" xfId="20285" xr:uid="{AA5DA2DD-604E-4C1B-9297-71FC62273AF1}"/>
    <cellStyle name="Currency 5 2 2 2 5 2 4" xfId="11844" xr:uid="{39BEA343-5712-42C5-9D1E-BEBE05973A56}"/>
    <cellStyle name="Currency 5 2 2 2 5 3" xfId="5467" xr:uid="{00000000-0005-0000-0000-0000B90B0000}"/>
    <cellStyle name="Currency 5 2 2 2 5 3 2" xfId="22358" xr:uid="{041CD77C-9337-42BA-92C1-05FEF77495BD}"/>
    <cellStyle name="Currency 5 2 2 2 5 3 3" xfId="13917" xr:uid="{28926B10-148C-4D65-A4C1-1103A0483535}"/>
    <cellStyle name="Currency 5 2 2 2 5 4" xfId="18140" xr:uid="{EB55ECE7-7EB6-4F7E-9076-74D3F6989F74}"/>
    <cellStyle name="Currency 5 2 2 2 5 5" xfId="9699" xr:uid="{03F1F937-3918-4753-97DF-83B0D06849F5}"/>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2 2 2" xfId="24916" xr:uid="{7B81F2E2-38BC-45AC-92C6-682EA79B7900}"/>
    <cellStyle name="Currency 5 2 2 2 6 2 2 3" xfId="16475" xr:uid="{4BABD933-39A9-4E0B-81D8-7C117F85A5FE}"/>
    <cellStyle name="Currency 5 2 2 2 6 2 3" xfId="20698" xr:uid="{08ED4905-1F9F-4034-A28E-EB9C42551A3B}"/>
    <cellStyle name="Currency 5 2 2 2 6 2 4" xfId="12257" xr:uid="{437FAA25-9D92-4AA8-9592-68D438658DDC}"/>
    <cellStyle name="Currency 5 2 2 2 6 3" xfId="5880" xr:uid="{00000000-0005-0000-0000-0000BD0B0000}"/>
    <cellStyle name="Currency 5 2 2 2 6 3 2" xfId="22771" xr:uid="{53B85C6A-2CC7-431F-8A8F-7A9A1228A0D2}"/>
    <cellStyle name="Currency 5 2 2 2 6 3 3" xfId="14330" xr:uid="{FD7B40AB-EA8B-4DAA-A629-AC08D849EF73}"/>
    <cellStyle name="Currency 5 2 2 2 6 4" xfId="18553" xr:uid="{4BF5AD22-7CCD-43C0-8A54-9DE6A131B68E}"/>
    <cellStyle name="Currency 5 2 2 2 6 5" xfId="10112" xr:uid="{7FBB4997-9631-41D6-8CB6-134EF31C5367}"/>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2 2 2" xfId="25329" xr:uid="{F3995AC8-F76E-47B9-A46A-D357E97572B6}"/>
    <cellStyle name="Currency 5 2 2 2 7 2 2 3" xfId="16888" xr:uid="{BBDCD6D6-EC09-40C1-9196-944CFDA20BCF}"/>
    <cellStyle name="Currency 5 2 2 2 7 2 3" xfId="21111" xr:uid="{D49DE57E-CF96-44C1-8A3A-DF39A95A904F}"/>
    <cellStyle name="Currency 5 2 2 2 7 2 4" xfId="12670" xr:uid="{3A8C8D22-3FE9-4519-B4F0-A1B67808B50E}"/>
    <cellStyle name="Currency 5 2 2 2 7 3" xfId="6293" xr:uid="{00000000-0005-0000-0000-0000C10B0000}"/>
    <cellStyle name="Currency 5 2 2 2 7 3 2" xfId="23184" xr:uid="{969FB323-F20C-4F85-9359-B1F2D942219B}"/>
    <cellStyle name="Currency 5 2 2 2 7 3 3" xfId="14743" xr:uid="{E5BBCD8E-90CA-42BB-A772-17A21621E5BF}"/>
    <cellStyle name="Currency 5 2 2 2 7 4" xfId="18966" xr:uid="{89F8512B-FD04-408F-8F24-1C4CC2CBEA10}"/>
    <cellStyle name="Currency 5 2 2 2 7 5" xfId="10525" xr:uid="{E1C550DB-E171-46DF-B9A2-586248BEA80B}"/>
    <cellStyle name="Currency 5 2 2 2 8" xfId="2422" xr:uid="{00000000-0005-0000-0000-0000C20B0000}"/>
    <cellStyle name="Currency 5 2 2 2 8 2" xfId="6706" xr:uid="{00000000-0005-0000-0000-0000C30B0000}"/>
    <cellStyle name="Currency 5 2 2 2 8 2 2" xfId="23597" xr:uid="{7FC5335B-5912-4F7E-9C67-21F70D1E2DF3}"/>
    <cellStyle name="Currency 5 2 2 2 8 2 3" xfId="15156" xr:uid="{FE40159D-B2D3-4CA1-B314-59B92053EE8F}"/>
    <cellStyle name="Currency 5 2 2 2 8 3" xfId="19379" xr:uid="{2DB4E79D-A65D-463B-B347-1F5AD90A4238}"/>
    <cellStyle name="Currency 5 2 2 2 8 4" xfId="10938" xr:uid="{BD8363A6-8F2E-4837-BD19-AD4E469C5EB3}"/>
    <cellStyle name="Currency 5 2 2 2 9" xfId="2719" xr:uid="{00000000-0005-0000-0000-0000C40B0000}"/>
    <cellStyle name="Currency 5 2 2 3" xfId="200" xr:uid="{00000000-0005-0000-0000-0000C50B0000}"/>
    <cellStyle name="Currency 5 2 2 3 10" xfId="4644" xr:uid="{00000000-0005-0000-0000-0000C60B0000}"/>
    <cellStyle name="Currency 5 2 2 3 10 2" xfId="21535" xr:uid="{D13002E2-969E-4259-8A25-9E431739E5D7}"/>
    <cellStyle name="Currency 5 2 2 3 10 3" xfId="13094" xr:uid="{EA50B72A-6BD5-4A27-A796-B03077A5264C}"/>
    <cellStyle name="Currency 5 2 2 3 11" xfId="17317" xr:uid="{09BE7BB2-B24D-4283-9F79-CECD25EE1265}"/>
    <cellStyle name="Currency 5 2 2 3 12" xfId="8876" xr:uid="{0E12622D-CD82-416B-BB54-5EDD61DCFB32}"/>
    <cellStyle name="Currency 5 2 2 3 2" xfId="201" xr:uid="{00000000-0005-0000-0000-0000C70B0000}"/>
    <cellStyle name="Currency 5 2 2 3 2 10" xfId="17318" xr:uid="{FDF432B7-C1B6-4F9C-BEE7-BF2CA0A23958}"/>
    <cellStyle name="Currency 5 2 2 3 2 11" xfId="8877" xr:uid="{8E0C510E-B7B9-451D-B207-B84E30A47437}"/>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2 2 2" xfId="24095" xr:uid="{86936051-0D87-4FCD-8037-2CD8B2363891}"/>
    <cellStyle name="Currency 5 2 2 3 2 2 2 2 3" xfId="15654" xr:uid="{F4446EEF-1CA9-449C-A76C-9541DD4BB1FA}"/>
    <cellStyle name="Currency 5 2 2 3 2 2 2 3" xfId="19877" xr:uid="{583C27D1-AA61-4BF5-BEF5-A89EE430D003}"/>
    <cellStyle name="Currency 5 2 2 3 2 2 2 4" xfId="11436" xr:uid="{4AB567F1-EBA0-44DF-B14E-008E62872AE1}"/>
    <cellStyle name="Currency 5 2 2 3 2 2 3" xfId="5059" xr:uid="{00000000-0005-0000-0000-0000CB0B0000}"/>
    <cellStyle name="Currency 5 2 2 3 2 2 3 2" xfId="21950" xr:uid="{51EE8B9D-8A39-4224-B45F-200E544BC5E6}"/>
    <cellStyle name="Currency 5 2 2 3 2 2 3 3" xfId="13509" xr:uid="{DEEDFB06-32CA-49FB-9C61-9FB4E96773A6}"/>
    <cellStyle name="Currency 5 2 2 3 2 2 4" xfId="17732" xr:uid="{1D4D23FD-3C84-4A43-BE74-9497151D794C}"/>
    <cellStyle name="Currency 5 2 2 3 2 2 5" xfId="9291" xr:uid="{B6AA3138-CF0D-41EB-A937-7B22A50BF41A}"/>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2 2 2" xfId="24508" xr:uid="{A6700B59-13AC-4FEE-BE47-31DA054B47F7}"/>
    <cellStyle name="Currency 5 2 2 3 2 3 2 2 3" xfId="16067" xr:uid="{AEF989A3-C568-44BB-82A6-A0E09DE78DAF}"/>
    <cellStyle name="Currency 5 2 2 3 2 3 2 3" xfId="20290" xr:uid="{7A3AD565-BE57-48DE-A89A-C48A6653F39C}"/>
    <cellStyle name="Currency 5 2 2 3 2 3 2 4" xfId="11849" xr:uid="{B02B2301-6624-48E5-8DB9-A9A1E30D8D23}"/>
    <cellStyle name="Currency 5 2 2 3 2 3 3" xfId="5472" xr:uid="{00000000-0005-0000-0000-0000CF0B0000}"/>
    <cellStyle name="Currency 5 2 2 3 2 3 3 2" xfId="22363" xr:uid="{F4D6AB86-678C-4052-82DA-A0D687A8865E}"/>
    <cellStyle name="Currency 5 2 2 3 2 3 3 3" xfId="13922" xr:uid="{32FE7417-CEBA-4BDE-811A-FCF59461B4EB}"/>
    <cellStyle name="Currency 5 2 2 3 2 3 4" xfId="18145" xr:uid="{3DC22028-9DCB-47F3-8FD1-94C7E9E900F4}"/>
    <cellStyle name="Currency 5 2 2 3 2 3 5" xfId="9704" xr:uid="{9D9118F2-5B2B-4488-B704-9D268F588831}"/>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2 2 2" xfId="24921" xr:uid="{BDCB482A-8DFA-4925-8866-791D0ABAD2FF}"/>
    <cellStyle name="Currency 5 2 2 3 2 4 2 2 3" xfId="16480" xr:uid="{E9C14134-53C0-4C28-B26A-33AC1FE0AB2A}"/>
    <cellStyle name="Currency 5 2 2 3 2 4 2 3" xfId="20703" xr:uid="{B04AAD66-B2B9-462A-A4C7-9AB2366B43C0}"/>
    <cellStyle name="Currency 5 2 2 3 2 4 2 4" xfId="12262" xr:uid="{C187C9E3-96D7-4016-8580-B87EFC8569AA}"/>
    <cellStyle name="Currency 5 2 2 3 2 4 3" xfId="5885" xr:uid="{00000000-0005-0000-0000-0000D30B0000}"/>
    <cellStyle name="Currency 5 2 2 3 2 4 3 2" xfId="22776" xr:uid="{2C4ECEAD-4EA3-454A-9666-B0B9DF3EFC51}"/>
    <cellStyle name="Currency 5 2 2 3 2 4 3 3" xfId="14335" xr:uid="{8294D585-ACF7-4564-9A96-BCFF1937D274}"/>
    <cellStyle name="Currency 5 2 2 3 2 4 4" xfId="18558" xr:uid="{D5FD4490-B8A5-41FB-ABED-DB23F615049A}"/>
    <cellStyle name="Currency 5 2 2 3 2 4 5" xfId="10117" xr:uid="{FDD1A973-4900-45A3-9FE3-F930D602705F}"/>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2 2 2" xfId="25334" xr:uid="{1BB97F32-4FD8-4E24-BD9E-3245015DA0F1}"/>
    <cellStyle name="Currency 5 2 2 3 2 5 2 2 3" xfId="16893" xr:uid="{9ED0CF41-BFDE-4935-BD28-A829A5EE019D}"/>
    <cellStyle name="Currency 5 2 2 3 2 5 2 3" xfId="21116" xr:uid="{53B53BF0-0D1B-40F6-8376-D4AE7308A277}"/>
    <cellStyle name="Currency 5 2 2 3 2 5 2 4" xfId="12675" xr:uid="{22CF333E-C0DF-4289-8103-3BE9AF37ED74}"/>
    <cellStyle name="Currency 5 2 2 3 2 5 3" xfId="6298" xr:uid="{00000000-0005-0000-0000-0000D70B0000}"/>
    <cellStyle name="Currency 5 2 2 3 2 5 3 2" xfId="23189" xr:uid="{A73946FC-E0E9-438C-977F-6EED5F8BE8DA}"/>
    <cellStyle name="Currency 5 2 2 3 2 5 3 3" xfId="14748" xr:uid="{C1001699-768C-4499-A413-96F10AAB12C4}"/>
    <cellStyle name="Currency 5 2 2 3 2 5 4" xfId="18971" xr:uid="{069FDD9D-E359-4E78-BD83-20D8005DF9B1}"/>
    <cellStyle name="Currency 5 2 2 3 2 5 5" xfId="10530" xr:uid="{CAA43183-C95C-44A4-B2A9-C73939AF5AEC}"/>
    <cellStyle name="Currency 5 2 2 3 2 6" xfId="2427" xr:uid="{00000000-0005-0000-0000-0000D80B0000}"/>
    <cellStyle name="Currency 5 2 2 3 2 6 2" xfId="6711" xr:uid="{00000000-0005-0000-0000-0000D90B0000}"/>
    <cellStyle name="Currency 5 2 2 3 2 6 2 2" xfId="23602" xr:uid="{28B537D2-E6FE-46A1-87C7-38C262E282E6}"/>
    <cellStyle name="Currency 5 2 2 3 2 6 2 3" xfId="15161" xr:uid="{E22BC204-234F-4EFF-9969-9DCC833D30F3}"/>
    <cellStyle name="Currency 5 2 2 3 2 6 3" xfId="19384" xr:uid="{93FACD7D-9743-4C72-846E-01231CD31E9B}"/>
    <cellStyle name="Currency 5 2 2 3 2 6 4" xfId="10943" xr:uid="{E6D037DD-A970-450B-A7B2-E211D4374006}"/>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8 2 2" xfId="23919" xr:uid="{6AD561E1-C873-4733-BB13-04F06ABF7905}"/>
    <cellStyle name="Currency 5 2 2 3 2 8 2 3" xfId="15478" xr:uid="{18AA7967-EB2C-49ED-A5CC-935915CF62BE}"/>
    <cellStyle name="Currency 5 2 2 3 2 8 3" xfId="19701" xr:uid="{49C4B897-19D0-4D79-8BA4-6E606DFF83F7}"/>
    <cellStyle name="Currency 5 2 2 3 2 8 4" xfId="11260" xr:uid="{93AD7D10-DBD8-4228-AE5F-F91C78E7050B}"/>
    <cellStyle name="Currency 5 2 2 3 2 9" xfId="4645" xr:uid="{00000000-0005-0000-0000-0000DD0B0000}"/>
    <cellStyle name="Currency 5 2 2 3 2 9 2" xfId="21536" xr:uid="{97FAAB56-31A6-4EA8-A5DA-AC96C9AF0453}"/>
    <cellStyle name="Currency 5 2 2 3 2 9 3" xfId="13095" xr:uid="{E8AF3D5D-1257-4767-B35B-163F1C2A0EB2}"/>
    <cellStyle name="Currency 5 2 2 3 3" xfId="727" xr:uid="{00000000-0005-0000-0000-0000DE0B0000}"/>
    <cellStyle name="Currency 5 2 2 3 3 2" xfId="2981" xr:uid="{00000000-0005-0000-0000-0000DF0B0000}"/>
    <cellStyle name="Currency 5 2 2 3 3 2 2" xfId="7203" xr:uid="{00000000-0005-0000-0000-0000E00B0000}"/>
    <cellStyle name="Currency 5 2 2 3 3 2 2 2" xfId="24094" xr:uid="{B793AA03-1D70-48B2-AB8B-0260711D6379}"/>
    <cellStyle name="Currency 5 2 2 3 3 2 2 3" xfId="15653" xr:uid="{313432C6-90AB-4B3F-9F5B-9FC47565B1CB}"/>
    <cellStyle name="Currency 5 2 2 3 3 2 3" xfId="19876" xr:uid="{1C06160C-260E-4517-ADF7-611CE2C82876}"/>
    <cellStyle name="Currency 5 2 2 3 3 2 4" xfId="11435" xr:uid="{23E36D76-441B-41AC-950F-F2E5C57B4C88}"/>
    <cellStyle name="Currency 5 2 2 3 3 3" xfId="5058" xr:uid="{00000000-0005-0000-0000-0000E10B0000}"/>
    <cellStyle name="Currency 5 2 2 3 3 3 2" xfId="21949" xr:uid="{02AB9773-D0BF-4AAE-882D-BEAAF29E111A}"/>
    <cellStyle name="Currency 5 2 2 3 3 3 3" xfId="13508" xr:uid="{B03D57AD-3F04-4AC2-B427-A3AC655E1E30}"/>
    <cellStyle name="Currency 5 2 2 3 3 4" xfId="17731" xr:uid="{8FA7F6D7-AFD1-403A-9DFC-66903E0D7191}"/>
    <cellStyle name="Currency 5 2 2 3 3 5" xfId="9290" xr:uid="{7CFE1970-1CDF-4AA7-875B-3261EDCE4771}"/>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2 2 2" xfId="24507" xr:uid="{38F452AC-8E64-4540-AB21-74CB76DF0387}"/>
    <cellStyle name="Currency 5 2 2 3 4 2 2 3" xfId="16066" xr:uid="{4ED86247-33FC-4C23-B59C-181D4B66A315}"/>
    <cellStyle name="Currency 5 2 2 3 4 2 3" xfId="20289" xr:uid="{59ECEE81-EB9B-4485-82CE-42C487EA767A}"/>
    <cellStyle name="Currency 5 2 2 3 4 2 4" xfId="11848" xr:uid="{D9F7E01B-FCFE-4C34-8DF1-6CFDAA1C7218}"/>
    <cellStyle name="Currency 5 2 2 3 4 3" xfId="5471" xr:uid="{00000000-0005-0000-0000-0000E50B0000}"/>
    <cellStyle name="Currency 5 2 2 3 4 3 2" xfId="22362" xr:uid="{E17C4A6F-776D-4142-AC27-8B175378AD2F}"/>
    <cellStyle name="Currency 5 2 2 3 4 3 3" xfId="13921" xr:uid="{B9570ED4-B89E-4010-B0A1-6633DC8256C6}"/>
    <cellStyle name="Currency 5 2 2 3 4 4" xfId="18144" xr:uid="{9B3C006A-B610-4CD5-A7D1-0870DA7EBEEF}"/>
    <cellStyle name="Currency 5 2 2 3 4 5" xfId="9703" xr:uid="{BEC9DC1E-85AF-4629-B059-600B2BAB5EF7}"/>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2 2 2" xfId="24920" xr:uid="{C3BF0B7D-6E89-4830-8658-4B0F46A76BE2}"/>
    <cellStyle name="Currency 5 2 2 3 5 2 2 3" xfId="16479" xr:uid="{779727F0-AFE6-4407-A47C-9F85EB13404C}"/>
    <cellStyle name="Currency 5 2 2 3 5 2 3" xfId="20702" xr:uid="{7C97617E-E699-48F5-8801-34C12F076E88}"/>
    <cellStyle name="Currency 5 2 2 3 5 2 4" xfId="12261" xr:uid="{F195E72C-99E0-4718-916A-1714F419BAAB}"/>
    <cellStyle name="Currency 5 2 2 3 5 3" xfId="5884" xr:uid="{00000000-0005-0000-0000-0000E90B0000}"/>
    <cellStyle name="Currency 5 2 2 3 5 3 2" xfId="22775" xr:uid="{88340CD5-4863-48A5-878A-57250A3A1497}"/>
    <cellStyle name="Currency 5 2 2 3 5 3 3" xfId="14334" xr:uid="{A700AAA8-C3E0-471A-B120-A90EEA252D8D}"/>
    <cellStyle name="Currency 5 2 2 3 5 4" xfId="18557" xr:uid="{96422330-CE30-4FB6-97BA-5A00040B5821}"/>
    <cellStyle name="Currency 5 2 2 3 5 5" xfId="10116" xr:uid="{F33A2193-186D-4B87-AAE2-CA373669EE7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2 2 2" xfId="25333" xr:uid="{25A476FA-4F65-4363-918C-9BD3F4E65E9E}"/>
    <cellStyle name="Currency 5 2 2 3 6 2 2 3" xfId="16892" xr:uid="{A8A07DF8-2D5A-4C68-B03E-8887E2161475}"/>
    <cellStyle name="Currency 5 2 2 3 6 2 3" xfId="21115" xr:uid="{22555B9F-3347-42ED-AD02-BD4B7B4CB96A}"/>
    <cellStyle name="Currency 5 2 2 3 6 2 4" xfId="12674" xr:uid="{772638B3-6E20-434A-83B6-FAA8FBCDECA0}"/>
    <cellStyle name="Currency 5 2 2 3 6 3" xfId="6297" xr:uid="{00000000-0005-0000-0000-0000ED0B0000}"/>
    <cellStyle name="Currency 5 2 2 3 6 3 2" xfId="23188" xr:uid="{D27173F7-EB26-491B-B608-72F546D1ACA7}"/>
    <cellStyle name="Currency 5 2 2 3 6 3 3" xfId="14747" xr:uid="{9CE76B25-C9C6-41CF-AC6B-C277E832BA65}"/>
    <cellStyle name="Currency 5 2 2 3 6 4" xfId="18970" xr:uid="{AF0B7A96-F64E-4746-8E88-CE7EA749C462}"/>
    <cellStyle name="Currency 5 2 2 3 6 5" xfId="10529" xr:uid="{CF26F258-17A7-47C2-A9D4-234616977D69}"/>
    <cellStyle name="Currency 5 2 2 3 7" xfId="2426" xr:uid="{00000000-0005-0000-0000-0000EE0B0000}"/>
    <cellStyle name="Currency 5 2 2 3 7 2" xfId="6710" xr:uid="{00000000-0005-0000-0000-0000EF0B0000}"/>
    <cellStyle name="Currency 5 2 2 3 7 2 2" xfId="23601" xr:uid="{2C9EEFDF-DA03-449F-B08E-D11BA7A93A9C}"/>
    <cellStyle name="Currency 5 2 2 3 7 2 3" xfId="15160" xr:uid="{6087444E-C44B-43CF-B6B8-BA5505A32030}"/>
    <cellStyle name="Currency 5 2 2 3 7 3" xfId="19383" xr:uid="{7D072EBF-DD01-4A42-A0F1-6F95EC5B32E6}"/>
    <cellStyle name="Currency 5 2 2 3 7 4" xfId="10942" xr:uid="{9D53F92E-8BBD-498F-BA2F-CE0575196239}"/>
    <cellStyle name="Currency 5 2 2 3 8" xfId="2723" xr:uid="{00000000-0005-0000-0000-0000F00B0000}"/>
    <cellStyle name="Currency 5 2 2 3 9" xfId="2804" xr:uid="{00000000-0005-0000-0000-0000F10B0000}"/>
    <cellStyle name="Currency 5 2 2 3 9 2" xfId="7027" xr:uid="{00000000-0005-0000-0000-0000F20B0000}"/>
    <cellStyle name="Currency 5 2 2 3 9 2 2" xfId="23918" xr:uid="{DED9A8D1-844E-4874-82F1-CB94BE7B8CD2}"/>
    <cellStyle name="Currency 5 2 2 3 9 2 3" xfId="15477" xr:uid="{1DFF54F3-97EA-4B10-BFD3-C2AD402B4CBA}"/>
    <cellStyle name="Currency 5 2 2 3 9 3" xfId="19700" xr:uid="{F43CBC56-9680-4134-AA2E-8A23EDC68057}"/>
    <cellStyle name="Currency 5 2 2 3 9 4" xfId="11259" xr:uid="{3BFA47AA-E5D1-4603-B9DD-99620FC3C2FC}"/>
    <cellStyle name="Currency 5 2 2 4" xfId="202" xr:uid="{00000000-0005-0000-0000-0000F30B0000}"/>
    <cellStyle name="Currency 5 2 2 4 10" xfId="17319" xr:uid="{7706C374-85BA-4A32-93F8-F580F6A716F9}"/>
    <cellStyle name="Currency 5 2 2 4 11" xfId="8878" xr:uid="{312E713C-BFC5-48F2-A37F-264D1390A41D}"/>
    <cellStyle name="Currency 5 2 2 4 2" xfId="729" xr:uid="{00000000-0005-0000-0000-0000F40B0000}"/>
    <cellStyle name="Currency 5 2 2 4 2 2" xfId="2983" xr:uid="{00000000-0005-0000-0000-0000F50B0000}"/>
    <cellStyle name="Currency 5 2 2 4 2 2 2" xfId="7205" xr:uid="{00000000-0005-0000-0000-0000F60B0000}"/>
    <cellStyle name="Currency 5 2 2 4 2 2 2 2" xfId="24096" xr:uid="{4298F1A6-D4BF-483D-92EE-8533A6721B71}"/>
    <cellStyle name="Currency 5 2 2 4 2 2 2 3" xfId="15655" xr:uid="{FE8A9A8C-F099-4830-9D59-F309EA49B565}"/>
    <cellStyle name="Currency 5 2 2 4 2 2 3" xfId="19878" xr:uid="{7F415B40-B7DE-4776-BC1E-F5BB337BF670}"/>
    <cellStyle name="Currency 5 2 2 4 2 2 4" xfId="11437" xr:uid="{021B79D5-BA8F-4C3B-AAC5-34AAF10C2D0F}"/>
    <cellStyle name="Currency 5 2 2 4 2 3" xfId="5060" xr:uid="{00000000-0005-0000-0000-0000F70B0000}"/>
    <cellStyle name="Currency 5 2 2 4 2 3 2" xfId="21951" xr:uid="{DCE2DDE9-8396-4002-A770-3E1FC6B8BCAF}"/>
    <cellStyle name="Currency 5 2 2 4 2 3 3" xfId="13510" xr:uid="{0AFC83A7-6080-4B19-B263-7FEDEE26B9DF}"/>
    <cellStyle name="Currency 5 2 2 4 2 4" xfId="17733" xr:uid="{F59ACDE7-F51A-48F3-A909-25F39A0CCFCC}"/>
    <cellStyle name="Currency 5 2 2 4 2 5" xfId="9292" xr:uid="{C2283A87-F45B-4717-873D-1E169AA317CF}"/>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2 2 2" xfId="24509" xr:uid="{A3C9E186-61A5-48B7-A4C9-D223B9F1601E}"/>
    <cellStyle name="Currency 5 2 2 4 3 2 2 3" xfId="16068" xr:uid="{7C5F5727-B3FA-49A5-8599-132DF1DC6AB1}"/>
    <cellStyle name="Currency 5 2 2 4 3 2 3" xfId="20291" xr:uid="{14506650-D0B0-45CE-AF60-8A65EFDB47DC}"/>
    <cellStyle name="Currency 5 2 2 4 3 2 4" xfId="11850" xr:uid="{22119BD7-EC7D-4075-A4B4-D4B137FA58E8}"/>
    <cellStyle name="Currency 5 2 2 4 3 3" xfId="5473" xr:uid="{00000000-0005-0000-0000-0000FB0B0000}"/>
    <cellStyle name="Currency 5 2 2 4 3 3 2" xfId="22364" xr:uid="{DA8A0AFA-9126-4239-86ED-E855C0369D62}"/>
    <cellStyle name="Currency 5 2 2 4 3 3 3" xfId="13923" xr:uid="{A9D08944-16CE-41A2-A1F6-A908EEFB787F}"/>
    <cellStyle name="Currency 5 2 2 4 3 4" xfId="18146" xr:uid="{F905393A-0DFB-426D-B385-7209977DD733}"/>
    <cellStyle name="Currency 5 2 2 4 3 5" xfId="9705" xr:uid="{3FE796F7-EDD6-4764-BEF3-66F7B30A23A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2 2 2" xfId="24922" xr:uid="{B61A2266-013D-4A45-BE59-0627B37A0E98}"/>
    <cellStyle name="Currency 5 2 2 4 4 2 2 3" xfId="16481" xr:uid="{023292FA-0B87-4C1B-94BF-B379F2B7136B}"/>
    <cellStyle name="Currency 5 2 2 4 4 2 3" xfId="20704" xr:uid="{2BF59D09-B40E-4425-A641-7E5944FDFB38}"/>
    <cellStyle name="Currency 5 2 2 4 4 2 4" xfId="12263" xr:uid="{F111603A-A0B8-4A58-A60D-3EB2CCC97A7E}"/>
    <cellStyle name="Currency 5 2 2 4 4 3" xfId="5886" xr:uid="{00000000-0005-0000-0000-0000FF0B0000}"/>
    <cellStyle name="Currency 5 2 2 4 4 3 2" xfId="22777" xr:uid="{98D6E167-961D-4ACB-B428-416CB9AC6F5B}"/>
    <cellStyle name="Currency 5 2 2 4 4 3 3" xfId="14336" xr:uid="{6563B6B1-EB0F-4B50-965E-C3B2E0A3E223}"/>
    <cellStyle name="Currency 5 2 2 4 4 4" xfId="18559" xr:uid="{B3E9C4B5-2E87-4B39-B055-F14D3B8EAC30}"/>
    <cellStyle name="Currency 5 2 2 4 4 5" xfId="10118" xr:uid="{EE42BE51-5D7E-4474-9532-73E29E9A9CDC}"/>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2 2 2" xfId="25335" xr:uid="{296A7C3D-680E-4267-889B-5B18265F5872}"/>
    <cellStyle name="Currency 5 2 2 4 5 2 2 3" xfId="16894" xr:uid="{2A7D8E99-A86B-490B-8911-3377F4CE5936}"/>
    <cellStyle name="Currency 5 2 2 4 5 2 3" xfId="21117" xr:uid="{8DBE3D10-9323-4DB5-A169-9F298B404A5E}"/>
    <cellStyle name="Currency 5 2 2 4 5 2 4" xfId="12676" xr:uid="{AAD77B9E-E378-4B0C-AF7B-B376015CC171}"/>
    <cellStyle name="Currency 5 2 2 4 5 3" xfId="6299" xr:uid="{00000000-0005-0000-0000-0000030C0000}"/>
    <cellStyle name="Currency 5 2 2 4 5 3 2" xfId="23190" xr:uid="{7AC2CF38-CABE-4B4B-9781-F2F82A99E471}"/>
    <cellStyle name="Currency 5 2 2 4 5 3 3" xfId="14749" xr:uid="{99C5C190-A363-4EB2-8179-5773FE68250D}"/>
    <cellStyle name="Currency 5 2 2 4 5 4" xfId="18972" xr:uid="{66D65452-5480-423C-83C1-F4F3E834C207}"/>
    <cellStyle name="Currency 5 2 2 4 5 5" xfId="10531" xr:uid="{C49C539C-9878-49DF-8653-456DA2664AC3}"/>
    <cellStyle name="Currency 5 2 2 4 6" xfId="2428" xr:uid="{00000000-0005-0000-0000-0000040C0000}"/>
    <cellStyle name="Currency 5 2 2 4 6 2" xfId="6712" xr:uid="{00000000-0005-0000-0000-0000050C0000}"/>
    <cellStyle name="Currency 5 2 2 4 6 2 2" xfId="23603" xr:uid="{29A38D90-CD5A-4336-91DD-147B091AD8C0}"/>
    <cellStyle name="Currency 5 2 2 4 6 2 3" xfId="15162" xr:uid="{EF282EA4-4288-41BE-B53E-3C4F6530C5C5}"/>
    <cellStyle name="Currency 5 2 2 4 6 3" xfId="19385" xr:uid="{780529BF-D0C2-4320-A05E-0361D4CB905E}"/>
    <cellStyle name="Currency 5 2 2 4 6 4" xfId="10944" xr:uid="{62619B06-80B5-4677-943C-901408348DA8}"/>
    <cellStyle name="Currency 5 2 2 4 7" xfId="2725" xr:uid="{00000000-0005-0000-0000-0000060C0000}"/>
    <cellStyle name="Currency 5 2 2 4 8" xfId="2806" xr:uid="{00000000-0005-0000-0000-0000070C0000}"/>
    <cellStyle name="Currency 5 2 2 4 8 2" xfId="7029" xr:uid="{00000000-0005-0000-0000-0000080C0000}"/>
    <cellStyle name="Currency 5 2 2 4 8 2 2" xfId="23920" xr:uid="{3BC049A1-5442-4E5F-95E3-84263FB35AF5}"/>
    <cellStyle name="Currency 5 2 2 4 8 2 3" xfId="15479" xr:uid="{1F63D367-E486-4F66-8CFE-3FAAB52A6BB6}"/>
    <cellStyle name="Currency 5 2 2 4 8 3" xfId="19702" xr:uid="{94E73D71-AB5D-482E-9015-5C9B1570CAD0}"/>
    <cellStyle name="Currency 5 2 2 4 8 4" xfId="11261" xr:uid="{A81FB34D-2F3E-42E5-A909-D250152A7291}"/>
    <cellStyle name="Currency 5 2 2 4 9" xfId="4646" xr:uid="{00000000-0005-0000-0000-0000090C0000}"/>
    <cellStyle name="Currency 5 2 2 4 9 2" xfId="21537" xr:uid="{36F14B01-9760-4BFB-9F08-77504CF5C3A2}"/>
    <cellStyle name="Currency 5 2 2 4 9 3" xfId="13096" xr:uid="{A229C81A-E134-432D-8FA5-E315621F85DE}"/>
    <cellStyle name="Currency 5 2 2 5" xfId="203" xr:uid="{00000000-0005-0000-0000-00000A0C0000}"/>
    <cellStyle name="Currency 5 2 2 5 10" xfId="17320" xr:uid="{9EDDA1FB-68A2-4C50-99A2-30A03683F409}"/>
    <cellStyle name="Currency 5 2 2 5 11" xfId="8879" xr:uid="{5ECB861A-736A-49A5-969D-503829514055}"/>
    <cellStyle name="Currency 5 2 2 5 2" xfId="730" xr:uid="{00000000-0005-0000-0000-00000B0C0000}"/>
    <cellStyle name="Currency 5 2 2 5 2 2" xfId="2984" xr:uid="{00000000-0005-0000-0000-00000C0C0000}"/>
    <cellStyle name="Currency 5 2 2 5 2 2 2" xfId="7206" xr:uid="{00000000-0005-0000-0000-00000D0C0000}"/>
    <cellStyle name="Currency 5 2 2 5 2 2 2 2" xfId="24097" xr:uid="{74614E13-C644-4D93-9439-539EDCAAE7C9}"/>
    <cellStyle name="Currency 5 2 2 5 2 2 2 3" xfId="15656" xr:uid="{F779358A-A92C-4944-BBDF-66ABD867F951}"/>
    <cellStyle name="Currency 5 2 2 5 2 2 3" xfId="19879" xr:uid="{D03F8B5D-1B54-4535-B3E7-1DEF2E0AD982}"/>
    <cellStyle name="Currency 5 2 2 5 2 2 4" xfId="11438" xr:uid="{7CA3A192-EC17-4241-8421-DE04435C5CC3}"/>
    <cellStyle name="Currency 5 2 2 5 2 3" xfId="5061" xr:uid="{00000000-0005-0000-0000-00000E0C0000}"/>
    <cellStyle name="Currency 5 2 2 5 2 3 2" xfId="21952" xr:uid="{A4A6F30B-A38F-4B2E-92A7-E0045021EB4F}"/>
    <cellStyle name="Currency 5 2 2 5 2 3 3" xfId="13511" xr:uid="{858A87B9-9272-4C53-9BB5-A32867872EEE}"/>
    <cellStyle name="Currency 5 2 2 5 2 4" xfId="17734" xr:uid="{9DAAF8A2-9897-45DD-A91A-FAD700661F21}"/>
    <cellStyle name="Currency 5 2 2 5 2 5" xfId="9293" xr:uid="{3D2BA398-89FB-42E3-992E-722C48813D12}"/>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2 2 2" xfId="24510" xr:uid="{A50547C6-AC16-4BCC-9241-13DB3664D2D1}"/>
    <cellStyle name="Currency 5 2 2 5 3 2 2 3" xfId="16069" xr:uid="{7AAA4D67-D3F7-43E4-B82D-9C5DE984C84E}"/>
    <cellStyle name="Currency 5 2 2 5 3 2 3" xfId="20292" xr:uid="{5D85A9A5-0FA5-45F5-9A81-E71198084342}"/>
    <cellStyle name="Currency 5 2 2 5 3 2 4" xfId="11851" xr:uid="{F71C1290-A764-4D73-82FD-45C6451E4936}"/>
    <cellStyle name="Currency 5 2 2 5 3 3" xfId="5474" xr:uid="{00000000-0005-0000-0000-0000120C0000}"/>
    <cellStyle name="Currency 5 2 2 5 3 3 2" xfId="22365" xr:uid="{6CF91B44-96B0-4CCB-8042-F572BA0BDA1E}"/>
    <cellStyle name="Currency 5 2 2 5 3 3 3" xfId="13924" xr:uid="{3D94B430-6181-4F2D-9210-82866AAFFF8D}"/>
    <cellStyle name="Currency 5 2 2 5 3 4" xfId="18147" xr:uid="{99654958-FFD5-4736-BBEC-3F8105D3609B}"/>
    <cellStyle name="Currency 5 2 2 5 3 5" xfId="9706" xr:uid="{141B4027-748B-4368-BFF6-BF7ACF6248F9}"/>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2 2 2" xfId="24923" xr:uid="{90AF314A-01D9-4258-9DA4-9E15349AE3C6}"/>
    <cellStyle name="Currency 5 2 2 5 4 2 2 3" xfId="16482" xr:uid="{DA21A6AE-E0B2-4C18-B9C0-165A516A1CA9}"/>
    <cellStyle name="Currency 5 2 2 5 4 2 3" xfId="20705" xr:uid="{C1D5DCD4-74D2-4FFC-B173-94F807C8B31D}"/>
    <cellStyle name="Currency 5 2 2 5 4 2 4" xfId="12264" xr:uid="{C27AF5C7-8135-4277-B57B-CD27D7B12C15}"/>
    <cellStyle name="Currency 5 2 2 5 4 3" xfId="5887" xr:uid="{00000000-0005-0000-0000-0000160C0000}"/>
    <cellStyle name="Currency 5 2 2 5 4 3 2" xfId="22778" xr:uid="{197A8131-90B6-4CE7-B2D4-019BEA9A2A4B}"/>
    <cellStyle name="Currency 5 2 2 5 4 3 3" xfId="14337" xr:uid="{78139613-0D63-4142-B268-CB25FC0B0FAC}"/>
    <cellStyle name="Currency 5 2 2 5 4 4" xfId="18560" xr:uid="{69EF11E7-FC9E-4CB2-8271-590E8AA1FA91}"/>
    <cellStyle name="Currency 5 2 2 5 4 5" xfId="10119" xr:uid="{39F42FE0-45C9-4308-A479-7FBB70DB4A73}"/>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2 2 2" xfId="25336" xr:uid="{129BFDCF-7833-41EC-BEC7-389CBD78D4AE}"/>
    <cellStyle name="Currency 5 2 2 5 5 2 2 3" xfId="16895" xr:uid="{F3E1A33A-BC0C-4F88-A68D-5048A09E66BF}"/>
    <cellStyle name="Currency 5 2 2 5 5 2 3" xfId="21118" xr:uid="{C37F4F55-8F1E-46D8-9E55-A06C024BBCA4}"/>
    <cellStyle name="Currency 5 2 2 5 5 2 4" xfId="12677" xr:uid="{3FFBF82D-62A4-4FC9-B17C-E39A7AF5BB15}"/>
    <cellStyle name="Currency 5 2 2 5 5 3" xfId="6300" xr:uid="{00000000-0005-0000-0000-00001A0C0000}"/>
    <cellStyle name="Currency 5 2 2 5 5 3 2" xfId="23191" xr:uid="{CD978DEE-C317-4515-9426-2829B2CA390D}"/>
    <cellStyle name="Currency 5 2 2 5 5 3 3" xfId="14750" xr:uid="{F749B392-B27C-45DE-AE90-C91B5F625607}"/>
    <cellStyle name="Currency 5 2 2 5 5 4" xfId="18973" xr:uid="{15C49DFB-FCCA-4CBB-9C19-BBAF846299F7}"/>
    <cellStyle name="Currency 5 2 2 5 5 5" xfId="10532" xr:uid="{251D0D0A-D880-4835-A4F9-F29139FF09C2}"/>
    <cellStyle name="Currency 5 2 2 5 6" xfId="2429" xr:uid="{00000000-0005-0000-0000-00001B0C0000}"/>
    <cellStyle name="Currency 5 2 2 5 6 2" xfId="6713" xr:uid="{00000000-0005-0000-0000-00001C0C0000}"/>
    <cellStyle name="Currency 5 2 2 5 6 2 2" xfId="23604" xr:uid="{55DA566E-7345-4D6D-B119-2BD488EBC04E}"/>
    <cellStyle name="Currency 5 2 2 5 6 2 3" xfId="15163" xr:uid="{D0010F9C-1708-48CB-8D2C-C39BB4402605}"/>
    <cellStyle name="Currency 5 2 2 5 6 3" xfId="19386" xr:uid="{1AC86501-61BA-4CA9-8297-C1AF0BD97865}"/>
    <cellStyle name="Currency 5 2 2 5 6 4" xfId="10945" xr:uid="{4FB1B41C-7FE9-43AE-8ADC-605066A8C140}"/>
    <cellStyle name="Currency 5 2 2 5 7" xfId="2726" xr:uid="{00000000-0005-0000-0000-00001D0C0000}"/>
    <cellStyle name="Currency 5 2 2 5 8" xfId="2807" xr:uid="{00000000-0005-0000-0000-00001E0C0000}"/>
    <cellStyle name="Currency 5 2 2 5 8 2" xfId="7030" xr:uid="{00000000-0005-0000-0000-00001F0C0000}"/>
    <cellStyle name="Currency 5 2 2 5 8 2 2" xfId="23921" xr:uid="{99AF9C71-31C0-40C3-A4D2-9948B50185A9}"/>
    <cellStyle name="Currency 5 2 2 5 8 2 3" xfId="15480" xr:uid="{18B5C046-E766-42A0-A821-0638ECDEF845}"/>
    <cellStyle name="Currency 5 2 2 5 8 3" xfId="19703" xr:uid="{9C966F02-FC5D-4D2A-A723-F172B4F5497A}"/>
    <cellStyle name="Currency 5 2 2 5 8 4" xfId="11262" xr:uid="{D96B7C8E-9B0C-4A60-B9A8-3B271D571A9B}"/>
    <cellStyle name="Currency 5 2 2 5 9" xfId="4647" xr:uid="{00000000-0005-0000-0000-0000200C0000}"/>
    <cellStyle name="Currency 5 2 2 5 9 2" xfId="21538" xr:uid="{48924E7E-1CD7-4BDD-8CAB-8BD38ADA4B7E}"/>
    <cellStyle name="Currency 5 2 2 5 9 3" xfId="13097" xr:uid="{5CF3A464-B27B-4A28-ABE0-5C826D494FEF}"/>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10 2" xfId="21539" xr:uid="{C2C56BC5-C512-4A68-9A44-508A7F02A1E5}"/>
    <cellStyle name="Currency 5 2 4 10 3" xfId="13098" xr:uid="{48029FDC-BCD3-43C9-B0D0-4937CCC1C2B9}"/>
    <cellStyle name="Currency 5 2 4 11" xfId="17321" xr:uid="{B2B675CE-FA97-4913-9403-66EB7F0AD961}"/>
    <cellStyle name="Currency 5 2 4 12" xfId="8880" xr:uid="{192B383B-3068-4255-AD0E-2EA2E26311A1}"/>
    <cellStyle name="Currency 5 2 4 2" xfId="206" xr:uid="{00000000-0005-0000-0000-0000250C0000}"/>
    <cellStyle name="Currency 5 2 4 2 10" xfId="17322" xr:uid="{92E579F5-AB4F-460F-B657-0D21BE7173CE}"/>
    <cellStyle name="Currency 5 2 4 2 11" xfId="8881" xr:uid="{F4F309DF-AB1C-4F44-8398-14DA96548B3E}"/>
    <cellStyle name="Currency 5 2 4 2 2" xfId="733" xr:uid="{00000000-0005-0000-0000-0000260C0000}"/>
    <cellStyle name="Currency 5 2 4 2 2 2" xfId="2986" xr:uid="{00000000-0005-0000-0000-0000270C0000}"/>
    <cellStyle name="Currency 5 2 4 2 2 2 2" xfId="7208" xr:uid="{00000000-0005-0000-0000-0000280C0000}"/>
    <cellStyle name="Currency 5 2 4 2 2 2 2 2" xfId="24099" xr:uid="{0E3917D0-8A60-4D61-A34A-0D36968B8A73}"/>
    <cellStyle name="Currency 5 2 4 2 2 2 2 3" xfId="15658" xr:uid="{2610823B-B13E-409C-BBA2-437400046554}"/>
    <cellStyle name="Currency 5 2 4 2 2 2 3" xfId="19881" xr:uid="{16590EF1-B0E6-47FF-8F87-91360213E5FB}"/>
    <cellStyle name="Currency 5 2 4 2 2 2 4" xfId="11440" xr:uid="{41A20847-D0A5-48E2-AA48-B6E8C398B828}"/>
    <cellStyle name="Currency 5 2 4 2 2 3" xfId="5063" xr:uid="{00000000-0005-0000-0000-0000290C0000}"/>
    <cellStyle name="Currency 5 2 4 2 2 3 2" xfId="21954" xr:uid="{82A70773-04E5-4098-8275-9A73CD767FB0}"/>
    <cellStyle name="Currency 5 2 4 2 2 3 3" xfId="13513" xr:uid="{6F582627-5B59-4435-A508-EA6571FDD106}"/>
    <cellStyle name="Currency 5 2 4 2 2 4" xfId="17736" xr:uid="{2555ECD7-77D5-45AA-8096-607C892EFB83}"/>
    <cellStyle name="Currency 5 2 4 2 2 5" xfId="9295" xr:uid="{151C70AD-3D19-4614-ADF4-16D986F9EFE4}"/>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2 2 2" xfId="24512" xr:uid="{8F38FD75-BB33-4490-BD1D-5FC362B220CE}"/>
    <cellStyle name="Currency 5 2 4 2 3 2 2 3" xfId="16071" xr:uid="{FE0EFA50-B93A-4DDE-A521-30FDB1E23477}"/>
    <cellStyle name="Currency 5 2 4 2 3 2 3" xfId="20294" xr:uid="{4FF85FAA-DC44-4F7D-9F9D-435035DF4FE9}"/>
    <cellStyle name="Currency 5 2 4 2 3 2 4" xfId="11853" xr:uid="{EED71536-E088-4EC2-A3B0-95213C883F5F}"/>
    <cellStyle name="Currency 5 2 4 2 3 3" xfId="5476" xr:uid="{00000000-0005-0000-0000-00002D0C0000}"/>
    <cellStyle name="Currency 5 2 4 2 3 3 2" xfId="22367" xr:uid="{A38EF7E6-CCC5-4C47-901D-C0405F7C3052}"/>
    <cellStyle name="Currency 5 2 4 2 3 3 3" xfId="13926" xr:uid="{A032F638-09E7-44A8-A5CD-1CB53BF94592}"/>
    <cellStyle name="Currency 5 2 4 2 3 4" xfId="18149" xr:uid="{477F99C8-20A9-4E8A-A9EB-57B58CFC4756}"/>
    <cellStyle name="Currency 5 2 4 2 3 5" xfId="9708" xr:uid="{F88FA00A-9D3B-41E5-8CC8-9F6E95A05D81}"/>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2 2 2" xfId="24925" xr:uid="{6DEECC2F-AA0A-4EB1-934A-E04118BA481A}"/>
    <cellStyle name="Currency 5 2 4 2 4 2 2 3" xfId="16484" xr:uid="{BFD03D2D-C0E3-4DD6-AC59-59555E8460F2}"/>
    <cellStyle name="Currency 5 2 4 2 4 2 3" xfId="20707" xr:uid="{5357BE3A-A92E-4A77-817D-A3B2922897E7}"/>
    <cellStyle name="Currency 5 2 4 2 4 2 4" xfId="12266" xr:uid="{21045E60-C40B-4B35-B3A9-50696BADCF72}"/>
    <cellStyle name="Currency 5 2 4 2 4 3" xfId="5889" xr:uid="{00000000-0005-0000-0000-0000310C0000}"/>
    <cellStyle name="Currency 5 2 4 2 4 3 2" xfId="22780" xr:uid="{B7387B9F-18C3-4C6D-91AE-FBC77978600F}"/>
    <cellStyle name="Currency 5 2 4 2 4 3 3" xfId="14339" xr:uid="{5F229474-3DB7-415D-AE89-6C4FBA5F3262}"/>
    <cellStyle name="Currency 5 2 4 2 4 4" xfId="18562" xr:uid="{B4C3F0EA-9D2C-403F-82E7-E91B21522970}"/>
    <cellStyle name="Currency 5 2 4 2 4 5" xfId="10121" xr:uid="{AB7774DE-824B-43D9-9FAB-C4E7755B062A}"/>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2 2 2" xfId="25338" xr:uid="{7D186BB7-4145-4622-BBF8-4DC5E99D5326}"/>
    <cellStyle name="Currency 5 2 4 2 5 2 2 3" xfId="16897" xr:uid="{896DD167-E014-4A15-8810-C19417DF0A1C}"/>
    <cellStyle name="Currency 5 2 4 2 5 2 3" xfId="21120" xr:uid="{8A6B7445-705C-4CF0-93F0-760CCCFC1993}"/>
    <cellStyle name="Currency 5 2 4 2 5 2 4" xfId="12679" xr:uid="{E6A77E9A-5293-486D-BE26-3D031900DFF4}"/>
    <cellStyle name="Currency 5 2 4 2 5 3" xfId="6302" xr:uid="{00000000-0005-0000-0000-0000350C0000}"/>
    <cellStyle name="Currency 5 2 4 2 5 3 2" xfId="23193" xr:uid="{47818679-13AD-45BA-BD0F-D494AEDD1A22}"/>
    <cellStyle name="Currency 5 2 4 2 5 3 3" xfId="14752" xr:uid="{3A7A7401-FE54-497D-AF4B-59FA9F2B7447}"/>
    <cellStyle name="Currency 5 2 4 2 5 4" xfId="18975" xr:uid="{AB10DEC5-EE0E-40C3-B7F9-E95D51A5E6F2}"/>
    <cellStyle name="Currency 5 2 4 2 5 5" xfId="10534" xr:uid="{BA939DD4-6FE6-4628-8459-B728BF52B1C3}"/>
    <cellStyle name="Currency 5 2 4 2 6" xfId="2431" xr:uid="{00000000-0005-0000-0000-0000360C0000}"/>
    <cellStyle name="Currency 5 2 4 2 6 2" xfId="6715" xr:uid="{00000000-0005-0000-0000-0000370C0000}"/>
    <cellStyle name="Currency 5 2 4 2 6 2 2" xfId="23606" xr:uid="{5C6D1DD1-32F6-48AC-B306-9848614DD071}"/>
    <cellStyle name="Currency 5 2 4 2 6 2 3" xfId="15165" xr:uid="{54C363F6-3A17-4A94-9F18-C04E738B7E88}"/>
    <cellStyle name="Currency 5 2 4 2 6 3" xfId="19388" xr:uid="{E14A87F9-2855-4051-9B05-2B615E558F31}"/>
    <cellStyle name="Currency 5 2 4 2 6 4" xfId="10947" xr:uid="{194BC1A4-AED0-4411-86E0-4CC920520048}"/>
    <cellStyle name="Currency 5 2 4 2 7" xfId="2728" xr:uid="{00000000-0005-0000-0000-0000380C0000}"/>
    <cellStyle name="Currency 5 2 4 2 8" xfId="2809" xr:uid="{00000000-0005-0000-0000-0000390C0000}"/>
    <cellStyle name="Currency 5 2 4 2 8 2" xfId="7032" xr:uid="{00000000-0005-0000-0000-00003A0C0000}"/>
    <cellStyle name="Currency 5 2 4 2 8 2 2" xfId="23923" xr:uid="{5B0A1643-EEFF-41F7-BD34-34F5465FCD33}"/>
    <cellStyle name="Currency 5 2 4 2 8 2 3" xfId="15482" xr:uid="{997E4266-6635-4063-BDBF-8C60269FC3A8}"/>
    <cellStyle name="Currency 5 2 4 2 8 3" xfId="19705" xr:uid="{9110A37D-AC20-4510-BB24-BE352A99C7EB}"/>
    <cellStyle name="Currency 5 2 4 2 8 4" xfId="11264" xr:uid="{1C5B341E-C84A-4BB3-948A-927439EBA5D7}"/>
    <cellStyle name="Currency 5 2 4 2 9" xfId="4649" xr:uid="{00000000-0005-0000-0000-00003B0C0000}"/>
    <cellStyle name="Currency 5 2 4 2 9 2" xfId="21540" xr:uid="{AC597226-C1F9-43B7-9ABC-6EECD50D20B7}"/>
    <cellStyle name="Currency 5 2 4 2 9 3" xfId="13099" xr:uid="{F9A8ABD2-A40E-48CD-AFB7-98B3C40C083E}"/>
    <cellStyle name="Currency 5 2 4 3" xfId="732" xr:uid="{00000000-0005-0000-0000-00003C0C0000}"/>
    <cellStyle name="Currency 5 2 4 3 2" xfId="2985" xr:uid="{00000000-0005-0000-0000-00003D0C0000}"/>
    <cellStyle name="Currency 5 2 4 3 2 2" xfId="7207" xr:uid="{00000000-0005-0000-0000-00003E0C0000}"/>
    <cellStyle name="Currency 5 2 4 3 2 2 2" xfId="24098" xr:uid="{FF088CDC-DD1E-4067-A717-A217454108BC}"/>
    <cellStyle name="Currency 5 2 4 3 2 2 3" xfId="15657" xr:uid="{EEEE70A0-0E88-4084-87AC-33312BC3D4F3}"/>
    <cellStyle name="Currency 5 2 4 3 2 3" xfId="19880" xr:uid="{D8867777-28EB-41C1-B8C7-E2E67D93B759}"/>
    <cellStyle name="Currency 5 2 4 3 2 4" xfId="11439" xr:uid="{1394D4D2-FE22-4443-A56C-1D1332A40A3A}"/>
    <cellStyle name="Currency 5 2 4 3 3" xfId="5062" xr:uid="{00000000-0005-0000-0000-00003F0C0000}"/>
    <cellStyle name="Currency 5 2 4 3 3 2" xfId="21953" xr:uid="{170A7A40-2EF3-4616-AC6E-BFBDB96E4D73}"/>
    <cellStyle name="Currency 5 2 4 3 3 3" xfId="13512" xr:uid="{91BE2B36-A409-452F-8CE8-6A87479F986C}"/>
    <cellStyle name="Currency 5 2 4 3 4" xfId="17735" xr:uid="{EB9FA89B-ABD3-432A-B038-95CC29DB7574}"/>
    <cellStyle name="Currency 5 2 4 3 5" xfId="9294" xr:uid="{1B04C9FC-45E6-400E-A350-BDFDB5397935}"/>
    <cellStyle name="Currency 5 2 4 4" xfId="1167" xr:uid="{00000000-0005-0000-0000-0000400C0000}"/>
    <cellStyle name="Currency 5 2 4 4 2" xfId="3398" xr:uid="{00000000-0005-0000-0000-0000410C0000}"/>
    <cellStyle name="Currency 5 2 4 4 2 2" xfId="7620" xr:uid="{00000000-0005-0000-0000-0000420C0000}"/>
    <cellStyle name="Currency 5 2 4 4 2 2 2" xfId="24511" xr:uid="{A4092DAB-45B0-4ECB-B7DD-A1C62242E2AA}"/>
    <cellStyle name="Currency 5 2 4 4 2 2 3" xfId="16070" xr:uid="{DF7BEDB2-3E7C-44C8-A631-7EF3C539F6C0}"/>
    <cellStyle name="Currency 5 2 4 4 2 3" xfId="20293" xr:uid="{9740B3E1-7DD3-49CD-8851-1E9EEA7E58C7}"/>
    <cellStyle name="Currency 5 2 4 4 2 4" xfId="11852" xr:uid="{40797F43-79B2-42D5-AB08-8F964615D133}"/>
    <cellStyle name="Currency 5 2 4 4 3" xfId="5475" xr:uid="{00000000-0005-0000-0000-0000430C0000}"/>
    <cellStyle name="Currency 5 2 4 4 3 2" xfId="22366" xr:uid="{C6FB5B61-1294-4BFA-B74F-5CC5D50F8AF6}"/>
    <cellStyle name="Currency 5 2 4 4 3 3" xfId="13925" xr:uid="{B5E983C8-F511-45DE-8427-3061AD012554}"/>
    <cellStyle name="Currency 5 2 4 4 4" xfId="18148" xr:uid="{4DDA849E-1080-46D0-A2B3-664526D13D02}"/>
    <cellStyle name="Currency 5 2 4 4 5" xfId="9707" xr:uid="{6F627166-9189-47AE-83F2-3E83FEF39A49}"/>
    <cellStyle name="Currency 5 2 4 5" xfId="1581" xr:uid="{00000000-0005-0000-0000-0000440C0000}"/>
    <cellStyle name="Currency 5 2 4 5 2" xfId="3811" xr:uid="{00000000-0005-0000-0000-0000450C0000}"/>
    <cellStyle name="Currency 5 2 4 5 2 2" xfId="8033" xr:uid="{00000000-0005-0000-0000-0000460C0000}"/>
    <cellStyle name="Currency 5 2 4 5 2 2 2" xfId="24924" xr:uid="{4590B23D-7329-44DB-B304-62BEC48A12E8}"/>
    <cellStyle name="Currency 5 2 4 5 2 2 3" xfId="16483" xr:uid="{AF6E7540-EA77-429D-B0EA-D7E09A978B09}"/>
    <cellStyle name="Currency 5 2 4 5 2 3" xfId="20706" xr:uid="{1F552170-F2A0-446C-B77B-204E06A8D27A}"/>
    <cellStyle name="Currency 5 2 4 5 2 4" xfId="12265" xr:uid="{81E25C09-5676-4DDB-AE10-0723E1D3813B}"/>
    <cellStyle name="Currency 5 2 4 5 3" xfId="5888" xr:uid="{00000000-0005-0000-0000-0000470C0000}"/>
    <cellStyle name="Currency 5 2 4 5 3 2" xfId="22779" xr:uid="{56720D34-8B78-495B-A0E5-7B4894D99567}"/>
    <cellStyle name="Currency 5 2 4 5 3 3" xfId="14338" xr:uid="{17272265-9491-459B-95A8-4622B4E9FCCC}"/>
    <cellStyle name="Currency 5 2 4 5 4" xfId="18561" xr:uid="{64DE378F-B35B-4972-BD00-FA30D4B504C4}"/>
    <cellStyle name="Currency 5 2 4 5 5" xfId="10120" xr:uid="{F5455877-3490-4DD2-BE50-C4FE0D0C2F2B}"/>
    <cellStyle name="Currency 5 2 4 6" xfId="1995" xr:uid="{00000000-0005-0000-0000-0000480C0000}"/>
    <cellStyle name="Currency 5 2 4 6 2" xfId="4224" xr:uid="{00000000-0005-0000-0000-0000490C0000}"/>
    <cellStyle name="Currency 5 2 4 6 2 2" xfId="8446" xr:uid="{00000000-0005-0000-0000-00004A0C0000}"/>
    <cellStyle name="Currency 5 2 4 6 2 2 2" xfId="25337" xr:uid="{61CA0CAB-18BF-45D8-9093-2594FE9C5005}"/>
    <cellStyle name="Currency 5 2 4 6 2 2 3" xfId="16896" xr:uid="{8AA5C706-A9FC-4E9D-853B-9CF4F0AF7CF2}"/>
    <cellStyle name="Currency 5 2 4 6 2 3" xfId="21119" xr:uid="{0869DA7A-0FF4-46E0-B9E4-D625BE4E8D37}"/>
    <cellStyle name="Currency 5 2 4 6 2 4" xfId="12678" xr:uid="{24F86814-41D1-46D3-ADD4-27C23EB5DCE1}"/>
    <cellStyle name="Currency 5 2 4 6 3" xfId="6301" xr:uid="{00000000-0005-0000-0000-00004B0C0000}"/>
    <cellStyle name="Currency 5 2 4 6 3 2" xfId="23192" xr:uid="{27F2A881-A153-4C76-B08E-E086DBF69BAB}"/>
    <cellStyle name="Currency 5 2 4 6 3 3" xfId="14751" xr:uid="{00954F0D-8E67-40D5-AD4A-68159EC2275B}"/>
    <cellStyle name="Currency 5 2 4 6 4" xfId="18974" xr:uid="{78197C62-3CB6-4940-98EE-72F9CA9D35F3}"/>
    <cellStyle name="Currency 5 2 4 6 5" xfId="10533" xr:uid="{F573F9EB-CA83-4A23-83DF-B198400D6CF8}"/>
    <cellStyle name="Currency 5 2 4 7" xfId="2430" xr:uid="{00000000-0005-0000-0000-00004C0C0000}"/>
    <cellStyle name="Currency 5 2 4 7 2" xfId="6714" xr:uid="{00000000-0005-0000-0000-00004D0C0000}"/>
    <cellStyle name="Currency 5 2 4 7 2 2" xfId="23605" xr:uid="{FE20C2D9-19B7-444F-9A13-20C575C9FCCE}"/>
    <cellStyle name="Currency 5 2 4 7 2 3" xfId="15164" xr:uid="{BE039B93-2621-404E-8A73-0AEA6B412703}"/>
    <cellStyle name="Currency 5 2 4 7 3" xfId="19387" xr:uid="{60B3F7E8-0081-42EC-AE26-A0AA96B40367}"/>
    <cellStyle name="Currency 5 2 4 7 4" xfId="10946" xr:uid="{1D2B95C9-D17B-4BFE-8B18-C37BF251F604}"/>
    <cellStyle name="Currency 5 2 4 8" xfId="2727" xr:uid="{00000000-0005-0000-0000-00004E0C0000}"/>
    <cellStyle name="Currency 5 2 4 9" xfId="2808" xr:uid="{00000000-0005-0000-0000-00004F0C0000}"/>
    <cellStyle name="Currency 5 2 4 9 2" xfId="7031" xr:uid="{00000000-0005-0000-0000-0000500C0000}"/>
    <cellStyle name="Currency 5 2 4 9 2 2" xfId="23922" xr:uid="{1061A1EB-8BBF-4A6A-9AF5-44FAA2517BC9}"/>
    <cellStyle name="Currency 5 2 4 9 2 3" xfId="15481" xr:uid="{45DAB664-012F-467A-9BB9-6400D559C153}"/>
    <cellStyle name="Currency 5 2 4 9 3" xfId="19704" xr:uid="{C83023D1-014E-481B-8F98-95FA60121986}"/>
    <cellStyle name="Currency 5 2 4 9 4" xfId="11263" xr:uid="{46744104-C554-4FA1-AD96-FBBA755CA6B7}"/>
    <cellStyle name="Currency 5 2 5" xfId="207" xr:uid="{00000000-0005-0000-0000-0000510C0000}"/>
    <cellStyle name="Currency 5 2 5 10" xfId="17323" xr:uid="{5CBCB2AB-0B05-49EF-8B67-5C3D2D387AAA}"/>
    <cellStyle name="Currency 5 2 5 11" xfId="8882" xr:uid="{3B1ADFEF-26A0-40C7-B6F2-2FCAFAC8EEA7}"/>
    <cellStyle name="Currency 5 2 5 2" xfId="734" xr:uid="{00000000-0005-0000-0000-0000520C0000}"/>
    <cellStyle name="Currency 5 2 5 2 2" xfId="2987" xr:uid="{00000000-0005-0000-0000-0000530C0000}"/>
    <cellStyle name="Currency 5 2 5 2 2 2" xfId="7209" xr:uid="{00000000-0005-0000-0000-0000540C0000}"/>
    <cellStyle name="Currency 5 2 5 2 2 2 2" xfId="24100" xr:uid="{6B645030-82A3-4C3B-B865-4A3E6DE2F811}"/>
    <cellStyle name="Currency 5 2 5 2 2 2 3" xfId="15659" xr:uid="{244BF4F3-5500-47D8-BD4A-7ED5446B982F}"/>
    <cellStyle name="Currency 5 2 5 2 2 3" xfId="19882" xr:uid="{7D979CA2-29C1-420F-AFCB-17BA9D96EA7D}"/>
    <cellStyle name="Currency 5 2 5 2 2 4" xfId="11441" xr:uid="{A0A522D8-6213-4C86-999D-A5C30DB78491}"/>
    <cellStyle name="Currency 5 2 5 2 3" xfId="5064" xr:uid="{00000000-0005-0000-0000-0000550C0000}"/>
    <cellStyle name="Currency 5 2 5 2 3 2" xfId="21955" xr:uid="{D04F5678-208A-4288-8B47-A807D20DE2CF}"/>
    <cellStyle name="Currency 5 2 5 2 3 3" xfId="13514" xr:uid="{9BAF658E-C7EF-4A3C-9208-62D3A48537D4}"/>
    <cellStyle name="Currency 5 2 5 2 4" xfId="17737" xr:uid="{68161394-A270-4A57-AD81-284B98AE36B0}"/>
    <cellStyle name="Currency 5 2 5 2 5" xfId="9296" xr:uid="{5431A5EB-A9DF-457C-A68C-7EA99ED64FAF}"/>
    <cellStyle name="Currency 5 2 5 3" xfId="1169" xr:uid="{00000000-0005-0000-0000-0000560C0000}"/>
    <cellStyle name="Currency 5 2 5 3 2" xfId="3400" xr:uid="{00000000-0005-0000-0000-0000570C0000}"/>
    <cellStyle name="Currency 5 2 5 3 2 2" xfId="7622" xr:uid="{00000000-0005-0000-0000-0000580C0000}"/>
    <cellStyle name="Currency 5 2 5 3 2 2 2" xfId="24513" xr:uid="{BAB2A1C9-BE1E-48BC-9099-A48F14CD6765}"/>
    <cellStyle name="Currency 5 2 5 3 2 2 3" xfId="16072" xr:uid="{6D7CC0E8-F294-4AF2-9375-378DFE966A2D}"/>
    <cellStyle name="Currency 5 2 5 3 2 3" xfId="20295" xr:uid="{5CA30256-7A5F-4F47-97AA-8EFA595F82BF}"/>
    <cellStyle name="Currency 5 2 5 3 2 4" xfId="11854" xr:uid="{F4EB3F89-4A90-4352-BA6D-461A54240C60}"/>
    <cellStyle name="Currency 5 2 5 3 3" xfId="5477" xr:uid="{00000000-0005-0000-0000-0000590C0000}"/>
    <cellStyle name="Currency 5 2 5 3 3 2" xfId="22368" xr:uid="{95F69274-F463-4285-8BA7-3BF77D416BAF}"/>
    <cellStyle name="Currency 5 2 5 3 3 3" xfId="13927" xr:uid="{329A012E-E67F-4B03-A5DA-83DD4C0CB430}"/>
    <cellStyle name="Currency 5 2 5 3 4" xfId="18150" xr:uid="{5E68BA37-DAED-4FAA-8234-ED93D54B0073}"/>
    <cellStyle name="Currency 5 2 5 3 5" xfId="9709" xr:uid="{EBC8C768-2AF8-49BC-ACBB-D79517FE4990}"/>
    <cellStyle name="Currency 5 2 5 4" xfId="1583" xr:uid="{00000000-0005-0000-0000-00005A0C0000}"/>
    <cellStyle name="Currency 5 2 5 4 2" xfId="3813" xr:uid="{00000000-0005-0000-0000-00005B0C0000}"/>
    <cellStyle name="Currency 5 2 5 4 2 2" xfId="8035" xr:uid="{00000000-0005-0000-0000-00005C0C0000}"/>
    <cellStyle name="Currency 5 2 5 4 2 2 2" xfId="24926" xr:uid="{545A563E-6B57-4824-BEC1-9F0E3E4964F2}"/>
    <cellStyle name="Currency 5 2 5 4 2 2 3" xfId="16485" xr:uid="{B841856F-4082-411E-AA8F-CBE496FCA6F4}"/>
    <cellStyle name="Currency 5 2 5 4 2 3" xfId="20708" xr:uid="{BACD00C9-5FC9-47B4-822D-234DF96B1E73}"/>
    <cellStyle name="Currency 5 2 5 4 2 4" xfId="12267" xr:uid="{E846D22A-CBBB-4157-9380-E3F4AD75079E}"/>
    <cellStyle name="Currency 5 2 5 4 3" xfId="5890" xr:uid="{00000000-0005-0000-0000-00005D0C0000}"/>
    <cellStyle name="Currency 5 2 5 4 3 2" xfId="22781" xr:uid="{637D0138-AA66-4267-A2D7-DB3EFD378A67}"/>
    <cellStyle name="Currency 5 2 5 4 3 3" xfId="14340" xr:uid="{36EAFE94-8CC8-4526-90C6-35FA484FEFC1}"/>
    <cellStyle name="Currency 5 2 5 4 4" xfId="18563" xr:uid="{DF128D1F-F054-4CD6-8883-D76A733E09F9}"/>
    <cellStyle name="Currency 5 2 5 4 5" xfId="10122" xr:uid="{9E7430BC-1435-44BC-B9FF-44FD8F440E32}"/>
    <cellStyle name="Currency 5 2 5 5" xfId="1997" xr:uid="{00000000-0005-0000-0000-00005E0C0000}"/>
    <cellStyle name="Currency 5 2 5 5 2" xfId="4226" xr:uid="{00000000-0005-0000-0000-00005F0C0000}"/>
    <cellStyle name="Currency 5 2 5 5 2 2" xfId="8448" xr:uid="{00000000-0005-0000-0000-0000600C0000}"/>
    <cellStyle name="Currency 5 2 5 5 2 2 2" xfId="25339" xr:uid="{509F0BCC-4BC3-4E1C-BD86-C8CE5A8DDA71}"/>
    <cellStyle name="Currency 5 2 5 5 2 2 3" xfId="16898" xr:uid="{A61068E9-A9CF-44CC-969E-D310E136EB0F}"/>
    <cellStyle name="Currency 5 2 5 5 2 3" xfId="21121" xr:uid="{C6B7C730-3516-4C12-B57D-047791376F3A}"/>
    <cellStyle name="Currency 5 2 5 5 2 4" xfId="12680" xr:uid="{13D8D171-B4CD-4F56-A2EA-8F011C595DD3}"/>
    <cellStyle name="Currency 5 2 5 5 3" xfId="6303" xr:uid="{00000000-0005-0000-0000-0000610C0000}"/>
    <cellStyle name="Currency 5 2 5 5 3 2" xfId="23194" xr:uid="{1359E283-F8F3-4718-8F9F-9AB1001D0A08}"/>
    <cellStyle name="Currency 5 2 5 5 3 3" xfId="14753" xr:uid="{5643D523-378A-411F-9E9E-A76B962CD569}"/>
    <cellStyle name="Currency 5 2 5 5 4" xfId="18976" xr:uid="{B320F484-76DE-475B-A496-78784C696409}"/>
    <cellStyle name="Currency 5 2 5 5 5" xfId="10535" xr:uid="{7D77E5BD-FF2F-4E6F-8CFF-A22DFCBBF958}"/>
    <cellStyle name="Currency 5 2 5 6" xfId="2432" xr:uid="{00000000-0005-0000-0000-0000620C0000}"/>
    <cellStyle name="Currency 5 2 5 6 2" xfId="6716" xr:uid="{00000000-0005-0000-0000-0000630C0000}"/>
    <cellStyle name="Currency 5 2 5 6 2 2" xfId="23607" xr:uid="{343158DB-C1FA-4DCC-98E7-AA5CAD87A9D3}"/>
    <cellStyle name="Currency 5 2 5 6 2 3" xfId="15166" xr:uid="{70EFEE37-98BC-42F6-BD09-C3BD54DDCE16}"/>
    <cellStyle name="Currency 5 2 5 6 3" xfId="19389" xr:uid="{602EB888-8C05-4000-98FE-BC699EF4F28F}"/>
    <cellStyle name="Currency 5 2 5 6 4" xfId="10948" xr:uid="{BDF7BF78-2D1F-4EC2-BB20-281C77D6DB3C}"/>
    <cellStyle name="Currency 5 2 5 7" xfId="2729" xr:uid="{00000000-0005-0000-0000-0000640C0000}"/>
    <cellStyle name="Currency 5 2 5 8" xfId="2810" xr:uid="{00000000-0005-0000-0000-0000650C0000}"/>
    <cellStyle name="Currency 5 2 5 8 2" xfId="7033" xr:uid="{00000000-0005-0000-0000-0000660C0000}"/>
    <cellStyle name="Currency 5 2 5 8 2 2" xfId="23924" xr:uid="{9B981D6C-BA75-4EED-B341-C27B675D3D8E}"/>
    <cellStyle name="Currency 5 2 5 8 2 3" xfId="15483" xr:uid="{379216D8-449C-45D4-8DDC-307342002962}"/>
    <cellStyle name="Currency 5 2 5 8 3" xfId="19706" xr:uid="{A883F2E1-2624-4552-A247-3A994E8D5310}"/>
    <cellStyle name="Currency 5 2 5 8 4" xfId="11265" xr:uid="{9599D558-2862-48C5-B7B1-F158E5E9BBA5}"/>
    <cellStyle name="Currency 5 2 5 9" xfId="4650" xr:uid="{00000000-0005-0000-0000-0000670C0000}"/>
    <cellStyle name="Currency 5 2 5 9 2" xfId="21541" xr:uid="{1A700970-BD0F-44F1-8E25-79FB5C20BBE2}"/>
    <cellStyle name="Currency 5 2 5 9 3" xfId="13100" xr:uid="{53B36A75-91A3-454F-A77C-F29E36C9A33D}"/>
    <cellStyle name="Currency 5 2 6" xfId="208" xr:uid="{00000000-0005-0000-0000-0000680C0000}"/>
    <cellStyle name="Currency 5 2 6 10" xfId="17324" xr:uid="{9575CB64-C573-49EC-A7D0-24688854239E}"/>
    <cellStyle name="Currency 5 2 6 11" xfId="8883" xr:uid="{0A8CDC80-B78D-44B5-9C86-551573B2816E}"/>
    <cellStyle name="Currency 5 2 6 2" xfId="735" xr:uid="{00000000-0005-0000-0000-0000690C0000}"/>
    <cellStyle name="Currency 5 2 6 2 2" xfId="2988" xr:uid="{00000000-0005-0000-0000-00006A0C0000}"/>
    <cellStyle name="Currency 5 2 6 2 2 2" xfId="7210" xr:uid="{00000000-0005-0000-0000-00006B0C0000}"/>
    <cellStyle name="Currency 5 2 6 2 2 2 2" xfId="24101" xr:uid="{C2250009-580B-4F2E-8D0B-7E49920F8BED}"/>
    <cellStyle name="Currency 5 2 6 2 2 2 3" xfId="15660" xr:uid="{FC706A9C-D598-48C4-B85D-65AB6BDEAD85}"/>
    <cellStyle name="Currency 5 2 6 2 2 3" xfId="19883" xr:uid="{FC743EA8-26D0-47B3-9D41-F98F7CFFC09E}"/>
    <cellStyle name="Currency 5 2 6 2 2 4" xfId="11442" xr:uid="{65E87637-6951-4D3C-AC78-EF67BCBAD2E7}"/>
    <cellStyle name="Currency 5 2 6 2 3" xfId="5065" xr:uid="{00000000-0005-0000-0000-00006C0C0000}"/>
    <cellStyle name="Currency 5 2 6 2 3 2" xfId="21956" xr:uid="{9E56D60E-A45C-49BE-9980-DD6B99C24AA6}"/>
    <cellStyle name="Currency 5 2 6 2 3 3" xfId="13515" xr:uid="{05EA7A1B-879F-4EAF-B5C6-F40F032D3614}"/>
    <cellStyle name="Currency 5 2 6 2 4" xfId="17738" xr:uid="{9A4C050A-5862-44A8-B3B1-09A2B77D89D5}"/>
    <cellStyle name="Currency 5 2 6 2 5" xfId="9297" xr:uid="{1EC75BBF-206F-4CA8-9773-F5B1C6361C55}"/>
    <cellStyle name="Currency 5 2 6 3" xfId="1170" xr:uid="{00000000-0005-0000-0000-00006D0C0000}"/>
    <cellStyle name="Currency 5 2 6 3 2" xfId="3401" xr:uid="{00000000-0005-0000-0000-00006E0C0000}"/>
    <cellStyle name="Currency 5 2 6 3 2 2" xfId="7623" xr:uid="{00000000-0005-0000-0000-00006F0C0000}"/>
    <cellStyle name="Currency 5 2 6 3 2 2 2" xfId="24514" xr:uid="{28178289-9B11-4966-BA12-6D406EF9B85A}"/>
    <cellStyle name="Currency 5 2 6 3 2 2 3" xfId="16073" xr:uid="{9A11078A-7F52-43CF-8426-328541C6A0D1}"/>
    <cellStyle name="Currency 5 2 6 3 2 3" xfId="20296" xr:uid="{C6DF2D3A-4A25-4DE5-8B22-35D3BCD94EF5}"/>
    <cellStyle name="Currency 5 2 6 3 2 4" xfId="11855" xr:uid="{A453B3F8-6B6E-4C44-B769-C060859B8543}"/>
    <cellStyle name="Currency 5 2 6 3 3" xfId="5478" xr:uid="{00000000-0005-0000-0000-0000700C0000}"/>
    <cellStyle name="Currency 5 2 6 3 3 2" xfId="22369" xr:uid="{9AB9DB66-24E2-476D-AEF4-754D7658D089}"/>
    <cellStyle name="Currency 5 2 6 3 3 3" xfId="13928" xr:uid="{DBED2935-598C-4330-A284-F5F642999148}"/>
    <cellStyle name="Currency 5 2 6 3 4" xfId="18151" xr:uid="{44D4A7F8-8668-444F-8408-77DCF8153916}"/>
    <cellStyle name="Currency 5 2 6 3 5" xfId="9710" xr:uid="{3642A82A-3335-440D-AE5F-6C62041E4956}"/>
    <cellStyle name="Currency 5 2 6 4" xfId="1584" xr:uid="{00000000-0005-0000-0000-0000710C0000}"/>
    <cellStyle name="Currency 5 2 6 4 2" xfId="3814" xr:uid="{00000000-0005-0000-0000-0000720C0000}"/>
    <cellStyle name="Currency 5 2 6 4 2 2" xfId="8036" xr:uid="{00000000-0005-0000-0000-0000730C0000}"/>
    <cellStyle name="Currency 5 2 6 4 2 2 2" xfId="24927" xr:uid="{E02AC71C-4AB9-4B20-8D8F-4FE1FEF686F4}"/>
    <cellStyle name="Currency 5 2 6 4 2 2 3" xfId="16486" xr:uid="{9813E0B1-F90A-4E13-ABC3-3741550ECFA3}"/>
    <cellStyle name="Currency 5 2 6 4 2 3" xfId="20709" xr:uid="{0A2D272A-8C7A-4517-8A6A-5021884F255A}"/>
    <cellStyle name="Currency 5 2 6 4 2 4" xfId="12268" xr:uid="{5695F89D-5562-4413-B900-ADE5E3667E8C}"/>
    <cellStyle name="Currency 5 2 6 4 3" xfId="5891" xr:uid="{00000000-0005-0000-0000-0000740C0000}"/>
    <cellStyle name="Currency 5 2 6 4 3 2" xfId="22782" xr:uid="{86EA76DC-8C1A-460F-AB64-2DBA13BC733C}"/>
    <cellStyle name="Currency 5 2 6 4 3 3" xfId="14341" xr:uid="{AC0F92DA-4DDC-4948-858D-23766368D83B}"/>
    <cellStyle name="Currency 5 2 6 4 4" xfId="18564" xr:uid="{69ABA590-14A5-4A1B-B9EA-68705F835605}"/>
    <cellStyle name="Currency 5 2 6 4 5" xfId="10123" xr:uid="{15472807-9F9A-41C5-9D41-925B01DDA238}"/>
    <cellStyle name="Currency 5 2 6 5" xfId="1998" xr:uid="{00000000-0005-0000-0000-0000750C0000}"/>
    <cellStyle name="Currency 5 2 6 5 2" xfId="4227" xr:uid="{00000000-0005-0000-0000-0000760C0000}"/>
    <cellStyle name="Currency 5 2 6 5 2 2" xfId="8449" xr:uid="{00000000-0005-0000-0000-0000770C0000}"/>
    <cellStyle name="Currency 5 2 6 5 2 2 2" xfId="25340" xr:uid="{84F4218B-B5E6-4234-8AC9-B8B17E938675}"/>
    <cellStyle name="Currency 5 2 6 5 2 2 3" xfId="16899" xr:uid="{8824293B-71A8-4E7B-B8D5-31712ACE39ED}"/>
    <cellStyle name="Currency 5 2 6 5 2 3" xfId="21122" xr:uid="{D4C3A799-E107-4134-B971-AD079FED3360}"/>
    <cellStyle name="Currency 5 2 6 5 2 4" xfId="12681" xr:uid="{FDFDCD7B-8729-49B1-8762-B00B24F6A313}"/>
    <cellStyle name="Currency 5 2 6 5 3" xfId="6304" xr:uid="{00000000-0005-0000-0000-0000780C0000}"/>
    <cellStyle name="Currency 5 2 6 5 3 2" xfId="23195" xr:uid="{951073CF-F7C2-461B-A5B5-C544C92CC3AD}"/>
    <cellStyle name="Currency 5 2 6 5 3 3" xfId="14754" xr:uid="{621A8328-994D-4A01-AF49-17AFE64B3770}"/>
    <cellStyle name="Currency 5 2 6 5 4" xfId="18977" xr:uid="{674BD75E-D0FA-4F31-B4D9-8BE3D8A28A92}"/>
    <cellStyle name="Currency 5 2 6 5 5" xfId="10536" xr:uid="{004B8763-654D-46B8-BC9A-F547E7B4C6F2}"/>
    <cellStyle name="Currency 5 2 6 6" xfId="2433" xr:uid="{00000000-0005-0000-0000-0000790C0000}"/>
    <cellStyle name="Currency 5 2 6 6 2" xfId="6717" xr:uid="{00000000-0005-0000-0000-00007A0C0000}"/>
    <cellStyle name="Currency 5 2 6 6 2 2" xfId="23608" xr:uid="{26D48208-4001-4743-8BB4-B058215DA205}"/>
    <cellStyle name="Currency 5 2 6 6 2 3" xfId="15167" xr:uid="{6830BA0F-25B8-40E8-B378-40686E193AF9}"/>
    <cellStyle name="Currency 5 2 6 6 3" xfId="19390" xr:uid="{A371E157-472B-4835-BA9D-E7FCC3FFC207}"/>
    <cellStyle name="Currency 5 2 6 6 4" xfId="10949" xr:uid="{886AEB0F-3525-492A-AF60-3DB992645802}"/>
    <cellStyle name="Currency 5 2 6 7" xfId="2730" xr:uid="{00000000-0005-0000-0000-00007B0C0000}"/>
    <cellStyle name="Currency 5 2 6 8" xfId="2811" xr:uid="{00000000-0005-0000-0000-00007C0C0000}"/>
    <cellStyle name="Currency 5 2 6 8 2" xfId="7034" xr:uid="{00000000-0005-0000-0000-00007D0C0000}"/>
    <cellStyle name="Currency 5 2 6 8 2 2" xfId="23925" xr:uid="{21692A5C-9889-46A1-9A14-9118723B95BB}"/>
    <cellStyle name="Currency 5 2 6 8 2 3" xfId="15484" xr:uid="{7244F159-0ACC-4308-A98B-39913007FDCC}"/>
    <cellStyle name="Currency 5 2 6 8 3" xfId="19707" xr:uid="{DB9F1EF7-3C0E-4B63-AB53-3AF53F92069E}"/>
    <cellStyle name="Currency 5 2 6 8 4" xfId="11266" xr:uid="{74D43A96-00CD-4467-94B2-A2D7F08D2A30}"/>
    <cellStyle name="Currency 5 2 6 9" xfId="4651" xr:uid="{00000000-0005-0000-0000-00007E0C0000}"/>
    <cellStyle name="Currency 5 2 6 9 2" xfId="21542" xr:uid="{426813CE-2C3F-492C-9F94-CCBA13F326F4}"/>
    <cellStyle name="Currency 5 2 6 9 3" xfId="13101" xr:uid="{7E45BDDB-C551-40B4-8403-34BEF3EAC97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0 2 2" xfId="23926" xr:uid="{43E5AC47-7E2F-4EFE-B8B3-4D377B68C2D9}"/>
    <cellStyle name="Currency 5 3 2 10 2 3" xfId="15485" xr:uid="{E793C379-6F73-4C73-872D-461F1ABC8F0A}"/>
    <cellStyle name="Currency 5 3 2 10 3" xfId="19708" xr:uid="{37AA6B0F-208D-407D-8817-BB874714ED1C}"/>
    <cellStyle name="Currency 5 3 2 10 4" xfId="11267" xr:uid="{06C6CA6D-F223-4D68-A4D8-8216CE5D9BF6}"/>
    <cellStyle name="Currency 5 3 2 11" xfId="4652" xr:uid="{00000000-0005-0000-0000-0000840C0000}"/>
    <cellStyle name="Currency 5 3 2 11 2" xfId="21543" xr:uid="{CBADBFBF-9E9F-4B29-97E8-A0E899A0E392}"/>
    <cellStyle name="Currency 5 3 2 11 3" xfId="13102" xr:uid="{991F257E-30F3-4679-98FD-771B43D898EE}"/>
    <cellStyle name="Currency 5 3 2 12" xfId="17325" xr:uid="{099D8CEF-5837-489D-A530-AA87FB0056CD}"/>
    <cellStyle name="Currency 5 3 2 13" xfId="8884" xr:uid="{AB7C221A-CE27-43B1-B548-5FAB0840E61F}"/>
    <cellStyle name="Currency 5 3 2 2" xfId="211" xr:uid="{00000000-0005-0000-0000-0000850C0000}"/>
    <cellStyle name="Currency 5 3 2 2 10" xfId="4653" xr:uid="{00000000-0005-0000-0000-0000860C0000}"/>
    <cellStyle name="Currency 5 3 2 2 10 2" xfId="21544" xr:uid="{D14A4783-A01A-4783-A1B8-380B45827AEA}"/>
    <cellStyle name="Currency 5 3 2 2 10 3" xfId="13103" xr:uid="{E10EDD07-3AA8-46B4-889D-FE3DFDE745D9}"/>
    <cellStyle name="Currency 5 3 2 2 11" xfId="17326" xr:uid="{B6109179-73CB-4F22-B798-3AE0A46E6A77}"/>
    <cellStyle name="Currency 5 3 2 2 12" xfId="8885" xr:uid="{CE246C1C-E7CE-4DEC-A23A-BDAEFE9A9BDC}"/>
    <cellStyle name="Currency 5 3 2 2 2" xfId="212" xr:uid="{00000000-0005-0000-0000-0000870C0000}"/>
    <cellStyle name="Currency 5 3 2 2 2 10" xfId="17327" xr:uid="{062C9ECA-B0F7-4F17-8904-78BDB7AC6803}"/>
    <cellStyle name="Currency 5 3 2 2 2 11" xfId="8886" xr:uid="{7E7B438E-8D22-45B7-931B-EBD9CDE80FF4}"/>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2 2 2" xfId="24104" xr:uid="{F3C40879-11FE-4988-AC07-952B961BB8E4}"/>
    <cellStyle name="Currency 5 3 2 2 2 2 2 2 3" xfId="15663" xr:uid="{FE8DF00B-16BF-49B7-B48A-A7920CB57577}"/>
    <cellStyle name="Currency 5 3 2 2 2 2 2 3" xfId="19886" xr:uid="{CD0AA2F0-6ABB-4A5D-AF6C-81CEDA887606}"/>
    <cellStyle name="Currency 5 3 2 2 2 2 2 4" xfId="11445" xr:uid="{8C39D8D3-A042-4469-892B-C62359AFF2FC}"/>
    <cellStyle name="Currency 5 3 2 2 2 2 3" xfId="5068" xr:uid="{00000000-0005-0000-0000-00008B0C0000}"/>
    <cellStyle name="Currency 5 3 2 2 2 2 3 2" xfId="21959" xr:uid="{3D49B383-F0D4-4D31-8320-E47D111BA978}"/>
    <cellStyle name="Currency 5 3 2 2 2 2 3 3" xfId="13518" xr:uid="{5B0B15AC-9BF3-4A25-BBFD-44DE71EF75B1}"/>
    <cellStyle name="Currency 5 3 2 2 2 2 4" xfId="17741" xr:uid="{25753B4B-1F22-4D5B-854F-608E1BBFEFDA}"/>
    <cellStyle name="Currency 5 3 2 2 2 2 5" xfId="9300" xr:uid="{7F316060-6712-4970-9CF0-35F318CAA5B7}"/>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2 2 2" xfId="24517" xr:uid="{E94DAB59-8C70-464F-9884-10E24A6C4ECD}"/>
    <cellStyle name="Currency 5 3 2 2 2 3 2 2 3" xfId="16076" xr:uid="{DD4ED1D7-1E78-438F-A1E9-A3C498D84F09}"/>
    <cellStyle name="Currency 5 3 2 2 2 3 2 3" xfId="20299" xr:uid="{2EE297B8-CA9D-48D9-97EB-72EC498B53C8}"/>
    <cellStyle name="Currency 5 3 2 2 2 3 2 4" xfId="11858" xr:uid="{9EE531EC-42F3-46B4-9742-D7FEF69E1B07}"/>
    <cellStyle name="Currency 5 3 2 2 2 3 3" xfId="5481" xr:uid="{00000000-0005-0000-0000-00008F0C0000}"/>
    <cellStyle name="Currency 5 3 2 2 2 3 3 2" xfId="22372" xr:uid="{9AB2BF80-0FC6-466B-9197-940A869080BF}"/>
    <cellStyle name="Currency 5 3 2 2 2 3 3 3" xfId="13931" xr:uid="{DEC22E73-576F-4AFA-8F4A-D69EB90848E0}"/>
    <cellStyle name="Currency 5 3 2 2 2 3 4" xfId="18154" xr:uid="{E266E215-5BFC-4146-973F-DE90CB7A45AA}"/>
    <cellStyle name="Currency 5 3 2 2 2 3 5" xfId="9713" xr:uid="{5B230549-42E2-4F7D-ACC4-9F8AB24A3C9E}"/>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2 2 2" xfId="24930" xr:uid="{6D3477B1-8D0F-4AB0-B15A-9610DD646927}"/>
    <cellStyle name="Currency 5 3 2 2 2 4 2 2 3" xfId="16489" xr:uid="{1BBAA294-C6FD-44B7-80DE-28C55DEB5F5B}"/>
    <cellStyle name="Currency 5 3 2 2 2 4 2 3" xfId="20712" xr:uid="{E5423861-9963-46A8-B3C4-C462C8DD9E04}"/>
    <cellStyle name="Currency 5 3 2 2 2 4 2 4" xfId="12271" xr:uid="{395A94E0-E89D-48BA-8A63-0D477E43A3E9}"/>
    <cellStyle name="Currency 5 3 2 2 2 4 3" xfId="5894" xr:uid="{00000000-0005-0000-0000-0000930C0000}"/>
    <cellStyle name="Currency 5 3 2 2 2 4 3 2" xfId="22785" xr:uid="{0964331F-D53B-4B5B-8251-62EC94058B94}"/>
    <cellStyle name="Currency 5 3 2 2 2 4 3 3" xfId="14344" xr:uid="{D1B0BAC5-BBC7-4EA0-82E0-46D57F29A286}"/>
    <cellStyle name="Currency 5 3 2 2 2 4 4" xfId="18567" xr:uid="{68711407-8A24-45F4-962F-A43F2DF244E5}"/>
    <cellStyle name="Currency 5 3 2 2 2 4 5" xfId="10126" xr:uid="{EBCF18D7-0787-4F42-BFB7-BDC0721886EB}"/>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2 2 2" xfId="25343" xr:uid="{F69CDBCB-C372-4437-BF5B-D1B1265BCCEA}"/>
    <cellStyle name="Currency 5 3 2 2 2 5 2 2 3" xfId="16902" xr:uid="{F7D119E4-C964-471E-8C17-1EFCCDA9968E}"/>
    <cellStyle name="Currency 5 3 2 2 2 5 2 3" xfId="21125" xr:uid="{C1F43B0F-393E-4D5C-B6D0-61980D2BEC25}"/>
    <cellStyle name="Currency 5 3 2 2 2 5 2 4" xfId="12684" xr:uid="{E693C93C-1B57-4296-8A7D-8AF946BE04E8}"/>
    <cellStyle name="Currency 5 3 2 2 2 5 3" xfId="6307" xr:uid="{00000000-0005-0000-0000-0000970C0000}"/>
    <cellStyle name="Currency 5 3 2 2 2 5 3 2" xfId="23198" xr:uid="{304E6828-D2C4-4588-8D15-6FE5049766C7}"/>
    <cellStyle name="Currency 5 3 2 2 2 5 3 3" xfId="14757" xr:uid="{482F4614-1B64-40BD-B3FC-F775DF6AD670}"/>
    <cellStyle name="Currency 5 3 2 2 2 5 4" xfId="18980" xr:uid="{730C79A4-D725-44A6-922E-C90C0BB654D7}"/>
    <cellStyle name="Currency 5 3 2 2 2 5 5" xfId="10539" xr:uid="{30722A6F-C808-4DAA-B242-DFB2DF13B376}"/>
    <cellStyle name="Currency 5 3 2 2 2 6" xfId="2436" xr:uid="{00000000-0005-0000-0000-0000980C0000}"/>
    <cellStyle name="Currency 5 3 2 2 2 6 2" xfId="6720" xr:uid="{00000000-0005-0000-0000-0000990C0000}"/>
    <cellStyle name="Currency 5 3 2 2 2 6 2 2" xfId="23611" xr:uid="{EAC3B7A2-D778-4B04-934C-1635CC6F72B0}"/>
    <cellStyle name="Currency 5 3 2 2 2 6 2 3" xfId="15170" xr:uid="{3619DFB9-ECE9-4FF0-A8DC-B3470E53E105}"/>
    <cellStyle name="Currency 5 3 2 2 2 6 3" xfId="19393" xr:uid="{4DE1E505-EFF5-4C38-8E96-E1A5DEC427F6}"/>
    <cellStyle name="Currency 5 3 2 2 2 6 4" xfId="10952" xr:uid="{F7BBF1C0-0DE3-44D1-8181-52B2C1607DC2}"/>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8 2 2" xfId="23928" xr:uid="{92916BDE-F346-4705-8F10-EDB54A6ACF8C}"/>
    <cellStyle name="Currency 5 3 2 2 2 8 2 3" xfId="15487" xr:uid="{37B7DC7D-4291-47E8-95C0-2BB426E92513}"/>
    <cellStyle name="Currency 5 3 2 2 2 8 3" xfId="19710" xr:uid="{45D420B6-5D35-49C3-A2F7-E0575F1D080F}"/>
    <cellStyle name="Currency 5 3 2 2 2 8 4" xfId="11269" xr:uid="{B1E42A2E-D5E4-418B-BB0F-CEF9A0CC2A61}"/>
    <cellStyle name="Currency 5 3 2 2 2 9" xfId="4654" xr:uid="{00000000-0005-0000-0000-00009D0C0000}"/>
    <cellStyle name="Currency 5 3 2 2 2 9 2" xfId="21545" xr:uid="{605AF39E-20C0-426C-B22B-5ECA93B535C2}"/>
    <cellStyle name="Currency 5 3 2 2 2 9 3" xfId="13104" xr:uid="{549CC7D1-19DA-4BCD-847A-7C7A7C2780EA}"/>
    <cellStyle name="Currency 5 3 2 2 3" xfId="737" xr:uid="{00000000-0005-0000-0000-00009E0C0000}"/>
    <cellStyle name="Currency 5 3 2 2 3 2" xfId="2990" xr:uid="{00000000-0005-0000-0000-00009F0C0000}"/>
    <cellStyle name="Currency 5 3 2 2 3 2 2" xfId="7212" xr:uid="{00000000-0005-0000-0000-0000A00C0000}"/>
    <cellStyle name="Currency 5 3 2 2 3 2 2 2" xfId="24103" xr:uid="{7CA9C30D-F4AE-4C76-884C-D2007AEF34B9}"/>
    <cellStyle name="Currency 5 3 2 2 3 2 2 3" xfId="15662" xr:uid="{DDAC5D86-D0C5-45B9-8038-C2D8099CAC85}"/>
    <cellStyle name="Currency 5 3 2 2 3 2 3" xfId="19885" xr:uid="{DD96DE94-F0DD-4FA0-AE25-BD1509948D5C}"/>
    <cellStyle name="Currency 5 3 2 2 3 2 4" xfId="11444" xr:uid="{025C3830-2210-4BD1-B756-7DB92692BE12}"/>
    <cellStyle name="Currency 5 3 2 2 3 3" xfId="5067" xr:uid="{00000000-0005-0000-0000-0000A10C0000}"/>
    <cellStyle name="Currency 5 3 2 2 3 3 2" xfId="21958" xr:uid="{8EB0A05E-0E8F-4B55-9642-003226C5B00C}"/>
    <cellStyle name="Currency 5 3 2 2 3 3 3" xfId="13517" xr:uid="{5265D304-E5EE-4D8C-9257-562E333A01D0}"/>
    <cellStyle name="Currency 5 3 2 2 3 4" xfId="17740" xr:uid="{5CE0EE6B-12FF-4B72-B103-65A1832094C5}"/>
    <cellStyle name="Currency 5 3 2 2 3 5" xfId="9299" xr:uid="{D33E81B9-EE82-482D-9E86-6B6F9C466445}"/>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2 2 2" xfId="24516" xr:uid="{B472A4CF-DD5E-4C87-8D7C-B01F38A94810}"/>
    <cellStyle name="Currency 5 3 2 2 4 2 2 3" xfId="16075" xr:uid="{3104A133-2C53-4B81-9788-DF7B0858278B}"/>
    <cellStyle name="Currency 5 3 2 2 4 2 3" xfId="20298" xr:uid="{92965932-C998-408F-BB67-B1837AC84934}"/>
    <cellStyle name="Currency 5 3 2 2 4 2 4" xfId="11857" xr:uid="{2318EE64-DCAF-4015-8D1D-7400E84B24CF}"/>
    <cellStyle name="Currency 5 3 2 2 4 3" xfId="5480" xr:uid="{00000000-0005-0000-0000-0000A50C0000}"/>
    <cellStyle name="Currency 5 3 2 2 4 3 2" xfId="22371" xr:uid="{8FC46496-5CCA-4384-BB9C-6D9A5CEC17BC}"/>
    <cellStyle name="Currency 5 3 2 2 4 3 3" xfId="13930" xr:uid="{171B7DC1-5142-4F81-B73D-1692F175D30A}"/>
    <cellStyle name="Currency 5 3 2 2 4 4" xfId="18153" xr:uid="{22B1EC7C-AC9E-4FD5-812D-A3273F27418D}"/>
    <cellStyle name="Currency 5 3 2 2 4 5" xfId="9712" xr:uid="{B7AF1D0D-4FFC-4538-8A59-F97F285EB655}"/>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2 2 2" xfId="24929" xr:uid="{AD6AB81E-DFBD-4D6A-BEC1-0D4B3D7882DD}"/>
    <cellStyle name="Currency 5 3 2 2 5 2 2 3" xfId="16488" xr:uid="{1CD9CC55-8C9E-4BB5-B384-3376749A09CE}"/>
    <cellStyle name="Currency 5 3 2 2 5 2 3" xfId="20711" xr:uid="{65E63584-E953-439E-9C12-8E9FD98774E6}"/>
    <cellStyle name="Currency 5 3 2 2 5 2 4" xfId="12270" xr:uid="{CB703C0B-FC1D-48CC-8875-E7EEA9CEC317}"/>
    <cellStyle name="Currency 5 3 2 2 5 3" xfId="5893" xr:uid="{00000000-0005-0000-0000-0000A90C0000}"/>
    <cellStyle name="Currency 5 3 2 2 5 3 2" xfId="22784" xr:uid="{35D63C8D-BCA5-4BC2-A40D-E9F9D08A968F}"/>
    <cellStyle name="Currency 5 3 2 2 5 3 3" xfId="14343" xr:uid="{0A2A1929-98FA-49DE-8F97-1C0646AB741C}"/>
    <cellStyle name="Currency 5 3 2 2 5 4" xfId="18566" xr:uid="{76A085A9-EA51-4AED-A5F1-895CF627CBC9}"/>
    <cellStyle name="Currency 5 3 2 2 5 5" xfId="10125" xr:uid="{EB360D0A-82D8-494C-A5F7-E6B0773E229D}"/>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2 2 2" xfId="25342" xr:uid="{A75F079E-3A74-4D2B-9821-246A9964338F}"/>
    <cellStyle name="Currency 5 3 2 2 6 2 2 3" xfId="16901" xr:uid="{DE4AAF6A-310B-4842-A69D-4335B5F3ECA6}"/>
    <cellStyle name="Currency 5 3 2 2 6 2 3" xfId="21124" xr:uid="{548FA720-A484-4753-B26D-3BF0368137F5}"/>
    <cellStyle name="Currency 5 3 2 2 6 2 4" xfId="12683" xr:uid="{1BDD37B6-3097-4E50-9304-4468CA402378}"/>
    <cellStyle name="Currency 5 3 2 2 6 3" xfId="6306" xr:uid="{00000000-0005-0000-0000-0000AD0C0000}"/>
    <cellStyle name="Currency 5 3 2 2 6 3 2" xfId="23197" xr:uid="{1F2F4EF1-B8E9-4315-92CE-41EA29C67772}"/>
    <cellStyle name="Currency 5 3 2 2 6 3 3" xfId="14756" xr:uid="{039130C0-F8E4-4B6A-AD22-C060F80533F2}"/>
    <cellStyle name="Currency 5 3 2 2 6 4" xfId="18979" xr:uid="{9CF0CC5D-C590-4D7B-AB3A-D070BABF9AAA}"/>
    <cellStyle name="Currency 5 3 2 2 6 5" xfId="10538" xr:uid="{161F7A56-B43B-467E-AA9D-92DC1E4EBC2B}"/>
    <cellStyle name="Currency 5 3 2 2 7" xfId="2435" xr:uid="{00000000-0005-0000-0000-0000AE0C0000}"/>
    <cellStyle name="Currency 5 3 2 2 7 2" xfId="6719" xr:uid="{00000000-0005-0000-0000-0000AF0C0000}"/>
    <cellStyle name="Currency 5 3 2 2 7 2 2" xfId="23610" xr:uid="{9CF76CD0-5DEE-467F-95B5-BD2BB6087A4E}"/>
    <cellStyle name="Currency 5 3 2 2 7 2 3" xfId="15169" xr:uid="{AC4624DF-CAA7-43D5-8073-74E023817D27}"/>
    <cellStyle name="Currency 5 3 2 2 7 3" xfId="19392" xr:uid="{75E2A366-B5A1-4265-83DB-893078AAC1EA}"/>
    <cellStyle name="Currency 5 3 2 2 7 4" xfId="10951" xr:uid="{6780464B-73EE-4ED0-A24F-90716AE29F14}"/>
    <cellStyle name="Currency 5 3 2 2 8" xfId="2732" xr:uid="{00000000-0005-0000-0000-0000B00C0000}"/>
    <cellStyle name="Currency 5 3 2 2 9" xfId="2813" xr:uid="{00000000-0005-0000-0000-0000B10C0000}"/>
    <cellStyle name="Currency 5 3 2 2 9 2" xfId="7036" xr:uid="{00000000-0005-0000-0000-0000B20C0000}"/>
    <cellStyle name="Currency 5 3 2 2 9 2 2" xfId="23927" xr:uid="{8B2F580C-1276-43B9-83D3-96295E6C36B4}"/>
    <cellStyle name="Currency 5 3 2 2 9 2 3" xfId="15486" xr:uid="{D853DAD6-C0E5-43EC-89BA-2545F65EDBF1}"/>
    <cellStyle name="Currency 5 3 2 2 9 3" xfId="19709" xr:uid="{D22AFBF7-CC32-4350-9A12-B542D81CB952}"/>
    <cellStyle name="Currency 5 3 2 2 9 4" xfId="11268" xr:uid="{8C0EE6D7-4AD4-4690-BFF8-79E9B676CC23}"/>
    <cellStyle name="Currency 5 3 2 3" xfId="213" xr:uid="{00000000-0005-0000-0000-0000B30C0000}"/>
    <cellStyle name="Currency 5 3 2 3 10" xfId="17328" xr:uid="{AE8C7365-628F-46E8-AF02-D0D8EB91DC54}"/>
    <cellStyle name="Currency 5 3 2 3 11" xfId="8887" xr:uid="{0399E6DF-D78E-4AD1-8A71-D7BAA734EEDC}"/>
    <cellStyle name="Currency 5 3 2 3 2" xfId="739" xr:uid="{00000000-0005-0000-0000-0000B40C0000}"/>
    <cellStyle name="Currency 5 3 2 3 2 2" xfId="2992" xr:uid="{00000000-0005-0000-0000-0000B50C0000}"/>
    <cellStyle name="Currency 5 3 2 3 2 2 2" xfId="7214" xr:uid="{00000000-0005-0000-0000-0000B60C0000}"/>
    <cellStyle name="Currency 5 3 2 3 2 2 2 2" xfId="24105" xr:uid="{8005BCA0-2340-4207-BD7A-E2554B33E6D8}"/>
    <cellStyle name="Currency 5 3 2 3 2 2 2 3" xfId="15664" xr:uid="{2587C5F3-9CC0-4815-8C9B-77330ECF1BCE}"/>
    <cellStyle name="Currency 5 3 2 3 2 2 3" xfId="19887" xr:uid="{4EDCB323-DC0D-4688-9934-2011090422B1}"/>
    <cellStyle name="Currency 5 3 2 3 2 2 4" xfId="11446" xr:uid="{B8F114DD-7F2F-4CD3-9C9F-8B2DECB9DCE3}"/>
    <cellStyle name="Currency 5 3 2 3 2 3" xfId="5069" xr:uid="{00000000-0005-0000-0000-0000B70C0000}"/>
    <cellStyle name="Currency 5 3 2 3 2 3 2" xfId="21960" xr:uid="{F9D59A68-3451-4B81-8322-25D57EB92023}"/>
    <cellStyle name="Currency 5 3 2 3 2 3 3" xfId="13519" xr:uid="{34F37961-232F-47C5-A6AD-443AF1519921}"/>
    <cellStyle name="Currency 5 3 2 3 2 4" xfId="17742" xr:uid="{DF99EA5D-AEF3-431D-B28A-6B0CC82CB84D}"/>
    <cellStyle name="Currency 5 3 2 3 2 5" xfId="9301" xr:uid="{51F81BC2-B54B-4658-A4B3-5C9A4103341E}"/>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2 2 2" xfId="24518" xr:uid="{A680E70A-3869-4249-BC63-70AC941A0C29}"/>
    <cellStyle name="Currency 5 3 2 3 3 2 2 3" xfId="16077" xr:uid="{87F16B16-F4B4-4D0C-A7EC-B04C49AE4BAC}"/>
    <cellStyle name="Currency 5 3 2 3 3 2 3" xfId="20300" xr:uid="{3D9A1923-8A51-4703-A557-004C377BDC4D}"/>
    <cellStyle name="Currency 5 3 2 3 3 2 4" xfId="11859" xr:uid="{27BC9793-A367-481F-AD66-040C9A75D1F0}"/>
    <cellStyle name="Currency 5 3 2 3 3 3" xfId="5482" xr:uid="{00000000-0005-0000-0000-0000BB0C0000}"/>
    <cellStyle name="Currency 5 3 2 3 3 3 2" xfId="22373" xr:uid="{76A68C69-2BD9-43CF-AB89-6DEDB3D2C321}"/>
    <cellStyle name="Currency 5 3 2 3 3 3 3" xfId="13932" xr:uid="{28DFDF06-4FA9-4B5D-8186-C5D98F4147DD}"/>
    <cellStyle name="Currency 5 3 2 3 3 4" xfId="18155" xr:uid="{FB59B92E-BE44-4EBD-8927-F8348B972AE8}"/>
    <cellStyle name="Currency 5 3 2 3 3 5" xfId="9714" xr:uid="{68D44DCB-7B45-41CC-AC18-837816C45A64}"/>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2 2 2" xfId="24931" xr:uid="{6715CB0C-EF04-4744-97E1-B3E080297C18}"/>
    <cellStyle name="Currency 5 3 2 3 4 2 2 3" xfId="16490" xr:uid="{FC687201-CAF8-4FB8-BE84-4F84FDFAA939}"/>
    <cellStyle name="Currency 5 3 2 3 4 2 3" xfId="20713" xr:uid="{39D1637E-849F-466E-87C2-8EE26B0F9AC6}"/>
    <cellStyle name="Currency 5 3 2 3 4 2 4" xfId="12272" xr:uid="{2AACF2F8-F321-48D8-94B9-1C2A6D951D1C}"/>
    <cellStyle name="Currency 5 3 2 3 4 3" xfId="5895" xr:uid="{00000000-0005-0000-0000-0000BF0C0000}"/>
    <cellStyle name="Currency 5 3 2 3 4 3 2" xfId="22786" xr:uid="{99DA5B07-7A99-47D1-852D-9D0DA7ABDEC4}"/>
    <cellStyle name="Currency 5 3 2 3 4 3 3" xfId="14345" xr:uid="{37C25024-81FA-4D71-837B-D8C6729689F2}"/>
    <cellStyle name="Currency 5 3 2 3 4 4" xfId="18568" xr:uid="{6B402D9E-B6B6-41B5-A9E4-CDE1B0BA98C2}"/>
    <cellStyle name="Currency 5 3 2 3 4 5" xfId="10127" xr:uid="{FC58F93B-FCB5-4EF4-82AB-C6166F94E165}"/>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2 2 2" xfId="25344" xr:uid="{1D918BB2-1465-4579-8CE8-F4B05F526FED}"/>
    <cellStyle name="Currency 5 3 2 3 5 2 2 3" xfId="16903" xr:uid="{27C13051-6E5B-411D-9225-39352E6FC079}"/>
    <cellStyle name="Currency 5 3 2 3 5 2 3" xfId="21126" xr:uid="{73A64FDF-38C4-4558-8B1A-E85F01353D69}"/>
    <cellStyle name="Currency 5 3 2 3 5 2 4" xfId="12685" xr:uid="{6FF88736-1C1E-485D-AB7C-53940400C944}"/>
    <cellStyle name="Currency 5 3 2 3 5 3" xfId="6308" xr:uid="{00000000-0005-0000-0000-0000C30C0000}"/>
    <cellStyle name="Currency 5 3 2 3 5 3 2" xfId="23199" xr:uid="{79457834-0368-41B8-919C-32BA81B2FA9D}"/>
    <cellStyle name="Currency 5 3 2 3 5 3 3" xfId="14758" xr:uid="{03C10D2B-C2FE-4209-8758-70991CA014CB}"/>
    <cellStyle name="Currency 5 3 2 3 5 4" xfId="18981" xr:uid="{B3F6C1D4-09A9-41EF-87A8-99ED6162EA99}"/>
    <cellStyle name="Currency 5 3 2 3 5 5" xfId="10540" xr:uid="{E1518C62-C109-4438-92A9-5EA94FE4289C}"/>
    <cellStyle name="Currency 5 3 2 3 6" xfId="2437" xr:uid="{00000000-0005-0000-0000-0000C40C0000}"/>
    <cellStyle name="Currency 5 3 2 3 6 2" xfId="6721" xr:uid="{00000000-0005-0000-0000-0000C50C0000}"/>
    <cellStyle name="Currency 5 3 2 3 6 2 2" xfId="23612" xr:uid="{442DA99D-E44B-40ED-8668-2C6D2B11ADCF}"/>
    <cellStyle name="Currency 5 3 2 3 6 2 3" xfId="15171" xr:uid="{81045668-AD80-4FB7-A208-D26D48BBEAB5}"/>
    <cellStyle name="Currency 5 3 2 3 6 3" xfId="19394" xr:uid="{6504118B-73B5-4F1B-B325-7B34182E9FB6}"/>
    <cellStyle name="Currency 5 3 2 3 6 4" xfId="10953" xr:uid="{FC6DA446-310C-4311-ACF6-8D23C1D387D3}"/>
    <cellStyle name="Currency 5 3 2 3 7" xfId="2734" xr:uid="{00000000-0005-0000-0000-0000C60C0000}"/>
    <cellStyle name="Currency 5 3 2 3 8" xfId="2815" xr:uid="{00000000-0005-0000-0000-0000C70C0000}"/>
    <cellStyle name="Currency 5 3 2 3 8 2" xfId="7038" xr:uid="{00000000-0005-0000-0000-0000C80C0000}"/>
    <cellStyle name="Currency 5 3 2 3 8 2 2" xfId="23929" xr:uid="{C807390A-162D-41B4-80A3-BD9B11A7C7AB}"/>
    <cellStyle name="Currency 5 3 2 3 8 2 3" xfId="15488" xr:uid="{07BC1BC5-1DD5-483D-B669-38AD7EAEE469}"/>
    <cellStyle name="Currency 5 3 2 3 8 3" xfId="19711" xr:uid="{5994CD19-D558-4629-8DB1-3EA97C7508E7}"/>
    <cellStyle name="Currency 5 3 2 3 8 4" xfId="11270" xr:uid="{8290D001-D71C-470C-B30C-F161A4768872}"/>
    <cellStyle name="Currency 5 3 2 3 9" xfId="4655" xr:uid="{00000000-0005-0000-0000-0000C90C0000}"/>
    <cellStyle name="Currency 5 3 2 3 9 2" xfId="21546" xr:uid="{4C775F60-ED41-41B7-9EB8-FEAC684D0CA9}"/>
    <cellStyle name="Currency 5 3 2 3 9 3" xfId="13105" xr:uid="{FCC6093D-2D73-4B91-8022-27AFD5699138}"/>
    <cellStyle name="Currency 5 3 2 4" xfId="736" xr:uid="{00000000-0005-0000-0000-0000CA0C0000}"/>
    <cellStyle name="Currency 5 3 2 4 2" xfId="2989" xr:uid="{00000000-0005-0000-0000-0000CB0C0000}"/>
    <cellStyle name="Currency 5 3 2 4 2 2" xfId="7211" xr:uid="{00000000-0005-0000-0000-0000CC0C0000}"/>
    <cellStyle name="Currency 5 3 2 4 2 2 2" xfId="24102" xr:uid="{78F048A0-27D5-408C-BB3F-3D98AB3F9174}"/>
    <cellStyle name="Currency 5 3 2 4 2 2 3" xfId="15661" xr:uid="{352243F2-979D-46F5-9E80-4E0B970470C8}"/>
    <cellStyle name="Currency 5 3 2 4 2 3" xfId="19884" xr:uid="{0A9D072F-3323-4E24-8125-9F1A98A6A6E0}"/>
    <cellStyle name="Currency 5 3 2 4 2 4" xfId="11443" xr:uid="{147DF2BC-DB50-496A-95C2-ABA897D32D9E}"/>
    <cellStyle name="Currency 5 3 2 4 3" xfId="5066" xr:uid="{00000000-0005-0000-0000-0000CD0C0000}"/>
    <cellStyle name="Currency 5 3 2 4 3 2" xfId="21957" xr:uid="{AC96EE37-3D87-4D23-B18E-24CF0170B3EF}"/>
    <cellStyle name="Currency 5 3 2 4 3 3" xfId="13516" xr:uid="{FCCA9390-4CEC-4D66-86FF-7653E4E26D2C}"/>
    <cellStyle name="Currency 5 3 2 4 4" xfId="17739" xr:uid="{D7B316B2-56DA-447F-896C-6FBF1FAFA623}"/>
    <cellStyle name="Currency 5 3 2 4 5" xfId="9298" xr:uid="{7445740B-62BE-4841-ABB3-97E3734D4630}"/>
    <cellStyle name="Currency 5 3 2 5" xfId="1171" xr:uid="{00000000-0005-0000-0000-0000CE0C0000}"/>
    <cellStyle name="Currency 5 3 2 5 2" xfId="3402" xr:uid="{00000000-0005-0000-0000-0000CF0C0000}"/>
    <cellStyle name="Currency 5 3 2 5 2 2" xfId="7624" xr:uid="{00000000-0005-0000-0000-0000D00C0000}"/>
    <cellStyle name="Currency 5 3 2 5 2 2 2" xfId="24515" xr:uid="{7DD49E87-4A02-47D8-8632-233D124A4078}"/>
    <cellStyle name="Currency 5 3 2 5 2 2 3" xfId="16074" xr:uid="{D784F8C0-DF20-44D2-A01A-EB458E14E764}"/>
    <cellStyle name="Currency 5 3 2 5 2 3" xfId="20297" xr:uid="{DCD24F33-FF9A-4DB2-A851-9E34F7363432}"/>
    <cellStyle name="Currency 5 3 2 5 2 4" xfId="11856" xr:uid="{0D0E70E7-4832-43AD-86DB-85FE3D6F6255}"/>
    <cellStyle name="Currency 5 3 2 5 3" xfId="5479" xr:uid="{00000000-0005-0000-0000-0000D10C0000}"/>
    <cellStyle name="Currency 5 3 2 5 3 2" xfId="22370" xr:uid="{839A9F3B-3350-4D95-8B55-B2B56714F055}"/>
    <cellStyle name="Currency 5 3 2 5 3 3" xfId="13929" xr:uid="{CB525AA0-48AA-43BB-AAEC-79691C0F288D}"/>
    <cellStyle name="Currency 5 3 2 5 4" xfId="18152" xr:uid="{3B41D5BE-246C-4142-8499-AAC02F8DEB3C}"/>
    <cellStyle name="Currency 5 3 2 5 5" xfId="9711" xr:uid="{B635B3BB-2C42-4DEF-B6D3-E98F9B07C19C}"/>
    <cellStyle name="Currency 5 3 2 6" xfId="1585" xr:uid="{00000000-0005-0000-0000-0000D20C0000}"/>
    <cellStyle name="Currency 5 3 2 6 2" xfId="3815" xr:uid="{00000000-0005-0000-0000-0000D30C0000}"/>
    <cellStyle name="Currency 5 3 2 6 2 2" xfId="8037" xr:uid="{00000000-0005-0000-0000-0000D40C0000}"/>
    <cellStyle name="Currency 5 3 2 6 2 2 2" xfId="24928" xr:uid="{3D2855A8-F47E-451E-AC32-FE6DFEE043A1}"/>
    <cellStyle name="Currency 5 3 2 6 2 2 3" xfId="16487" xr:uid="{41CE9A8A-A4C8-4791-9260-F59A3EA66F60}"/>
    <cellStyle name="Currency 5 3 2 6 2 3" xfId="20710" xr:uid="{B5B8077F-B19D-4285-870D-4440C44F6465}"/>
    <cellStyle name="Currency 5 3 2 6 2 4" xfId="12269" xr:uid="{C1E4D61E-6052-40B1-96FF-08433E0FB8C7}"/>
    <cellStyle name="Currency 5 3 2 6 3" xfId="5892" xr:uid="{00000000-0005-0000-0000-0000D50C0000}"/>
    <cellStyle name="Currency 5 3 2 6 3 2" xfId="22783" xr:uid="{49DF6A71-C413-4A10-92EA-51962A7A0A83}"/>
    <cellStyle name="Currency 5 3 2 6 3 3" xfId="14342" xr:uid="{BB4296D8-AD90-4753-B39B-EB442141D534}"/>
    <cellStyle name="Currency 5 3 2 6 4" xfId="18565" xr:uid="{A9794827-4373-4612-AF45-CB42BBFA7E9B}"/>
    <cellStyle name="Currency 5 3 2 6 5" xfId="10124" xr:uid="{AAC37BD0-F7D3-45DB-885B-CCAD1C3BBFDB}"/>
    <cellStyle name="Currency 5 3 2 7" xfId="1999" xr:uid="{00000000-0005-0000-0000-0000D60C0000}"/>
    <cellStyle name="Currency 5 3 2 7 2" xfId="4228" xr:uid="{00000000-0005-0000-0000-0000D70C0000}"/>
    <cellStyle name="Currency 5 3 2 7 2 2" xfId="8450" xr:uid="{00000000-0005-0000-0000-0000D80C0000}"/>
    <cellStyle name="Currency 5 3 2 7 2 2 2" xfId="25341" xr:uid="{C2F25B12-94A4-4E75-9981-E3E14DB7AF2F}"/>
    <cellStyle name="Currency 5 3 2 7 2 2 3" xfId="16900" xr:uid="{3798229A-7B38-4DE9-A023-FF04C142D5B9}"/>
    <cellStyle name="Currency 5 3 2 7 2 3" xfId="21123" xr:uid="{65866CC2-0F57-451E-944A-D3B68C12D8C4}"/>
    <cellStyle name="Currency 5 3 2 7 2 4" xfId="12682" xr:uid="{7910E02D-0EEB-4058-B81D-2582D3030517}"/>
    <cellStyle name="Currency 5 3 2 7 3" xfId="6305" xr:uid="{00000000-0005-0000-0000-0000D90C0000}"/>
    <cellStyle name="Currency 5 3 2 7 3 2" xfId="23196" xr:uid="{5DEA8D4C-43D8-4C49-B024-3BC08231F6EA}"/>
    <cellStyle name="Currency 5 3 2 7 3 3" xfId="14755" xr:uid="{7F4AEAB5-AAB6-493B-86DF-A938A4AC96F7}"/>
    <cellStyle name="Currency 5 3 2 7 4" xfId="18978" xr:uid="{F1541A44-0190-4841-824A-AA7C977C238E}"/>
    <cellStyle name="Currency 5 3 2 7 5" xfId="10537" xr:uid="{8105A28E-AFBB-44EC-93C0-864A0256E1E3}"/>
    <cellStyle name="Currency 5 3 2 8" xfId="2434" xr:uid="{00000000-0005-0000-0000-0000DA0C0000}"/>
    <cellStyle name="Currency 5 3 2 8 2" xfId="6718" xr:uid="{00000000-0005-0000-0000-0000DB0C0000}"/>
    <cellStyle name="Currency 5 3 2 8 2 2" xfId="23609" xr:uid="{6DCE152D-8BD7-41A5-85ED-2CC598E8C546}"/>
    <cellStyle name="Currency 5 3 2 8 2 3" xfId="15168" xr:uid="{6534A6A6-021E-49CD-AE26-CC3A82FAC260}"/>
    <cellStyle name="Currency 5 3 2 8 3" xfId="19391" xr:uid="{FA54A670-B12C-48B6-BAD3-2AE5F835D603}"/>
    <cellStyle name="Currency 5 3 2 8 4" xfId="10950" xr:uid="{C7933332-7316-49E0-86AD-7622F8CD98DC}"/>
    <cellStyle name="Currency 5 3 2 9" xfId="2731" xr:uid="{00000000-0005-0000-0000-0000DC0C0000}"/>
    <cellStyle name="Currency 5 3 3" xfId="214" xr:uid="{00000000-0005-0000-0000-0000DD0C0000}"/>
    <cellStyle name="Currency 5 3 3 10" xfId="4656" xr:uid="{00000000-0005-0000-0000-0000DE0C0000}"/>
    <cellStyle name="Currency 5 3 3 10 2" xfId="21547" xr:uid="{BBCA9A1B-51CF-45C8-BBE9-46DB3AAD9985}"/>
    <cellStyle name="Currency 5 3 3 10 3" xfId="13106" xr:uid="{96083792-BA35-4883-A2CB-036AA6A26FE5}"/>
    <cellStyle name="Currency 5 3 3 11" xfId="17329" xr:uid="{5A453C3E-AD31-42F8-919F-9F2E31E7BFE4}"/>
    <cellStyle name="Currency 5 3 3 12" xfId="8888" xr:uid="{296F3911-8B74-49F6-B19F-3CE3677576C8}"/>
    <cellStyle name="Currency 5 3 3 2" xfId="215" xr:uid="{00000000-0005-0000-0000-0000DF0C0000}"/>
    <cellStyle name="Currency 5 3 3 2 10" xfId="17330" xr:uid="{16B81C12-8FB3-4384-8D59-93F53A573ED8}"/>
    <cellStyle name="Currency 5 3 3 2 11" xfId="8889" xr:uid="{93B242DD-9326-4D4E-8F17-E5A6F18BE28F}"/>
    <cellStyle name="Currency 5 3 3 2 2" xfId="741" xr:uid="{00000000-0005-0000-0000-0000E00C0000}"/>
    <cellStyle name="Currency 5 3 3 2 2 2" xfId="2994" xr:uid="{00000000-0005-0000-0000-0000E10C0000}"/>
    <cellStyle name="Currency 5 3 3 2 2 2 2" xfId="7216" xr:uid="{00000000-0005-0000-0000-0000E20C0000}"/>
    <cellStyle name="Currency 5 3 3 2 2 2 2 2" xfId="24107" xr:uid="{39E3542D-19A0-4ABD-AB12-965137BF672D}"/>
    <cellStyle name="Currency 5 3 3 2 2 2 2 3" xfId="15666" xr:uid="{88688C1F-D488-42C0-9FD9-A70599FAA2EA}"/>
    <cellStyle name="Currency 5 3 3 2 2 2 3" xfId="19889" xr:uid="{3DA27D5D-7383-445A-8689-9AF291028420}"/>
    <cellStyle name="Currency 5 3 3 2 2 2 4" xfId="11448" xr:uid="{6865EF06-48B5-43B9-8FF7-775160D2A7EF}"/>
    <cellStyle name="Currency 5 3 3 2 2 3" xfId="5071" xr:uid="{00000000-0005-0000-0000-0000E30C0000}"/>
    <cellStyle name="Currency 5 3 3 2 2 3 2" xfId="21962" xr:uid="{5B3C1632-FCBB-4FC8-A8B9-5BF3AD69C6A9}"/>
    <cellStyle name="Currency 5 3 3 2 2 3 3" xfId="13521" xr:uid="{81FEAA15-C082-4B2E-A37E-542BEC5FDC96}"/>
    <cellStyle name="Currency 5 3 3 2 2 4" xfId="17744" xr:uid="{E10A8B72-3C7E-42D3-BA48-B85A0B323E62}"/>
    <cellStyle name="Currency 5 3 3 2 2 5" xfId="9303" xr:uid="{F824B056-B7F7-44F4-B334-E35634CE0076}"/>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2 2 2" xfId="24520" xr:uid="{A739F9BE-B853-4DCC-BAD4-BC4C379EEF6E}"/>
    <cellStyle name="Currency 5 3 3 2 3 2 2 3" xfId="16079" xr:uid="{88D0CB56-E8A0-43A3-96CD-69837A180B22}"/>
    <cellStyle name="Currency 5 3 3 2 3 2 3" xfId="20302" xr:uid="{C46B40EA-F787-4966-829A-4D9C70560AE5}"/>
    <cellStyle name="Currency 5 3 3 2 3 2 4" xfId="11861" xr:uid="{18B43CE4-991D-430B-9235-0BEACFAAFFDF}"/>
    <cellStyle name="Currency 5 3 3 2 3 3" xfId="5484" xr:uid="{00000000-0005-0000-0000-0000E70C0000}"/>
    <cellStyle name="Currency 5 3 3 2 3 3 2" xfId="22375" xr:uid="{A46114F1-5C62-40A3-A11A-CDE4C29856BE}"/>
    <cellStyle name="Currency 5 3 3 2 3 3 3" xfId="13934" xr:uid="{1FB8DECC-B5CB-4917-B5ED-F17D9F22CB95}"/>
    <cellStyle name="Currency 5 3 3 2 3 4" xfId="18157" xr:uid="{1ADB0243-D902-4823-929B-CE42C602D960}"/>
    <cellStyle name="Currency 5 3 3 2 3 5" xfId="9716" xr:uid="{3B892239-CB87-4203-9D48-C7A259E9B32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2 2 2" xfId="24933" xr:uid="{D5ACD8C9-4DD7-4862-AF1D-B6734C494C75}"/>
    <cellStyle name="Currency 5 3 3 2 4 2 2 3" xfId="16492" xr:uid="{4BE5E737-9030-4E0B-9E25-8988ABC635FA}"/>
    <cellStyle name="Currency 5 3 3 2 4 2 3" xfId="20715" xr:uid="{E35333B1-D36F-48D9-A9C1-A9E4835FE00D}"/>
    <cellStyle name="Currency 5 3 3 2 4 2 4" xfId="12274" xr:uid="{58220B62-B15A-4261-9908-BC75BC3C28AB}"/>
    <cellStyle name="Currency 5 3 3 2 4 3" xfId="5897" xr:uid="{00000000-0005-0000-0000-0000EB0C0000}"/>
    <cellStyle name="Currency 5 3 3 2 4 3 2" xfId="22788" xr:uid="{ED26723A-7BCA-47D4-9570-3F5308C8392B}"/>
    <cellStyle name="Currency 5 3 3 2 4 3 3" xfId="14347" xr:uid="{9949D248-9661-4B01-918E-A90EE880A808}"/>
    <cellStyle name="Currency 5 3 3 2 4 4" xfId="18570" xr:uid="{11FE2D19-1C09-4845-BD15-EFD4B9117E49}"/>
    <cellStyle name="Currency 5 3 3 2 4 5" xfId="10129" xr:uid="{2685C7D1-34D9-4FEE-BF02-255A888C2527}"/>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2 2 2" xfId="25346" xr:uid="{DFDC0F24-4C5E-4963-B842-F6090805C11A}"/>
    <cellStyle name="Currency 5 3 3 2 5 2 2 3" xfId="16905" xr:uid="{755208F0-E394-4736-A7BD-88992FCE8D5C}"/>
    <cellStyle name="Currency 5 3 3 2 5 2 3" xfId="21128" xr:uid="{C28DD28B-5F63-4D81-8738-6BA1051754D5}"/>
    <cellStyle name="Currency 5 3 3 2 5 2 4" xfId="12687" xr:uid="{3E0EFF85-7CD0-4029-9DD4-0AB383F839F1}"/>
    <cellStyle name="Currency 5 3 3 2 5 3" xfId="6310" xr:uid="{00000000-0005-0000-0000-0000EF0C0000}"/>
    <cellStyle name="Currency 5 3 3 2 5 3 2" xfId="23201" xr:uid="{887ABA71-C9BD-4BA1-ACC8-B3884A8CDE4D}"/>
    <cellStyle name="Currency 5 3 3 2 5 3 3" xfId="14760" xr:uid="{F5A5E3FC-8586-45DB-82E8-42CFF9D136A5}"/>
    <cellStyle name="Currency 5 3 3 2 5 4" xfId="18983" xr:uid="{AA4557E5-7EEE-4FE9-80AA-AE5104F761E4}"/>
    <cellStyle name="Currency 5 3 3 2 5 5" xfId="10542" xr:uid="{995B5414-7975-455C-9D50-E5C45C5D0222}"/>
    <cellStyle name="Currency 5 3 3 2 6" xfId="2439" xr:uid="{00000000-0005-0000-0000-0000F00C0000}"/>
    <cellStyle name="Currency 5 3 3 2 6 2" xfId="6723" xr:uid="{00000000-0005-0000-0000-0000F10C0000}"/>
    <cellStyle name="Currency 5 3 3 2 6 2 2" xfId="23614" xr:uid="{C4FBB409-3FC8-4C41-B97D-D6CF26804446}"/>
    <cellStyle name="Currency 5 3 3 2 6 2 3" xfId="15173" xr:uid="{6CD8EB14-4FEF-4D7E-A49A-3C0575815A45}"/>
    <cellStyle name="Currency 5 3 3 2 6 3" xfId="19396" xr:uid="{0E8086B6-1728-45B4-B73D-DDF0BD072CED}"/>
    <cellStyle name="Currency 5 3 3 2 6 4" xfId="10955" xr:uid="{9A3D7EE7-5290-4125-9375-ABF5E20E1C77}"/>
    <cellStyle name="Currency 5 3 3 2 7" xfId="2736" xr:uid="{00000000-0005-0000-0000-0000F20C0000}"/>
    <cellStyle name="Currency 5 3 3 2 8" xfId="2817" xr:uid="{00000000-0005-0000-0000-0000F30C0000}"/>
    <cellStyle name="Currency 5 3 3 2 8 2" xfId="7040" xr:uid="{00000000-0005-0000-0000-0000F40C0000}"/>
    <cellStyle name="Currency 5 3 3 2 8 2 2" xfId="23931" xr:uid="{E4D71290-E78C-44F6-9BC4-78AD22ECE338}"/>
    <cellStyle name="Currency 5 3 3 2 8 2 3" xfId="15490" xr:uid="{B680590E-20F6-4B4A-A250-18408DC65C16}"/>
    <cellStyle name="Currency 5 3 3 2 8 3" xfId="19713" xr:uid="{4C961C97-EF7F-4E2B-8AE2-528A5A949492}"/>
    <cellStyle name="Currency 5 3 3 2 8 4" xfId="11272" xr:uid="{03C11B64-9237-4D6D-935B-E8FB22C9DEB0}"/>
    <cellStyle name="Currency 5 3 3 2 9" xfId="4657" xr:uid="{00000000-0005-0000-0000-0000F50C0000}"/>
    <cellStyle name="Currency 5 3 3 2 9 2" xfId="21548" xr:uid="{68014234-B486-4388-9959-F30333B38184}"/>
    <cellStyle name="Currency 5 3 3 2 9 3" xfId="13107" xr:uid="{A75A2A7F-2B34-42FD-A24D-647D9A48F636}"/>
    <cellStyle name="Currency 5 3 3 3" xfId="740" xr:uid="{00000000-0005-0000-0000-0000F60C0000}"/>
    <cellStyle name="Currency 5 3 3 3 2" xfId="2993" xr:uid="{00000000-0005-0000-0000-0000F70C0000}"/>
    <cellStyle name="Currency 5 3 3 3 2 2" xfId="7215" xr:uid="{00000000-0005-0000-0000-0000F80C0000}"/>
    <cellStyle name="Currency 5 3 3 3 2 2 2" xfId="24106" xr:uid="{6B748D1E-E5FD-4EC0-AD73-83DCCD2E0899}"/>
    <cellStyle name="Currency 5 3 3 3 2 2 3" xfId="15665" xr:uid="{A6BA67F0-8FDD-459F-A33B-361AB69C8E6E}"/>
    <cellStyle name="Currency 5 3 3 3 2 3" xfId="19888" xr:uid="{B21B4AA2-7DA6-4975-956A-F218A4E98CCB}"/>
    <cellStyle name="Currency 5 3 3 3 2 4" xfId="11447" xr:uid="{3F72D6A5-FABB-4106-BB6F-E190048E9411}"/>
    <cellStyle name="Currency 5 3 3 3 3" xfId="5070" xr:uid="{00000000-0005-0000-0000-0000F90C0000}"/>
    <cellStyle name="Currency 5 3 3 3 3 2" xfId="21961" xr:uid="{C41C6234-2F70-4556-B442-9DABD253FC78}"/>
    <cellStyle name="Currency 5 3 3 3 3 3" xfId="13520" xr:uid="{059049F2-1C3D-43D3-ADE0-67FD29CF7AB4}"/>
    <cellStyle name="Currency 5 3 3 3 4" xfId="17743" xr:uid="{C69BAAF6-E8B6-4EDE-9534-FAD95638A661}"/>
    <cellStyle name="Currency 5 3 3 3 5" xfId="9302" xr:uid="{57C00AD6-8142-4573-8AD4-ABF279574565}"/>
    <cellStyle name="Currency 5 3 3 4" xfId="1175" xr:uid="{00000000-0005-0000-0000-0000FA0C0000}"/>
    <cellStyle name="Currency 5 3 3 4 2" xfId="3406" xr:uid="{00000000-0005-0000-0000-0000FB0C0000}"/>
    <cellStyle name="Currency 5 3 3 4 2 2" xfId="7628" xr:uid="{00000000-0005-0000-0000-0000FC0C0000}"/>
    <cellStyle name="Currency 5 3 3 4 2 2 2" xfId="24519" xr:uid="{144AFDCE-CDBB-488E-A5A3-D47FCE751978}"/>
    <cellStyle name="Currency 5 3 3 4 2 2 3" xfId="16078" xr:uid="{414556BC-6E86-4543-9234-F85D8A39AF19}"/>
    <cellStyle name="Currency 5 3 3 4 2 3" xfId="20301" xr:uid="{CE739B2D-0C32-4BDE-A3C7-EFF93B61C023}"/>
    <cellStyle name="Currency 5 3 3 4 2 4" xfId="11860" xr:uid="{F5B103D2-2EC2-4F7C-92F9-BAB14D126924}"/>
    <cellStyle name="Currency 5 3 3 4 3" xfId="5483" xr:uid="{00000000-0005-0000-0000-0000FD0C0000}"/>
    <cellStyle name="Currency 5 3 3 4 3 2" xfId="22374" xr:uid="{2FACF4F6-1A9B-46FA-9EC5-70237A51C2AE}"/>
    <cellStyle name="Currency 5 3 3 4 3 3" xfId="13933" xr:uid="{AC071D1E-FA11-4BA0-A339-D43DA34FD38A}"/>
    <cellStyle name="Currency 5 3 3 4 4" xfId="18156" xr:uid="{212AE6DF-CEE6-49D5-968A-BEF2B2408945}"/>
    <cellStyle name="Currency 5 3 3 4 5" xfId="9715" xr:uid="{D1B9A315-E190-4858-9B0F-EDD1E361A040}"/>
    <cellStyle name="Currency 5 3 3 5" xfId="1589" xr:uid="{00000000-0005-0000-0000-0000FE0C0000}"/>
    <cellStyle name="Currency 5 3 3 5 2" xfId="3819" xr:uid="{00000000-0005-0000-0000-0000FF0C0000}"/>
    <cellStyle name="Currency 5 3 3 5 2 2" xfId="8041" xr:uid="{00000000-0005-0000-0000-0000000D0000}"/>
    <cellStyle name="Currency 5 3 3 5 2 2 2" xfId="24932" xr:uid="{5A46DB06-0F4E-457D-8D75-68A01CDF0719}"/>
    <cellStyle name="Currency 5 3 3 5 2 2 3" xfId="16491" xr:uid="{831C603A-54AB-4531-92FA-432BC318F86F}"/>
    <cellStyle name="Currency 5 3 3 5 2 3" xfId="20714" xr:uid="{4EBB6015-4623-43CF-876E-25F727F816B5}"/>
    <cellStyle name="Currency 5 3 3 5 2 4" xfId="12273" xr:uid="{74112A74-5948-4BCD-8830-79C4AD59A16D}"/>
    <cellStyle name="Currency 5 3 3 5 3" xfId="5896" xr:uid="{00000000-0005-0000-0000-0000010D0000}"/>
    <cellStyle name="Currency 5 3 3 5 3 2" xfId="22787" xr:uid="{4F3F1B3F-3762-4C47-B34F-DA7BCEA3945E}"/>
    <cellStyle name="Currency 5 3 3 5 3 3" xfId="14346" xr:uid="{AC49FEDF-2138-482B-9D62-27D4FB9006B7}"/>
    <cellStyle name="Currency 5 3 3 5 4" xfId="18569" xr:uid="{9F70ABD5-7388-4FED-9158-8643207CA185}"/>
    <cellStyle name="Currency 5 3 3 5 5" xfId="10128" xr:uid="{F390ED16-0080-4F97-8A0A-D19F0DA10422}"/>
    <cellStyle name="Currency 5 3 3 6" xfId="2003" xr:uid="{00000000-0005-0000-0000-0000020D0000}"/>
    <cellStyle name="Currency 5 3 3 6 2" xfId="4232" xr:uid="{00000000-0005-0000-0000-0000030D0000}"/>
    <cellStyle name="Currency 5 3 3 6 2 2" xfId="8454" xr:uid="{00000000-0005-0000-0000-0000040D0000}"/>
    <cellStyle name="Currency 5 3 3 6 2 2 2" xfId="25345" xr:uid="{A4E1E32B-DF18-4AF9-AAAC-A6E585C2AF8C}"/>
    <cellStyle name="Currency 5 3 3 6 2 2 3" xfId="16904" xr:uid="{297EE769-DE2F-4D0F-9B95-0A834BE030D1}"/>
    <cellStyle name="Currency 5 3 3 6 2 3" xfId="21127" xr:uid="{92843B00-E4DF-4B21-A097-0487DF10C5DE}"/>
    <cellStyle name="Currency 5 3 3 6 2 4" xfId="12686" xr:uid="{723E4A3C-8BE5-4801-B14F-8DBA3329CDC2}"/>
    <cellStyle name="Currency 5 3 3 6 3" xfId="6309" xr:uid="{00000000-0005-0000-0000-0000050D0000}"/>
    <cellStyle name="Currency 5 3 3 6 3 2" xfId="23200" xr:uid="{BBAE7216-5EA5-45FF-B5D0-B92126AD0784}"/>
    <cellStyle name="Currency 5 3 3 6 3 3" xfId="14759" xr:uid="{FBA6487A-17FA-4B00-B8C4-60B673C0B34A}"/>
    <cellStyle name="Currency 5 3 3 6 4" xfId="18982" xr:uid="{B0BBE853-3BE8-453F-812D-B2EE396F3FA4}"/>
    <cellStyle name="Currency 5 3 3 6 5" xfId="10541" xr:uid="{E7146781-0E03-43BD-9BC1-30A93CE32368}"/>
    <cellStyle name="Currency 5 3 3 7" xfId="2438" xr:uid="{00000000-0005-0000-0000-0000060D0000}"/>
    <cellStyle name="Currency 5 3 3 7 2" xfId="6722" xr:uid="{00000000-0005-0000-0000-0000070D0000}"/>
    <cellStyle name="Currency 5 3 3 7 2 2" xfId="23613" xr:uid="{987B57BB-13D5-4961-920B-E69367563B7B}"/>
    <cellStyle name="Currency 5 3 3 7 2 3" xfId="15172" xr:uid="{6B6648E9-47A9-47B4-BCE3-72C56598BF2D}"/>
    <cellStyle name="Currency 5 3 3 7 3" xfId="19395" xr:uid="{DC129F0A-4C00-4D81-862D-A6416CFE1F44}"/>
    <cellStyle name="Currency 5 3 3 7 4" xfId="10954" xr:uid="{430D9FC6-68F2-4287-ABD0-0C7733F58A68}"/>
    <cellStyle name="Currency 5 3 3 8" xfId="2735" xr:uid="{00000000-0005-0000-0000-0000080D0000}"/>
    <cellStyle name="Currency 5 3 3 9" xfId="2816" xr:uid="{00000000-0005-0000-0000-0000090D0000}"/>
    <cellStyle name="Currency 5 3 3 9 2" xfId="7039" xr:uid="{00000000-0005-0000-0000-00000A0D0000}"/>
    <cellStyle name="Currency 5 3 3 9 2 2" xfId="23930" xr:uid="{BB9AE532-2646-4F0F-9442-787F11B547F9}"/>
    <cellStyle name="Currency 5 3 3 9 2 3" xfId="15489" xr:uid="{F1F7B37D-5BFA-4E2F-8A2C-124408C854D9}"/>
    <cellStyle name="Currency 5 3 3 9 3" xfId="19712" xr:uid="{9F2EB79D-B1B1-4782-B1DA-BF0A818B32A9}"/>
    <cellStyle name="Currency 5 3 3 9 4" xfId="11271" xr:uid="{9F8AACD9-2399-4FCC-8804-084F8B1C9EEA}"/>
    <cellStyle name="Currency 5 3 4" xfId="216" xr:uid="{00000000-0005-0000-0000-00000B0D0000}"/>
    <cellStyle name="Currency 5 3 4 10" xfId="17331" xr:uid="{9B1D184F-6368-4ED3-B403-2147888EE1B0}"/>
    <cellStyle name="Currency 5 3 4 11" xfId="8890" xr:uid="{CD69FEDD-7881-4C8F-8569-3E90E340B078}"/>
    <cellStyle name="Currency 5 3 4 2" xfId="742" xr:uid="{00000000-0005-0000-0000-00000C0D0000}"/>
    <cellStyle name="Currency 5 3 4 2 2" xfId="2995" xr:uid="{00000000-0005-0000-0000-00000D0D0000}"/>
    <cellStyle name="Currency 5 3 4 2 2 2" xfId="7217" xr:uid="{00000000-0005-0000-0000-00000E0D0000}"/>
    <cellStyle name="Currency 5 3 4 2 2 2 2" xfId="24108" xr:uid="{AD224D6A-A6B3-41DA-82A8-F305B7F1D9ED}"/>
    <cellStyle name="Currency 5 3 4 2 2 2 3" xfId="15667" xr:uid="{3954C6E2-BDC3-444B-8BDD-7E539C427D07}"/>
    <cellStyle name="Currency 5 3 4 2 2 3" xfId="19890" xr:uid="{DFEE046E-C696-4C30-A992-422854B6ACBC}"/>
    <cellStyle name="Currency 5 3 4 2 2 4" xfId="11449" xr:uid="{6E4C1BCA-B4D5-4A02-9F78-E54785A15B6F}"/>
    <cellStyle name="Currency 5 3 4 2 3" xfId="5072" xr:uid="{00000000-0005-0000-0000-00000F0D0000}"/>
    <cellStyle name="Currency 5 3 4 2 3 2" xfId="21963" xr:uid="{7B5ECF23-AA70-4FD9-A627-0FF345C5013A}"/>
    <cellStyle name="Currency 5 3 4 2 3 3" xfId="13522" xr:uid="{79CFCFE9-B247-4A9A-880F-E927A48C6E74}"/>
    <cellStyle name="Currency 5 3 4 2 4" xfId="17745" xr:uid="{14B00E80-E831-4B3D-96DB-97F2CD1274D3}"/>
    <cellStyle name="Currency 5 3 4 2 5" xfId="9304" xr:uid="{94A45AB7-2CB1-4409-A813-AAD2C88FA7D8}"/>
    <cellStyle name="Currency 5 3 4 3" xfId="1177" xr:uid="{00000000-0005-0000-0000-0000100D0000}"/>
    <cellStyle name="Currency 5 3 4 3 2" xfId="3408" xr:uid="{00000000-0005-0000-0000-0000110D0000}"/>
    <cellStyle name="Currency 5 3 4 3 2 2" xfId="7630" xr:uid="{00000000-0005-0000-0000-0000120D0000}"/>
    <cellStyle name="Currency 5 3 4 3 2 2 2" xfId="24521" xr:uid="{7EBED166-AAD8-471A-A002-0104864135EB}"/>
    <cellStyle name="Currency 5 3 4 3 2 2 3" xfId="16080" xr:uid="{955CE58F-6D52-4804-8672-BD990FB11B07}"/>
    <cellStyle name="Currency 5 3 4 3 2 3" xfId="20303" xr:uid="{758A0F02-28A1-40AB-8018-CC4CCD21A25C}"/>
    <cellStyle name="Currency 5 3 4 3 2 4" xfId="11862" xr:uid="{176E3810-E4DE-46A3-820E-9E0842267D0A}"/>
    <cellStyle name="Currency 5 3 4 3 3" xfId="5485" xr:uid="{00000000-0005-0000-0000-0000130D0000}"/>
    <cellStyle name="Currency 5 3 4 3 3 2" xfId="22376" xr:uid="{5F403FCF-8EF3-4C59-8576-BD00175DEDB5}"/>
    <cellStyle name="Currency 5 3 4 3 3 3" xfId="13935" xr:uid="{5D2A403A-28F2-404F-858C-9F16E0BE6B9E}"/>
    <cellStyle name="Currency 5 3 4 3 4" xfId="18158" xr:uid="{F0B7D854-0A54-44BF-9ED7-239A261579AC}"/>
    <cellStyle name="Currency 5 3 4 3 5" xfId="9717" xr:uid="{AE463484-D227-4EA9-8A5D-F0256E722005}"/>
    <cellStyle name="Currency 5 3 4 4" xfId="1591" xr:uid="{00000000-0005-0000-0000-0000140D0000}"/>
    <cellStyle name="Currency 5 3 4 4 2" xfId="3821" xr:uid="{00000000-0005-0000-0000-0000150D0000}"/>
    <cellStyle name="Currency 5 3 4 4 2 2" xfId="8043" xr:uid="{00000000-0005-0000-0000-0000160D0000}"/>
    <cellStyle name="Currency 5 3 4 4 2 2 2" xfId="24934" xr:uid="{AD4A3F07-049B-4D36-B721-D9B219512099}"/>
    <cellStyle name="Currency 5 3 4 4 2 2 3" xfId="16493" xr:uid="{01DA8BC6-735B-4477-AECA-D27EAB8364A1}"/>
    <cellStyle name="Currency 5 3 4 4 2 3" xfId="20716" xr:uid="{4398EF89-2E9B-49D0-8D68-0E6B29B144C6}"/>
    <cellStyle name="Currency 5 3 4 4 2 4" xfId="12275" xr:uid="{80B365DC-2524-45EC-84EE-9812A74D1E4C}"/>
    <cellStyle name="Currency 5 3 4 4 3" xfId="5898" xr:uid="{00000000-0005-0000-0000-0000170D0000}"/>
    <cellStyle name="Currency 5 3 4 4 3 2" xfId="22789" xr:uid="{A410B14E-43EF-4CB8-8251-3B1A307512F3}"/>
    <cellStyle name="Currency 5 3 4 4 3 3" xfId="14348" xr:uid="{7B0B8B8F-45A7-4ECD-8538-DBD67AA7106F}"/>
    <cellStyle name="Currency 5 3 4 4 4" xfId="18571" xr:uid="{43FB63F7-821C-490B-BEA1-7D87F0EF5237}"/>
    <cellStyle name="Currency 5 3 4 4 5" xfId="10130" xr:uid="{02F7ACDE-5992-424E-AED3-6E0CC23D71F7}"/>
    <cellStyle name="Currency 5 3 4 5" xfId="2005" xr:uid="{00000000-0005-0000-0000-0000180D0000}"/>
    <cellStyle name="Currency 5 3 4 5 2" xfId="4234" xr:uid="{00000000-0005-0000-0000-0000190D0000}"/>
    <cellStyle name="Currency 5 3 4 5 2 2" xfId="8456" xr:uid="{00000000-0005-0000-0000-00001A0D0000}"/>
    <cellStyle name="Currency 5 3 4 5 2 2 2" xfId="25347" xr:uid="{DBAA29E9-8467-43BA-94F2-438F231FA4FB}"/>
    <cellStyle name="Currency 5 3 4 5 2 2 3" xfId="16906" xr:uid="{20337916-21C9-484B-9F21-F2B4B3CE1597}"/>
    <cellStyle name="Currency 5 3 4 5 2 3" xfId="21129" xr:uid="{7F664EF8-C236-4082-B6C7-AC58ECB93B29}"/>
    <cellStyle name="Currency 5 3 4 5 2 4" xfId="12688" xr:uid="{991E78C0-12EA-4917-AFA3-F691D80ECCC7}"/>
    <cellStyle name="Currency 5 3 4 5 3" xfId="6311" xr:uid="{00000000-0005-0000-0000-00001B0D0000}"/>
    <cellStyle name="Currency 5 3 4 5 3 2" xfId="23202" xr:uid="{75CC4EDD-0B9A-434F-9651-AC4CD70EAFDE}"/>
    <cellStyle name="Currency 5 3 4 5 3 3" xfId="14761" xr:uid="{A9F5ABE4-8030-4868-A787-BBFD280A2ABF}"/>
    <cellStyle name="Currency 5 3 4 5 4" xfId="18984" xr:uid="{C53C28F6-ADE2-41B2-BD0E-3E7F7E06DC21}"/>
    <cellStyle name="Currency 5 3 4 5 5" xfId="10543" xr:uid="{B98ED352-04B9-4FC4-9F84-DC30B642EF22}"/>
    <cellStyle name="Currency 5 3 4 6" xfId="2440" xr:uid="{00000000-0005-0000-0000-00001C0D0000}"/>
    <cellStyle name="Currency 5 3 4 6 2" xfId="6724" xr:uid="{00000000-0005-0000-0000-00001D0D0000}"/>
    <cellStyle name="Currency 5 3 4 6 2 2" xfId="23615" xr:uid="{48669699-00C6-4180-8CEA-2C6B85B38035}"/>
    <cellStyle name="Currency 5 3 4 6 2 3" xfId="15174" xr:uid="{55AF72D1-71EE-4C79-8A7A-EE18AD0D2439}"/>
    <cellStyle name="Currency 5 3 4 6 3" xfId="19397" xr:uid="{E4170DF5-28B0-48B9-B9DA-4227D85C5B5C}"/>
    <cellStyle name="Currency 5 3 4 6 4" xfId="10956" xr:uid="{A37A57E2-B001-4DF5-B4DA-19BD2D7D64ED}"/>
    <cellStyle name="Currency 5 3 4 7" xfId="2737" xr:uid="{00000000-0005-0000-0000-00001E0D0000}"/>
    <cellStyle name="Currency 5 3 4 8" xfId="2818" xr:uid="{00000000-0005-0000-0000-00001F0D0000}"/>
    <cellStyle name="Currency 5 3 4 8 2" xfId="7041" xr:uid="{00000000-0005-0000-0000-0000200D0000}"/>
    <cellStyle name="Currency 5 3 4 8 2 2" xfId="23932" xr:uid="{B8261844-1E70-42BA-91C0-9FD95C8BB0DA}"/>
    <cellStyle name="Currency 5 3 4 8 2 3" xfId="15491" xr:uid="{D28C8EF7-9FE7-49E8-8E40-FE0410B79BF5}"/>
    <cellStyle name="Currency 5 3 4 8 3" xfId="19714" xr:uid="{E9C5BBEE-B652-4ECF-95CE-3A2044127CD5}"/>
    <cellStyle name="Currency 5 3 4 8 4" xfId="11273" xr:uid="{87FCEECA-44E2-4435-88CE-996006ECCDE6}"/>
    <cellStyle name="Currency 5 3 4 9" xfId="4658" xr:uid="{00000000-0005-0000-0000-0000210D0000}"/>
    <cellStyle name="Currency 5 3 4 9 2" xfId="21549" xr:uid="{CF62C595-2FC0-4917-ABB8-59BFE71545FE}"/>
    <cellStyle name="Currency 5 3 4 9 3" xfId="13108" xr:uid="{5E9BCED0-1960-4CF4-BF64-4B58EA412854}"/>
    <cellStyle name="Currency 5 3 5" xfId="217" xr:uid="{00000000-0005-0000-0000-0000220D0000}"/>
    <cellStyle name="Currency 5 3 5 10" xfId="17332" xr:uid="{FA05F157-9495-4B38-8D17-3658B9804AE6}"/>
    <cellStyle name="Currency 5 3 5 11" xfId="8891" xr:uid="{A8F6650B-78F1-46A8-8BF8-D8E25D14D87F}"/>
    <cellStyle name="Currency 5 3 5 2" xfId="743" xr:uid="{00000000-0005-0000-0000-0000230D0000}"/>
    <cellStyle name="Currency 5 3 5 2 2" xfId="2996" xr:uid="{00000000-0005-0000-0000-0000240D0000}"/>
    <cellStyle name="Currency 5 3 5 2 2 2" xfId="7218" xr:uid="{00000000-0005-0000-0000-0000250D0000}"/>
    <cellStyle name="Currency 5 3 5 2 2 2 2" xfId="24109" xr:uid="{86D3C50D-2445-4883-87BD-836AD8D3B5AE}"/>
    <cellStyle name="Currency 5 3 5 2 2 2 3" xfId="15668" xr:uid="{6C894966-9393-4B84-8032-EBAB7B71E164}"/>
    <cellStyle name="Currency 5 3 5 2 2 3" xfId="19891" xr:uid="{BD3C86F7-F829-4C05-9A2D-30D75F304891}"/>
    <cellStyle name="Currency 5 3 5 2 2 4" xfId="11450" xr:uid="{B047258A-1B37-4086-A217-E37A3C288B9C}"/>
    <cellStyle name="Currency 5 3 5 2 3" xfId="5073" xr:uid="{00000000-0005-0000-0000-0000260D0000}"/>
    <cellStyle name="Currency 5 3 5 2 3 2" xfId="21964" xr:uid="{F3B68015-9AD9-48D7-B7A2-222B5754E79C}"/>
    <cellStyle name="Currency 5 3 5 2 3 3" xfId="13523" xr:uid="{E44F9196-8A04-4BB5-B9E3-FA73AEFA854D}"/>
    <cellStyle name="Currency 5 3 5 2 4" xfId="17746" xr:uid="{1D2396A8-DD97-4ADA-9AB0-5DB99774DB55}"/>
    <cellStyle name="Currency 5 3 5 2 5" xfId="9305" xr:uid="{1AF7E367-2363-420F-88F5-0DBBCEB8ED85}"/>
    <cellStyle name="Currency 5 3 5 3" xfId="1178" xr:uid="{00000000-0005-0000-0000-0000270D0000}"/>
    <cellStyle name="Currency 5 3 5 3 2" xfId="3409" xr:uid="{00000000-0005-0000-0000-0000280D0000}"/>
    <cellStyle name="Currency 5 3 5 3 2 2" xfId="7631" xr:uid="{00000000-0005-0000-0000-0000290D0000}"/>
    <cellStyle name="Currency 5 3 5 3 2 2 2" xfId="24522" xr:uid="{F6C888BE-04B7-4E3E-BC92-EA747AF4380E}"/>
    <cellStyle name="Currency 5 3 5 3 2 2 3" xfId="16081" xr:uid="{65708E93-EE1A-46B3-99D8-3DFD478D2283}"/>
    <cellStyle name="Currency 5 3 5 3 2 3" xfId="20304" xr:uid="{F637D358-5A74-4C8A-8E3C-CA4D2185578A}"/>
    <cellStyle name="Currency 5 3 5 3 2 4" xfId="11863" xr:uid="{730CD2F3-E185-464C-A471-8FDE985CB70F}"/>
    <cellStyle name="Currency 5 3 5 3 3" xfId="5486" xr:uid="{00000000-0005-0000-0000-00002A0D0000}"/>
    <cellStyle name="Currency 5 3 5 3 3 2" xfId="22377" xr:uid="{86E54E26-7A02-411B-8C05-9C425913E0FC}"/>
    <cellStyle name="Currency 5 3 5 3 3 3" xfId="13936" xr:uid="{B00CB5B9-DA98-48A6-9044-8887B68345A6}"/>
    <cellStyle name="Currency 5 3 5 3 4" xfId="18159" xr:uid="{AFCF8226-47DF-4AC9-890C-EDD0082004A8}"/>
    <cellStyle name="Currency 5 3 5 3 5" xfId="9718" xr:uid="{44920015-062B-44B9-A237-6F1888B288D3}"/>
    <cellStyle name="Currency 5 3 5 4" xfId="1592" xr:uid="{00000000-0005-0000-0000-00002B0D0000}"/>
    <cellStyle name="Currency 5 3 5 4 2" xfId="3822" xr:uid="{00000000-0005-0000-0000-00002C0D0000}"/>
    <cellStyle name="Currency 5 3 5 4 2 2" xfId="8044" xr:uid="{00000000-0005-0000-0000-00002D0D0000}"/>
    <cellStyle name="Currency 5 3 5 4 2 2 2" xfId="24935" xr:uid="{3F9BED5E-53AA-4A38-9778-61F4B3E60AA8}"/>
    <cellStyle name="Currency 5 3 5 4 2 2 3" xfId="16494" xr:uid="{DDD99562-4557-463E-AC17-ED585C5D405C}"/>
    <cellStyle name="Currency 5 3 5 4 2 3" xfId="20717" xr:uid="{3B2524DE-EB38-467C-8CB7-2DB78F2BF1AA}"/>
    <cellStyle name="Currency 5 3 5 4 2 4" xfId="12276" xr:uid="{8D47CAA2-C243-40C0-8F0F-BFDC4A9B41FC}"/>
    <cellStyle name="Currency 5 3 5 4 3" xfId="5899" xr:uid="{00000000-0005-0000-0000-00002E0D0000}"/>
    <cellStyle name="Currency 5 3 5 4 3 2" xfId="22790" xr:uid="{692D6416-C6FE-4D6C-A7FC-CA76D40D5D7B}"/>
    <cellStyle name="Currency 5 3 5 4 3 3" xfId="14349" xr:uid="{8269CC49-BEFE-4474-B553-ACB5F3C1C077}"/>
    <cellStyle name="Currency 5 3 5 4 4" xfId="18572" xr:uid="{2E313E1F-8CC2-4714-8FF3-A5E96C6152B4}"/>
    <cellStyle name="Currency 5 3 5 4 5" xfId="10131" xr:uid="{2965433E-3F8A-4EF5-A524-B6D7E5A6B0D4}"/>
    <cellStyle name="Currency 5 3 5 5" xfId="2006" xr:uid="{00000000-0005-0000-0000-00002F0D0000}"/>
    <cellStyle name="Currency 5 3 5 5 2" xfId="4235" xr:uid="{00000000-0005-0000-0000-0000300D0000}"/>
    <cellStyle name="Currency 5 3 5 5 2 2" xfId="8457" xr:uid="{00000000-0005-0000-0000-0000310D0000}"/>
    <cellStyle name="Currency 5 3 5 5 2 2 2" xfId="25348" xr:uid="{AAE86962-5FB0-4E65-B4E7-A73E47C52BA0}"/>
    <cellStyle name="Currency 5 3 5 5 2 2 3" xfId="16907" xr:uid="{3865EB89-461C-4231-A944-D30CCF60B8AC}"/>
    <cellStyle name="Currency 5 3 5 5 2 3" xfId="21130" xr:uid="{7243D276-9958-4F0E-8DF5-8BA3B5C3B78D}"/>
    <cellStyle name="Currency 5 3 5 5 2 4" xfId="12689" xr:uid="{1A0B0A20-D46F-433F-A503-CAD87672E36F}"/>
    <cellStyle name="Currency 5 3 5 5 3" xfId="6312" xr:uid="{00000000-0005-0000-0000-0000320D0000}"/>
    <cellStyle name="Currency 5 3 5 5 3 2" xfId="23203" xr:uid="{B2B28C97-9E05-43BA-9E8D-3B30D465D46F}"/>
    <cellStyle name="Currency 5 3 5 5 3 3" xfId="14762" xr:uid="{56F3C179-1D8E-4AC3-B33B-BCA49C3E2605}"/>
    <cellStyle name="Currency 5 3 5 5 4" xfId="18985" xr:uid="{4368585D-C518-40BB-9513-FE56DB6E7834}"/>
    <cellStyle name="Currency 5 3 5 5 5" xfId="10544" xr:uid="{DCD22D43-0F82-40F6-B34F-E8DEE3166C40}"/>
    <cellStyle name="Currency 5 3 5 6" xfId="2441" xr:uid="{00000000-0005-0000-0000-0000330D0000}"/>
    <cellStyle name="Currency 5 3 5 6 2" xfId="6725" xr:uid="{00000000-0005-0000-0000-0000340D0000}"/>
    <cellStyle name="Currency 5 3 5 6 2 2" xfId="23616" xr:uid="{B1B6EAD7-96D8-46FE-9CED-4F5760F8B0B9}"/>
    <cellStyle name="Currency 5 3 5 6 2 3" xfId="15175" xr:uid="{7C67D221-D9F5-4A62-8F1C-F97DBC781062}"/>
    <cellStyle name="Currency 5 3 5 6 3" xfId="19398" xr:uid="{CB4FA17C-AECE-4404-A05A-3A511254D30B}"/>
    <cellStyle name="Currency 5 3 5 6 4" xfId="10957" xr:uid="{5ECB0948-50C5-4CFB-AB20-8B7AFB07F34A}"/>
    <cellStyle name="Currency 5 3 5 7" xfId="2738" xr:uid="{00000000-0005-0000-0000-0000350D0000}"/>
    <cellStyle name="Currency 5 3 5 8" xfId="2819" xr:uid="{00000000-0005-0000-0000-0000360D0000}"/>
    <cellStyle name="Currency 5 3 5 8 2" xfId="7042" xr:uid="{00000000-0005-0000-0000-0000370D0000}"/>
    <cellStyle name="Currency 5 3 5 8 2 2" xfId="23933" xr:uid="{74D22A96-41C1-4299-953C-5F8EEA2A5381}"/>
    <cellStyle name="Currency 5 3 5 8 2 3" xfId="15492" xr:uid="{CA601EA7-6CD8-489E-A127-E1779233E042}"/>
    <cellStyle name="Currency 5 3 5 8 3" xfId="19715" xr:uid="{0D3CA4D4-FF17-4246-9F72-3661FB2F1C14}"/>
    <cellStyle name="Currency 5 3 5 8 4" xfId="11274" xr:uid="{2A993FCB-2EF5-42AC-A5A1-D76E38766728}"/>
    <cellStyle name="Currency 5 3 5 9" xfId="4659" xr:uid="{00000000-0005-0000-0000-0000380D0000}"/>
    <cellStyle name="Currency 5 3 5 9 2" xfId="21550" xr:uid="{494E0627-0EEB-4A18-B335-90686BD05358}"/>
    <cellStyle name="Currency 5 3 5 9 3" xfId="13109" xr:uid="{E882BDAA-09BE-442E-A33A-E10A46307861}"/>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10 2" xfId="21551" xr:uid="{529D51DD-D461-4A4C-920A-70CFEA49F1F6}"/>
    <cellStyle name="Currency 5 5 10 3" xfId="13110" xr:uid="{DEE9B3B4-F535-4130-91E8-D61F3F91665F}"/>
    <cellStyle name="Currency 5 5 11" xfId="17333" xr:uid="{26AF81BF-B6ED-42BA-A840-E8239CA8A975}"/>
    <cellStyle name="Currency 5 5 12" xfId="8892" xr:uid="{424A9AEA-AC57-49DA-B2B1-507D36A02116}"/>
    <cellStyle name="Currency 5 5 2" xfId="220" xr:uid="{00000000-0005-0000-0000-00003D0D0000}"/>
    <cellStyle name="Currency 5 5 2 10" xfId="17334" xr:uid="{D97853AD-3D58-4677-9B6E-D7C564A16ACB}"/>
    <cellStyle name="Currency 5 5 2 11" xfId="8893" xr:uid="{36DC15A2-BBA6-4352-80BA-9CE100FD9337}"/>
    <cellStyle name="Currency 5 5 2 2" xfId="746" xr:uid="{00000000-0005-0000-0000-00003E0D0000}"/>
    <cellStyle name="Currency 5 5 2 2 2" xfId="2998" xr:uid="{00000000-0005-0000-0000-00003F0D0000}"/>
    <cellStyle name="Currency 5 5 2 2 2 2" xfId="7220" xr:uid="{00000000-0005-0000-0000-0000400D0000}"/>
    <cellStyle name="Currency 5 5 2 2 2 2 2" xfId="24111" xr:uid="{A7728D8B-9FF0-402C-A260-B520575A8BCD}"/>
    <cellStyle name="Currency 5 5 2 2 2 2 3" xfId="15670" xr:uid="{AC5C837B-976C-454C-9AD4-F108CB19D781}"/>
    <cellStyle name="Currency 5 5 2 2 2 3" xfId="19893" xr:uid="{DE604B39-398E-49BF-95A0-50F4DDF468EC}"/>
    <cellStyle name="Currency 5 5 2 2 2 4" xfId="11452" xr:uid="{CD96A452-AC9B-4D90-8E20-003F11634A40}"/>
    <cellStyle name="Currency 5 5 2 2 3" xfId="5075" xr:uid="{00000000-0005-0000-0000-0000410D0000}"/>
    <cellStyle name="Currency 5 5 2 2 3 2" xfId="21966" xr:uid="{20202E2B-3E79-4763-AB26-640D5116D432}"/>
    <cellStyle name="Currency 5 5 2 2 3 3" xfId="13525" xr:uid="{752E593C-CBE5-47CC-A74B-C991F1FBC678}"/>
    <cellStyle name="Currency 5 5 2 2 4" xfId="17748" xr:uid="{4D26504D-1CE9-4720-AE56-74E617E45869}"/>
    <cellStyle name="Currency 5 5 2 2 5" xfId="9307" xr:uid="{C27EDA69-C741-407F-8D97-A97D8EE2B2E9}"/>
    <cellStyle name="Currency 5 5 2 3" xfId="1180" xr:uid="{00000000-0005-0000-0000-0000420D0000}"/>
    <cellStyle name="Currency 5 5 2 3 2" xfId="3411" xr:uid="{00000000-0005-0000-0000-0000430D0000}"/>
    <cellStyle name="Currency 5 5 2 3 2 2" xfId="7633" xr:uid="{00000000-0005-0000-0000-0000440D0000}"/>
    <cellStyle name="Currency 5 5 2 3 2 2 2" xfId="24524" xr:uid="{1CDCF318-3A22-4DED-AFE9-3B14162EA7E3}"/>
    <cellStyle name="Currency 5 5 2 3 2 2 3" xfId="16083" xr:uid="{C39A7374-2C1A-4FC3-ABBE-0C8EAAB0030E}"/>
    <cellStyle name="Currency 5 5 2 3 2 3" xfId="20306" xr:uid="{3CCD12E8-8634-4142-999F-B9917B9FFD22}"/>
    <cellStyle name="Currency 5 5 2 3 2 4" xfId="11865" xr:uid="{DFC9BF53-9DC0-4C8A-BCA3-80667323EC8B}"/>
    <cellStyle name="Currency 5 5 2 3 3" xfId="5488" xr:uid="{00000000-0005-0000-0000-0000450D0000}"/>
    <cellStyle name="Currency 5 5 2 3 3 2" xfId="22379" xr:uid="{739697EE-2B0B-4EF8-B609-DA07F30EB4E6}"/>
    <cellStyle name="Currency 5 5 2 3 3 3" xfId="13938" xr:uid="{F384BAC2-8677-4D5D-BA1C-3D76F2443205}"/>
    <cellStyle name="Currency 5 5 2 3 4" xfId="18161" xr:uid="{EF997FCC-C501-45B9-8911-EE3CC0907F52}"/>
    <cellStyle name="Currency 5 5 2 3 5" xfId="9720" xr:uid="{44E73919-3F1F-4764-AAFD-36941638AD79}"/>
    <cellStyle name="Currency 5 5 2 4" xfId="1594" xr:uid="{00000000-0005-0000-0000-0000460D0000}"/>
    <cellStyle name="Currency 5 5 2 4 2" xfId="3824" xr:uid="{00000000-0005-0000-0000-0000470D0000}"/>
    <cellStyle name="Currency 5 5 2 4 2 2" xfId="8046" xr:uid="{00000000-0005-0000-0000-0000480D0000}"/>
    <cellStyle name="Currency 5 5 2 4 2 2 2" xfId="24937" xr:uid="{0D2AACD5-DDFD-4E9A-B40B-45C6E8E6F6EC}"/>
    <cellStyle name="Currency 5 5 2 4 2 2 3" xfId="16496" xr:uid="{9899A653-14B3-4847-B51A-BB34C6C07D76}"/>
    <cellStyle name="Currency 5 5 2 4 2 3" xfId="20719" xr:uid="{D991AED7-21B4-4726-8E40-BDC6F51E45FE}"/>
    <cellStyle name="Currency 5 5 2 4 2 4" xfId="12278" xr:uid="{647649BA-D957-44BC-A07F-3A749E821982}"/>
    <cellStyle name="Currency 5 5 2 4 3" xfId="5901" xr:uid="{00000000-0005-0000-0000-0000490D0000}"/>
    <cellStyle name="Currency 5 5 2 4 3 2" xfId="22792" xr:uid="{FF41DFFD-B3EA-478B-BF0C-5BC95D8A7720}"/>
    <cellStyle name="Currency 5 5 2 4 3 3" xfId="14351" xr:uid="{719A3D41-D788-4FD4-8E5D-ED661F93D57C}"/>
    <cellStyle name="Currency 5 5 2 4 4" xfId="18574" xr:uid="{6736904F-3918-40A8-959C-3012EA02ECC5}"/>
    <cellStyle name="Currency 5 5 2 4 5" xfId="10133" xr:uid="{2322B581-0872-4DEC-94B9-9BAD858E3A99}"/>
    <cellStyle name="Currency 5 5 2 5" xfId="2008" xr:uid="{00000000-0005-0000-0000-00004A0D0000}"/>
    <cellStyle name="Currency 5 5 2 5 2" xfId="4237" xr:uid="{00000000-0005-0000-0000-00004B0D0000}"/>
    <cellStyle name="Currency 5 5 2 5 2 2" xfId="8459" xr:uid="{00000000-0005-0000-0000-00004C0D0000}"/>
    <cellStyle name="Currency 5 5 2 5 2 2 2" xfId="25350" xr:uid="{09079A90-61DF-4BE8-B82E-131367FADAC4}"/>
    <cellStyle name="Currency 5 5 2 5 2 2 3" xfId="16909" xr:uid="{6CD5BAAC-FB1A-4A33-AD19-B21CF68171DA}"/>
    <cellStyle name="Currency 5 5 2 5 2 3" xfId="21132" xr:uid="{2DFBA299-FABC-4360-A91A-A3DA2B3291AE}"/>
    <cellStyle name="Currency 5 5 2 5 2 4" xfId="12691" xr:uid="{A160BD08-9F1F-4FB1-B8CD-876DD786964F}"/>
    <cellStyle name="Currency 5 5 2 5 3" xfId="6314" xr:uid="{00000000-0005-0000-0000-00004D0D0000}"/>
    <cellStyle name="Currency 5 5 2 5 3 2" xfId="23205" xr:uid="{F9F4A7FD-F566-4B11-A016-1E9A63F7C215}"/>
    <cellStyle name="Currency 5 5 2 5 3 3" xfId="14764" xr:uid="{CC750ED0-AE18-4CEE-88CF-022382C0A28E}"/>
    <cellStyle name="Currency 5 5 2 5 4" xfId="18987" xr:uid="{0D937E8E-E049-4B8A-8EA2-AC7E551803D5}"/>
    <cellStyle name="Currency 5 5 2 5 5" xfId="10546" xr:uid="{A338584F-7891-4D42-84D3-087637BD9007}"/>
    <cellStyle name="Currency 5 5 2 6" xfId="2443" xr:uid="{00000000-0005-0000-0000-00004E0D0000}"/>
    <cellStyle name="Currency 5 5 2 6 2" xfId="6727" xr:uid="{00000000-0005-0000-0000-00004F0D0000}"/>
    <cellStyle name="Currency 5 5 2 6 2 2" xfId="23618" xr:uid="{2DCCFCD2-1AD5-4A58-855C-BE32541EAA2D}"/>
    <cellStyle name="Currency 5 5 2 6 2 3" xfId="15177" xr:uid="{3C17CD01-46F1-42C9-8B64-DEE0892F5C35}"/>
    <cellStyle name="Currency 5 5 2 6 3" xfId="19400" xr:uid="{3A486945-F4D8-4B41-B87E-1283257DA933}"/>
    <cellStyle name="Currency 5 5 2 6 4" xfId="10959" xr:uid="{33BA9A6E-9E23-4382-BE4C-226B1083BB08}"/>
    <cellStyle name="Currency 5 5 2 7" xfId="2740" xr:uid="{00000000-0005-0000-0000-0000500D0000}"/>
    <cellStyle name="Currency 5 5 2 8" xfId="2821" xr:uid="{00000000-0005-0000-0000-0000510D0000}"/>
    <cellStyle name="Currency 5 5 2 8 2" xfId="7044" xr:uid="{00000000-0005-0000-0000-0000520D0000}"/>
    <cellStyle name="Currency 5 5 2 8 2 2" xfId="23935" xr:uid="{C6CCB8B3-6063-4488-B775-F68A5B53D55D}"/>
    <cellStyle name="Currency 5 5 2 8 2 3" xfId="15494" xr:uid="{44599491-9E28-4BA8-BE97-BA70426F0F91}"/>
    <cellStyle name="Currency 5 5 2 8 3" xfId="19717" xr:uid="{793317B5-8269-4F4D-BE16-8BDAD8E2E22C}"/>
    <cellStyle name="Currency 5 5 2 8 4" xfId="11276" xr:uid="{DB6764DC-5610-4EE6-B567-17E38D506724}"/>
    <cellStyle name="Currency 5 5 2 9" xfId="4661" xr:uid="{00000000-0005-0000-0000-0000530D0000}"/>
    <cellStyle name="Currency 5 5 2 9 2" xfId="21552" xr:uid="{F906A7CE-6901-4DAA-B722-617BDC80FEF0}"/>
    <cellStyle name="Currency 5 5 2 9 3" xfId="13111" xr:uid="{BC50DCF7-6BCC-4031-9E3B-E5BE421D89A6}"/>
    <cellStyle name="Currency 5 5 3" xfId="745" xr:uid="{00000000-0005-0000-0000-0000540D0000}"/>
    <cellStyle name="Currency 5 5 3 2" xfId="2997" xr:uid="{00000000-0005-0000-0000-0000550D0000}"/>
    <cellStyle name="Currency 5 5 3 2 2" xfId="7219" xr:uid="{00000000-0005-0000-0000-0000560D0000}"/>
    <cellStyle name="Currency 5 5 3 2 2 2" xfId="24110" xr:uid="{95457B3D-E3F9-4FAE-843E-C4117A0F0A86}"/>
    <cellStyle name="Currency 5 5 3 2 2 3" xfId="15669" xr:uid="{D4546546-9D33-4263-AE4F-4299A454DD3E}"/>
    <cellStyle name="Currency 5 5 3 2 3" xfId="19892" xr:uid="{B005B7EE-93E1-4413-B096-E1124F90698C}"/>
    <cellStyle name="Currency 5 5 3 2 4" xfId="11451" xr:uid="{0F3EF5D4-006D-47B3-AE29-72B231322B34}"/>
    <cellStyle name="Currency 5 5 3 3" xfId="5074" xr:uid="{00000000-0005-0000-0000-0000570D0000}"/>
    <cellStyle name="Currency 5 5 3 3 2" xfId="21965" xr:uid="{8126320D-4C79-4DCF-BE93-2D425D1FC061}"/>
    <cellStyle name="Currency 5 5 3 3 3" xfId="13524" xr:uid="{E5DEC4C2-39A2-4CB3-8615-F018DC053892}"/>
    <cellStyle name="Currency 5 5 3 4" xfId="17747" xr:uid="{CA33E7C7-F506-4189-9E87-0679163AE6BB}"/>
    <cellStyle name="Currency 5 5 3 5" xfId="9306" xr:uid="{D69EFE0B-C2E4-42DA-909A-D6E2D1DE0E95}"/>
    <cellStyle name="Currency 5 5 4" xfId="1179" xr:uid="{00000000-0005-0000-0000-0000580D0000}"/>
    <cellStyle name="Currency 5 5 4 2" xfId="3410" xr:uid="{00000000-0005-0000-0000-0000590D0000}"/>
    <cellStyle name="Currency 5 5 4 2 2" xfId="7632" xr:uid="{00000000-0005-0000-0000-00005A0D0000}"/>
    <cellStyle name="Currency 5 5 4 2 2 2" xfId="24523" xr:uid="{BD5D7BA9-8F93-4829-8428-4E1A22F61392}"/>
    <cellStyle name="Currency 5 5 4 2 2 3" xfId="16082" xr:uid="{13D3B4F6-6ED6-455F-8725-C3ED82470967}"/>
    <cellStyle name="Currency 5 5 4 2 3" xfId="20305" xr:uid="{9C6C3F8B-3198-4E1C-B91F-A4F7FBDA0D66}"/>
    <cellStyle name="Currency 5 5 4 2 4" xfId="11864" xr:uid="{0EF2D07E-5DA5-4263-BAD8-E5EC3AE64412}"/>
    <cellStyle name="Currency 5 5 4 3" xfId="5487" xr:uid="{00000000-0005-0000-0000-00005B0D0000}"/>
    <cellStyle name="Currency 5 5 4 3 2" xfId="22378" xr:uid="{37E6212E-32F5-4DF0-A1DB-C407A2BCB82F}"/>
    <cellStyle name="Currency 5 5 4 3 3" xfId="13937" xr:uid="{B9620BBA-D396-42E8-BE54-D5DF422F1286}"/>
    <cellStyle name="Currency 5 5 4 4" xfId="18160" xr:uid="{812F4330-FB91-49EA-980A-2E9E649C8429}"/>
    <cellStyle name="Currency 5 5 4 5" xfId="9719" xr:uid="{C519EA42-27E7-44A0-917C-2FEBF187DD56}"/>
    <cellStyle name="Currency 5 5 5" xfId="1593" xr:uid="{00000000-0005-0000-0000-00005C0D0000}"/>
    <cellStyle name="Currency 5 5 5 2" xfId="3823" xr:uid="{00000000-0005-0000-0000-00005D0D0000}"/>
    <cellStyle name="Currency 5 5 5 2 2" xfId="8045" xr:uid="{00000000-0005-0000-0000-00005E0D0000}"/>
    <cellStyle name="Currency 5 5 5 2 2 2" xfId="24936" xr:uid="{46AF944C-275C-450D-9C6A-EB0DA862EAA2}"/>
    <cellStyle name="Currency 5 5 5 2 2 3" xfId="16495" xr:uid="{BD6E9227-0900-421E-8141-79D9C089E7F8}"/>
    <cellStyle name="Currency 5 5 5 2 3" xfId="20718" xr:uid="{01DD6589-5992-4F4B-8A10-C8262BC638EA}"/>
    <cellStyle name="Currency 5 5 5 2 4" xfId="12277" xr:uid="{4D0ACC84-FA2C-43D9-BC57-DC355B5FC0E2}"/>
    <cellStyle name="Currency 5 5 5 3" xfId="5900" xr:uid="{00000000-0005-0000-0000-00005F0D0000}"/>
    <cellStyle name="Currency 5 5 5 3 2" xfId="22791" xr:uid="{8A3B069C-732D-467B-B52E-16F2F9F2623C}"/>
    <cellStyle name="Currency 5 5 5 3 3" xfId="14350" xr:uid="{B714B121-2D93-47EE-A63E-889505FA4D47}"/>
    <cellStyle name="Currency 5 5 5 4" xfId="18573" xr:uid="{7A84D904-5650-419B-982D-83ACC3774C01}"/>
    <cellStyle name="Currency 5 5 5 5" xfId="10132" xr:uid="{F1C9A8D0-4F98-4CDC-890F-7EE969CD092F}"/>
    <cellStyle name="Currency 5 5 6" xfId="2007" xr:uid="{00000000-0005-0000-0000-0000600D0000}"/>
    <cellStyle name="Currency 5 5 6 2" xfId="4236" xr:uid="{00000000-0005-0000-0000-0000610D0000}"/>
    <cellStyle name="Currency 5 5 6 2 2" xfId="8458" xr:uid="{00000000-0005-0000-0000-0000620D0000}"/>
    <cellStyle name="Currency 5 5 6 2 2 2" xfId="25349" xr:uid="{BB3EBD94-CC01-49B9-A2BC-5FC4B8A83545}"/>
    <cellStyle name="Currency 5 5 6 2 2 3" xfId="16908" xr:uid="{EDC327B4-1739-4DDD-B36B-47F46A86E280}"/>
    <cellStyle name="Currency 5 5 6 2 3" xfId="21131" xr:uid="{E1DBEA31-5115-434A-9F01-A55D42147696}"/>
    <cellStyle name="Currency 5 5 6 2 4" xfId="12690" xr:uid="{24A7EE7C-27AE-464E-99E4-66DBD99EDEBB}"/>
    <cellStyle name="Currency 5 5 6 3" xfId="6313" xr:uid="{00000000-0005-0000-0000-0000630D0000}"/>
    <cellStyle name="Currency 5 5 6 3 2" xfId="23204" xr:uid="{A0BD6515-0249-4051-9113-21A20C011E3E}"/>
    <cellStyle name="Currency 5 5 6 3 3" xfId="14763" xr:uid="{B8A20FF1-A77B-4BDB-9501-03216E98BBD6}"/>
    <cellStyle name="Currency 5 5 6 4" xfId="18986" xr:uid="{C3708B74-91FE-47F0-B12A-376E50B3F3E8}"/>
    <cellStyle name="Currency 5 5 6 5" xfId="10545" xr:uid="{4A6AF917-74EF-4AED-914B-B395F1F9098E}"/>
    <cellStyle name="Currency 5 5 7" xfId="2442" xr:uid="{00000000-0005-0000-0000-0000640D0000}"/>
    <cellStyle name="Currency 5 5 7 2" xfId="6726" xr:uid="{00000000-0005-0000-0000-0000650D0000}"/>
    <cellStyle name="Currency 5 5 7 2 2" xfId="23617" xr:uid="{D83DF140-B661-4036-B231-8AC7A2EF4677}"/>
    <cellStyle name="Currency 5 5 7 2 3" xfId="15176" xr:uid="{72B07076-2A39-49E2-BBD0-A5D2CB3956B6}"/>
    <cellStyle name="Currency 5 5 7 3" xfId="19399" xr:uid="{54B7FCC1-5A5E-430D-A31B-5C88CD6AE7B9}"/>
    <cellStyle name="Currency 5 5 7 4" xfId="10958" xr:uid="{E9CD497B-D1A4-4775-8745-A27BBC89A511}"/>
    <cellStyle name="Currency 5 5 8" xfId="2739" xr:uid="{00000000-0005-0000-0000-0000660D0000}"/>
    <cellStyle name="Currency 5 5 9" xfId="2820" xr:uid="{00000000-0005-0000-0000-0000670D0000}"/>
    <cellStyle name="Currency 5 5 9 2" xfId="7043" xr:uid="{00000000-0005-0000-0000-0000680D0000}"/>
    <cellStyle name="Currency 5 5 9 2 2" xfId="23934" xr:uid="{388780F0-19BD-4AF6-A5B8-95B1D7DEEFAD}"/>
    <cellStyle name="Currency 5 5 9 2 3" xfId="15493" xr:uid="{FE308114-5FB1-489A-906B-DB2AB4077118}"/>
    <cellStyle name="Currency 5 5 9 3" xfId="19716" xr:uid="{8D8416DE-6894-4CCD-AF0E-EF495B82D5B9}"/>
    <cellStyle name="Currency 5 5 9 4" xfId="11275" xr:uid="{67B2631C-26CF-4A90-BDBC-95E782731B39}"/>
    <cellStyle name="Currency 5 6" xfId="221" xr:uid="{00000000-0005-0000-0000-0000690D0000}"/>
    <cellStyle name="Currency 5 6 10" xfId="17335" xr:uid="{881E8ED5-FB7B-4D20-B0CA-BDECAFDB4714}"/>
    <cellStyle name="Currency 5 6 11" xfId="8894" xr:uid="{E54D764B-8399-4485-96A9-388F5CF097C6}"/>
    <cellStyle name="Currency 5 6 2" xfId="747" xr:uid="{00000000-0005-0000-0000-00006A0D0000}"/>
    <cellStyle name="Currency 5 6 2 2" xfId="2999" xr:uid="{00000000-0005-0000-0000-00006B0D0000}"/>
    <cellStyle name="Currency 5 6 2 2 2" xfId="7221" xr:uid="{00000000-0005-0000-0000-00006C0D0000}"/>
    <cellStyle name="Currency 5 6 2 2 2 2" xfId="24112" xr:uid="{547441FA-BB6B-45A9-B61C-CE7D47FC8341}"/>
    <cellStyle name="Currency 5 6 2 2 2 3" xfId="15671" xr:uid="{B5C267FB-6A5E-4662-A58E-36350B5255D3}"/>
    <cellStyle name="Currency 5 6 2 2 3" xfId="19894" xr:uid="{30D91DD3-6591-48BA-B9CD-60FD50EE0944}"/>
    <cellStyle name="Currency 5 6 2 2 4" xfId="11453" xr:uid="{0E9B1C2F-3053-46AF-8BF8-CE574181E2A6}"/>
    <cellStyle name="Currency 5 6 2 3" xfId="5076" xr:uid="{00000000-0005-0000-0000-00006D0D0000}"/>
    <cellStyle name="Currency 5 6 2 3 2" xfId="21967" xr:uid="{64150000-6602-4118-A76F-B710678F2897}"/>
    <cellStyle name="Currency 5 6 2 3 3" xfId="13526" xr:uid="{BA0079DA-2060-4E5E-B6CF-EA35C4940058}"/>
    <cellStyle name="Currency 5 6 2 4" xfId="17749" xr:uid="{D29BD1BE-B5DE-46E9-8EF8-B768FC560067}"/>
    <cellStyle name="Currency 5 6 2 5" xfId="9308" xr:uid="{7130AB1D-1D3B-4FAC-A7EB-C8B1DAD427C8}"/>
    <cellStyle name="Currency 5 6 3" xfId="1181" xr:uid="{00000000-0005-0000-0000-00006E0D0000}"/>
    <cellStyle name="Currency 5 6 3 2" xfId="3412" xr:uid="{00000000-0005-0000-0000-00006F0D0000}"/>
    <cellStyle name="Currency 5 6 3 2 2" xfId="7634" xr:uid="{00000000-0005-0000-0000-0000700D0000}"/>
    <cellStyle name="Currency 5 6 3 2 2 2" xfId="24525" xr:uid="{4598503A-B662-4C85-8F3E-3182E97002A5}"/>
    <cellStyle name="Currency 5 6 3 2 2 3" xfId="16084" xr:uid="{05986D57-3D60-4E49-B820-75B624FDBE2D}"/>
    <cellStyle name="Currency 5 6 3 2 3" xfId="20307" xr:uid="{3C9688E6-D420-43F5-9E19-04DF87C169A5}"/>
    <cellStyle name="Currency 5 6 3 2 4" xfId="11866" xr:uid="{AB94226D-022F-478D-AA37-C22ACFBA92C9}"/>
    <cellStyle name="Currency 5 6 3 3" xfId="5489" xr:uid="{00000000-0005-0000-0000-0000710D0000}"/>
    <cellStyle name="Currency 5 6 3 3 2" xfId="22380" xr:uid="{0753DD70-BD3F-4303-BC42-A9E6ADCB8987}"/>
    <cellStyle name="Currency 5 6 3 3 3" xfId="13939" xr:uid="{444CA2DC-E8F5-4D41-83B9-3BC9EE5609C0}"/>
    <cellStyle name="Currency 5 6 3 4" xfId="18162" xr:uid="{D2A6CFEA-EBF3-4EBF-B047-64B7F1DFD10A}"/>
    <cellStyle name="Currency 5 6 3 5" xfId="9721" xr:uid="{D74641F4-9C17-4587-8151-2BE5B9249898}"/>
    <cellStyle name="Currency 5 6 4" xfId="1595" xr:uid="{00000000-0005-0000-0000-0000720D0000}"/>
    <cellStyle name="Currency 5 6 4 2" xfId="3825" xr:uid="{00000000-0005-0000-0000-0000730D0000}"/>
    <cellStyle name="Currency 5 6 4 2 2" xfId="8047" xr:uid="{00000000-0005-0000-0000-0000740D0000}"/>
    <cellStyle name="Currency 5 6 4 2 2 2" xfId="24938" xr:uid="{E5737708-2130-4778-9A11-D189DDE0EA6E}"/>
    <cellStyle name="Currency 5 6 4 2 2 3" xfId="16497" xr:uid="{3935B756-1901-4973-9BBB-7A38FF7A4A67}"/>
    <cellStyle name="Currency 5 6 4 2 3" xfId="20720" xr:uid="{487E7B62-8C35-4428-B12D-65F559189709}"/>
    <cellStyle name="Currency 5 6 4 2 4" xfId="12279" xr:uid="{1CECF465-9EFE-473C-A7B2-C2626C10C074}"/>
    <cellStyle name="Currency 5 6 4 3" xfId="5902" xr:uid="{00000000-0005-0000-0000-0000750D0000}"/>
    <cellStyle name="Currency 5 6 4 3 2" xfId="22793" xr:uid="{BD692FEF-04C5-4F81-9C4B-3C4103793D59}"/>
    <cellStyle name="Currency 5 6 4 3 3" xfId="14352" xr:uid="{5B439649-A205-47F9-AC0B-1065B1BC0568}"/>
    <cellStyle name="Currency 5 6 4 4" xfId="18575" xr:uid="{6E9F79C1-12C2-491E-AF6E-F1D57DF5626B}"/>
    <cellStyle name="Currency 5 6 4 5" xfId="10134" xr:uid="{90B639F1-DF5D-4B1D-BE00-169ACE83A438}"/>
    <cellStyle name="Currency 5 6 5" xfId="2009" xr:uid="{00000000-0005-0000-0000-0000760D0000}"/>
    <cellStyle name="Currency 5 6 5 2" xfId="4238" xr:uid="{00000000-0005-0000-0000-0000770D0000}"/>
    <cellStyle name="Currency 5 6 5 2 2" xfId="8460" xr:uid="{00000000-0005-0000-0000-0000780D0000}"/>
    <cellStyle name="Currency 5 6 5 2 2 2" xfId="25351" xr:uid="{1F48AA5F-CBE5-4EF7-9CBD-6A0DA372BE76}"/>
    <cellStyle name="Currency 5 6 5 2 2 3" xfId="16910" xr:uid="{04E03211-3708-4BC4-B1EE-755CB57BF76C}"/>
    <cellStyle name="Currency 5 6 5 2 3" xfId="21133" xr:uid="{86E678D7-EE2D-4D32-B772-AD4B28D133B5}"/>
    <cellStyle name="Currency 5 6 5 2 4" xfId="12692" xr:uid="{B7A3F244-00DD-40B3-882C-4B1A4B8EB31F}"/>
    <cellStyle name="Currency 5 6 5 3" xfId="6315" xr:uid="{00000000-0005-0000-0000-0000790D0000}"/>
    <cellStyle name="Currency 5 6 5 3 2" xfId="23206" xr:uid="{2202AE6C-60EA-43B1-86A4-CE74FA0424D3}"/>
    <cellStyle name="Currency 5 6 5 3 3" xfId="14765" xr:uid="{3C77564A-F688-4364-ADAD-39EEB7770925}"/>
    <cellStyle name="Currency 5 6 5 4" xfId="18988" xr:uid="{7CDA5FAF-145C-41B2-9BAC-EDB633F5B06E}"/>
    <cellStyle name="Currency 5 6 5 5" xfId="10547" xr:uid="{9C194C68-3F1E-4AC3-9D49-BDB27E0B13F5}"/>
    <cellStyle name="Currency 5 6 6" xfId="2444" xr:uid="{00000000-0005-0000-0000-00007A0D0000}"/>
    <cellStyle name="Currency 5 6 6 2" xfId="6728" xr:uid="{00000000-0005-0000-0000-00007B0D0000}"/>
    <cellStyle name="Currency 5 6 6 2 2" xfId="23619" xr:uid="{2A21D3B5-7909-4105-B8E8-98434885F073}"/>
    <cellStyle name="Currency 5 6 6 2 3" xfId="15178" xr:uid="{E2A52F8A-8A43-4AAE-BDBD-24C50C8264F4}"/>
    <cellStyle name="Currency 5 6 6 3" xfId="19401" xr:uid="{0E410935-94F0-42E0-AE54-78D62587ADB5}"/>
    <cellStyle name="Currency 5 6 6 4" xfId="10960" xr:uid="{BC27F722-C120-476A-8C17-8BE1464005C3}"/>
    <cellStyle name="Currency 5 6 7" xfId="2741" xr:uid="{00000000-0005-0000-0000-00007C0D0000}"/>
    <cellStyle name="Currency 5 6 8" xfId="2822" xr:uid="{00000000-0005-0000-0000-00007D0D0000}"/>
    <cellStyle name="Currency 5 6 8 2" xfId="7045" xr:uid="{00000000-0005-0000-0000-00007E0D0000}"/>
    <cellStyle name="Currency 5 6 8 2 2" xfId="23936" xr:uid="{725B6E8F-E834-4923-A58A-A1AA4D5B48C2}"/>
    <cellStyle name="Currency 5 6 8 2 3" xfId="15495" xr:uid="{A56425E8-B007-4967-B585-61AC9A3CE92B}"/>
    <cellStyle name="Currency 5 6 8 3" xfId="19718" xr:uid="{2AA2D8F8-8578-46E7-A324-57CC0F9A289E}"/>
    <cellStyle name="Currency 5 6 8 4" xfId="11277" xr:uid="{B4628917-808F-4BF1-B367-41B42E61B5B5}"/>
    <cellStyle name="Currency 5 6 9" xfId="4662" xr:uid="{00000000-0005-0000-0000-00007F0D0000}"/>
    <cellStyle name="Currency 5 6 9 2" xfId="21553" xr:uid="{BF0D3343-021C-4EB2-BFA3-75079A092F45}"/>
    <cellStyle name="Currency 5 6 9 3" xfId="13112" xr:uid="{661EA4B0-6E0C-4BA8-B95B-622F082935A2}"/>
    <cellStyle name="Currency 5 7" xfId="222" xr:uid="{00000000-0005-0000-0000-0000800D0000}"/>
    <cellStyle name="Currency 5 7 10" xfId="17336" xr:uid="{85E5A3D9-4B9B-4A26-8AB2-2A127A1B1645}"/>
    <cellStyle name="Currency 5 7 11" xfId="8895" xr:uid="{DBDB46ED-1824-4C9E-8963-B50EA1EBD07B}"/>
    <cellStyle name="Currency 5 7 2" xfId="748" xr:uid="{00000000-0005-0000-0000-0000810D0000}"/>
    <cellStyle name="Currency 5 7 2 2" xfId="3000" xr:uid="{00000000-0005-0000-0000-0000820D0000}"/>
    <cellStyle name="Currency 5 7 2 2 2" xfId="7222" xr:uid="{00000000-0005-0000-0000-0000830D0000}"/>
    <cellStyle name="Currency 5 7 2 2 2 2" xfId="24113" xr:uid="{BB1D1F0D-5AB2-4926-9453-2890621790D2}"/>
    <cellStyle name="Currency 5 7 2 2 2 3" xfId="15672" xr:uid="{E746EBE8-AB49-461A-8B0A-E66A0C920224}"/>
    <cellStyle name="Currency 5 7 2 2 3" xfId="19895" xr:uid="{5DCD1AC5-3486-47F4-8B44-75A6CE05ED77}"/>
    <cellStyle name="Currency 5 7 2 2 4" xfId="11454" xr:uid="{F6AE2CB2-6F31-48D1-9874-F6ED72895CB4}"/>
    <cellStyle name="Currency 5 7 2 3" xfId="5077" xr:uid="{00000000-0005-0000-0000-0000840D0000}"/>
    <cellStyle name="Currency 5 7 2 3 2" xfId="21968" xr:uid="{8FDAC579-7C63-463D-93B3-20EAEC62A255}"/>
    <cellStyle name="Currency 5 7 2 3 3" xfId="13527" xr:uid="{C3966AAD-CE58-40CB-BAF0-3BD561D4BA82}"/>
    <cellStyle name="Currency 5 7 2 4" xfId="17750" xr:uid="{F5399F0D-017B-43D8-B216-CAF932F27E22}"/>
    <cellStyle name="Currency 5 7 2 5" xfId="9309" xr:uid="{EACDB56E-D867-4CED-A616-D147620B081B}"/>
    <cellStyle name="Currency 5 7 3" xfId="1182" xr:uid="{00000000-0005-0000-0000-0000850D0000}"/>
    <cellStyle name="Currency 5 7 3 2" xfId="3413" xr:uid="{00000000-0005-0000-0000-0000860D0000}"/>
    <cellStyle name="Currency 5 7 3 2 2" xfId="7635" xr:uid="{00000000-0005-0000-0000-0000870D0000}"/>
    <cellStyle name="Currency 5 7 3 2 2 2" xfId="24526" xr:uid="{5AEB43A1-85EB-4113-9AF1-FAFB9720B5C8}"/>
    <cellStyle name="Currency 5 7 3 2 2 3" xfId="16085" xr:uid="{D619B9F2-78B0-4F54-BC44-7AA808352888}"/>
    <cellStyle name="Currency 5 7 3 2 3" xfId="20308" xr:uid="{CE7DB797-C8F8-422D-8055-4D32987A0688}"/>
    <cellStyle name="Currency 5 7 3 2 4" xfId="11867" xr:uid="{C012028B-E2B1-4867-A31E-8743F28AB5AF}"/>
    <cellStyle name="Currency 5 7 3 3" xfId="5490" xr:uid="{00000000-0005-0000-0000-0000880D0000}"/>
    <cellStyle name="Currency 5 7 3 3 2" xfId="22381" xr:uid="{F22E1224-57AD-47C2-9367-D58F506E59B2}"/>
    <cellStyle name="Currency 5 7 3 3 3" xfId="13940" xr:uid="{12D9FDD0-62CA-4960-8F78-B7E81B47F2F6}"/>
    <cellStyle name="Currency 5 7 3 4" xfId="18163" xr:uid="{72ED7C20-5F4D-4BF4-8C2F-F9EFD279F583}"/>
    <cellStyle name="Currency 5 7 3 5" xfId="9722" xr:uid="{1255AA6B-B59B-48A5-BBA9-154651C60FB1}"/>
    <cellStyle name="Currency 5 7 4" xfId="1596" xr:uid="{00000000-0005-0000-0000-0000890D0000}"/>
    <cellStyle name="Currency 5 7 4 2" xfId="3826" xr:uid="{00000000-0005-0000-0000-00008A0D0000}"/>
    <cellStyle name="Currency 5 7 4 2 2" xfId="8048" xr:uid="{00000000-0005-0000-0000-00008B0D0000}"/>
    <cellStyle name="Currency 5 7 4 2 2 2" xfId="24939" xr:uid="{881B8458-8513-4DB8-8591-7BEE148E7D00}"/>
    <cellStyle name="Currency 5 7 4 2 2 3" xfId="16498" xr:uid="{B83F4EE0-3B71-4BA0-8E14-21D8453E1578}"/>
    <cellStyle name="Currency 5 7 4 2 3" xfId="20721" xr:uid="{64889679-75BF-4497-8807-7786FC8B8BF4}"/>
    <cellStyle name="Currency 5 7 4 2 4" xfId="12280" xr:uid="{A0012ECB-16D2-4C1F-B2AD-A038DE76DB93}"/>
    <cellStyle name="Currency 5 7 4 3" xfId="5903" xr:uid="{00000000-0005-0000-0000-00008C0D0000}"/>
    <cellStyle name="Currency 5 7 4 3 2" xfId="22794" xr:uid="{1F65EF1A-EF52-421D-89ED-2B0AD6E6CDCF}"/>
    <cellStyle name="Currency 5 7 4 3 3" xfId="14353" xr:uid="{576D9B7E-72B6-4B1D-809D-DC89DDC78350}"/>
    <cellStyle name="Currency 5 7 4 4" xfId="18576" xr:uid="{CC28D6D4-FA88-4936-8E9F-EF72FBDF2F12}"/>
    <cellStyle name="Currency 5 7 4 5" xfId="10135" xr:uid="{BAE9CE3B-3082-4A76-B9F2-5E206BFE350C}"/>
    <cellStyle name="Currency 5 7 5" xfId="2010" xr:uid="{00000000-0005-0000-0000-00008D0D0000}"/>
    <cellStyle name="Currency 5 7 5 2" xfId="4239" xr:uid="{00000000-0005-0000-0000-00008E0D0000}"/>
    <cellStyle name="Currency 5 7 5 2 2" xfId="8461" xr:uid="{00000000-0005-0000-0000-00008F0D0000}"/>
    <cellStyle name="Currency 5 7 5 2 2 2" xfId="25352" xr:uid="{E40971F4-31EB-487E-BED8-FD1C64D4B028}"/>
    <cellStyle name="Currency 5 7 5 2 2 3" xfId="16911" xr:uid="{C6401A45-B5F0-4B5A-8105-31960A56D89E}"/>
    <cellStyle name="Currency 5 7 5 2 3" xfId="21134" xr:uid="{AEB7E7DB-C5FE-413A-8E87-0F95BF2A2569}"/>
    <cellStyle name="Currency 5 7 5 2 4" xfId="12693" xr:uid="{3A904304-1A77-45AA-97AF-62B8B2D37740}"/>
    <cellStyle name="Currency 5 7 5 3" xfId="6316" xr:uid="{00000000-0005-0000-0000-0000900D0000}"/>
    <cellStyle name="Currency 5 7 5 3 2" xfId="23207" xr:uid="{5A8C27C0-05C3-49ED-ABE6-E7DDC1A16E6F}"/>
    <cellStyle name="Currency 5 7 5 3 3" xfId="14766" xr:uid="{BAEB4820-3AB0-435E-BF65-37967D4A24FB}"/>
    <cellStyle name="Currency 5 7 5 4" xfId="18989" xr:uid="{8B36D886-DEE2-4037-BC8A-59C010B07062}"/>
    <cellStyle name="Currency 5 7 5 5" xfId="10548" xr:uid="{E2560DA9-7465-4648-9EC5-10C2B0DC321A}"/>
    <cellStyle name="Currency 5 7 6" xfId="2445" xr:uid="{00000000-0005-0000-0000-0000910D0000}"/>
    <cellStyle name="Currency 5 7 6 2" xfId="6729" xr:uid="{00000000-0005-0000-0000-0000920D0000}"/>
    <cellStyle name="Currency 5 7 6 2 2" xfId="23620" xr:uid="{B60ED9A9-E4DD-4136-B371-8FFD7EAD0E66}"/>
    <cellStyle name="Currency 5 7 6 2 3" xfId="15179" xr:uid="{9FECC150-D009-4846-8270-17A47997BEA1}"/>
    <cellStyle name="Currency 5 7 6 3" xfId="19402" xr:uid="{DC0C3AC8-9CA7-4849-BB0A-A8269CDCA15A}"/>
    <cellStyle name="Currency 5 7 6 4" xfId="10961" xr:uid="{A1D5924D-0243-4BA8-83EE-EBFE291EAE4E}"/>
    <cellStyle name="Currency 5 7 7" xfId="2742" xr:uid="{00000000-0005-0000-0000-0000930D0000}"/>
    <cellStyle name="Currency 5 7 8" xfId="2823" xr:uid="{00000000-0005-0000-0000-0000940D0000}"/>
    <cellStyle name="Currency 5 7 8 2" xfId="7046" xr:uid="{00000000-0005-0000-0000-0000950D0000}"/>
    <cellStyle name="Currency 5 7 8 2 2" xfId="23937" xr:uid="{3FD9E8BA-B630-4F1E-A139-B9E33C7F61D0}"/>
    <cellStyle name="Currency 5 7 8 2 3" xfId="15496" xr:uid="{6455216A-6FA9-427E-AE7B-BA2937B266F1}"/>
    <cellStyle name="Currency 5 7 8 3" xfId="19719" xr:uid="{03E1D24F-0F52-4F46-8EF9-CDB781BF3343}"/>
    <cellStyle name="Currency 5 7 8 4" xfId="11278" xr:uid="{77D668F8-542D-44E6-BAB8-A93BCE193574}"/>
    <cellStyle name="Currency 5 7 9" xfId="4663" xr:uid="{00000000-0005-0000-0000-0000960D0000}"/>
    <cellStyle name="Currency 5 7 9 2" xfId="21554" xr:uid="{108771E6-7022-49E2-A965-94E1D924FA35}"/>
    <cellStyle name="Currency 5 7 9 3" xfId="13113" xr:uid="{6BEC06F0-9C61-4A2D-84DF-3283274B7478}"/>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0 2 2" xfId="23621" xr:uid="{5AA9F181-1F7C-441A-B9DF-247B638994A1}"/>
    <cellStyle name="Normal 12 10 2 3" xfId="15180" xr:uid="{B81194E5-878F-4413-9BE9-315B950E02E4}"/>
    <cellStyle name="Normal 12 10 3" xfId="19403" xr:uid="{DE9D576D-A6B4-46D8-B741-8C1925CDEB37}"/>
    <cellStyle name="Normal 12 10 4" xfId="10962" xr:uid="{26EB08FF-797A-452A-9F2B-856F2BB356E1}"/>
    <cellStyle name="Normal 12 11" xfId="4664" xr:uid="{00000000-0005-0000-0000-0000CC0D0000}"/>
    <cellStyle name="Normal 12 11 2" xfId="21555" xr:uid="{CBEB5443-99D5-4083-A7F1-2CAEFEEB55ED}"/>
    <cellStyle name="Normal 12 11 3" xfId="13114" xr:uid="{05CE875A-B9B9-441C-92F9-C848C1DA6B3A}"/>
    <cellStyle name="Normal 12 12" xfId="17337" xr:uid="{E32D49F1-F335-450E-98BF-344D913AA087}"/>
    <cellStyle name="Normal 12 13" xfId="8896" xr:uid="{32D34FB6-68C9-4EC4-AB01-57196828EA5E}"/>
    <cellStyle name="Normal 12 2" xfId="260" xr:uid="{00000000-0005-0000-0000-0000CD0D0000}"/>
    <cellStyle name="Normal 12 2 10" xfId="17338" xr:uid="{E7A3E4EA-4403-4AEA-82A5-BD85430EFB2F}"/>
    <cellStyle name="Normal 12 2 11" xfId="8897" xr:uid="{64FAAB30-4588-4614-A6C2-569780173AD6}"/>
    <cellStyle name="Normal 12 2 2" xfId="261" xr:uid="{00000000-0005-0000-0000-0000CE0D0000}"/>
    <cellStyle name="Normal 12 2 2 10" xfId="8898" xr:uid="{5BF6B41F-E7CD-4F90-A65B-47E44ECE537D}"/>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2 2 2" xfId="24117" xr:uid="{935BEDA1-6D06-4387-8AF7-64A2FF7FA8B4}"/>
    <cellStyle name="Normal 12 2 2 2 2 2 2 3" xfId="15676" xr:uid="{0D5EBD63-ADE4-4CAC-93B6-E11F03434959}"/>
    <cellStyle name="Normal 12 2 2 2 2 2 3" xfId="19899" xr:uid="{4746A299-0DC1-420F-8E7F-D3F5C4CECB2A}"/>
    <cellStyle name="Normal 12 2 2 2 2 2 4" xfId="11458" xr:uid="{812263D8-4292-43B6-A418-2BA5455C268F}"/>
    <cellStyle name="Normal 12 2 2 2 2 3" xfId="5081" xr:uid="{00000000-0005-0000-0000-0000D30D0000}"/>
    <cellStyle name="Normal 12 2 2 2 2 3 2" xfId="21972" xr:uid="{7899F17F-662B-47AE-876A-CA747378608B}"/>
    <cellStyle name="Normal 12 2 2 2 2 3 3" xfId="13531" xr:uid="{8A318921-0D20-4CF7-B6E9-9BD534F15ADC}"/>
    <cellStyle name="Normal 12 2 2 2 2 4" xfId="17754" xr:uid="{C78C8384-56C1-459E-8569-D60BA8258BE0}"/>
    <cellStyle name="Normal 12 2 2 2 2 5" xfId="9313" xr:uid="{87649D78-9F79-4D24-88A6-171BA6B7DE47}"/>
    <cellStyle name="Normal 12 2 2 2 3" xfId="1186" xr:uid="{00000000-0005-0000-0000-0000D40D0000}"/>
    <cellStyle name="Normal 12 2 2 2 3 2" xfId="3417" xr:uid="{00000000-0005-0000-0000-0000D50D0000}"/>
    <cellStyle name="Normal 12 2 2 2 3 2 2" xfId="7639" xr:uid="{00000000-0005-0000-0000-0000D60D0000}"/>
    <cellStyle name="Normal 12 2 2 2 3 2 2 2" xfId="24530" xr:uid="{9BEB3952-D70F-4202-8A79-D352A3A30876}"/>
    <cellStyle name="Normal 12 2 2 2 3 2 2 3" xfId="16089" xr:uid="{DD87D6A3-8064-4AD8-A90F-1B681C0D33B8}"/>
    <cellStyle name="Normal 12 2 2 2 3 2 3" xfId="20312" xr:uid="{7B819A48-BBDD-4E07-9D6D-D64BCC38B954}"/>
    <cellStyle name="Normal 12 2 2 2 3 2 4" xfId="11871" xr:uid="{B28C6859-4932-4A29-A12A-7E249C78ED93}"/>
    <cellStyle name="Normal 12 2 2 2 3 3" xfId="5494" xr:uid="{00000000-0005-0000-0000-0000D70D0000}"/>
    <cellStyle name="Normal 12 2 2 2 3 3 2" xfId="22385" xr:uid="{E25B4E9D-6F2D-4E2B-B917-D6080CC3F30F}"/>
    <cellStyle name="Normal 12 2 2 2 3 3 3" xfId="13944" xr:uid="{1883A3CB-A285-4C8C-92EA-79C6E303C36F}"/>
    <cellStyle name="Normal 12 2 2 2 3 4" xfId="18167" xr:uid="{405739C1-0557-45A5-8558-B7F6C1B12325}"/>
    <cellStyle name="Normal 12 2 2 2 3 5" xfId="9726" xr:uid="{DDDCB9DF-60B4-4B97-A4FE-EC2BB78F66EB}"/>
    <cellStyle name="Normal 12 2 2 2 4" xfId="1600" xr:uid="{00000000-0005-0000-0000-0000D80D0000}"/>
    <cellStyle name="Normal 12 2 2 2 4 2" xfId="3830" xr:uid="{00000000-0005-0000-0000-0000D90D0000}"/>
    <cellStyle name="Normal 12 2 2 2 4 2 2" xfId="8052" xr:uid="{00000000-0005-0000-0000-0000DA0D0000}"/>
    <cellStyle name="Normal 12 2 2 2 4 2 2 2" xfId="24943" xr:uid="{7DF8F1D7-0899-45BF-841E-81479165A0A4}"/>
    <cellStyle name="Normal 12 2 2 2 4 2 2 3" xfId="16502" xr:uid="{5DFE1E8F-2F2F-46B0-B02A-C5F14FD942E7}"/>
    <cellStyle name="Normal 12 2 2 2 4 2 3" xfId="20725" xr:uid="{317B3DDE-B40D-45D5-AC19-F9CEE67820FC}"/>
    <cellStyle name="Normal 12 2 2 2 4 2 4" xfId="12284" xr:uid="{33158063-F86D-441D-ADAE-6E5BE2DF9D6E}"/>
    <cellStyle name="Normal 12 2 2 2 4 3" xfId="5907" xr:uid="{00000000-0005-0000-0000-0000DB0D0000}"/>
    <cellStyle name="Normal 12 2 2 2 4 3 2" xfId="22798" xr:uid="{88166B69-7BAE-451F-B048-D1A47261C226}"/>
    <cellStyle name="Normal 12 2 2 2 4 3 3" xfId="14357" xr:uid="{5C11C9C6-3DC2-4D8D-A34B-B931364D1976}"/>
    <cellStyle name="Normal 12 2 2 2 4 4" xfId="18580" xr:uid="{75F7BADD-A424-45BE-AD3F-6E248A4B225C}"/>
    <cellStyle name="Normal 12 2 2 2 4 5" xfId="10139" xr:uid="{48954A74-A34D-4BD2-920A-A75FD7004E86}"/>
    <cellStyle name="Normal 12 2 2 2 5" xfId="2014" xr:uid="{00000000-0005-0000-0000-0000DC0D0000}"/>
    <cellStyle name="Normal 12 2 2 2 5 2" xfId="4243" xr:uid="{00000000-0005-0000-0000-0000DD0D0000}"/>
    <cellStyle name="Normal 12 2 2 2 5 2 2" xfId="8465" xr:uid="{00000000-0005-0000-0000-0000DE0D0000}"/>
    <cellStyle name="Normal 12 2 2 2 5 2 2 2" xfId="25356" xr:uid="{E9DECA8C-EED9-4848-ABBE-45875BE9A8FA}"/>
    <cellStyle name="Normal 12 2 2 2 5 2 2 3" xfId="16915" xr:uid="{31210D93-F72F-4977-B201-736DBB5D7672}"/>
    <cellStyle name="Normal 12 2 2 2 5 2 3" xfId="21138" xr:uid="{6B951425-EFC8-44F8-B674-C88C9DACF101}"/>
    <cellStyle name="Normal 12 2 2 2 5 2 4" xfId="12697" xr:uid="{02BD9677-5286-4B63-838C-FB292FB970FF}"/>
    <cellStyle name="Normal 12 2 2 2 5 3" xfId="6320" xr:uid="{00000000-0005-0000-0000-0000DF0D0000}"/>
    <cellStyle name="Normal 12 2 2 2 5 3 2" xfId="23211" xr:uid="{E658FCE4-0DBD-4545-90BA-4383C71B403F}"/>
    <cellStyle name="Normal 12 2 2 2 5 3 3" xfId="14770" xr:uid="{92A3001E-2803-45D0-9236-49C18F99CF5A}"/>
    <cellStyle name="Normal 12 2 2 2 5 4" xfId="18993" xr:uid="{9EBCA703-E4FF-4D70-AAAD-91472B04DC66}"/>
    <cellStyle name="Normal 12 2 2 2 5 5" xfId="10552" xr:uid="{ADD4243A-A9F7-4E68-B238-144769AB424D}"/>
    <cellStyle name="Normal 12 2 2 2 6" xfId="2450" xr:uid="{00000000-0005-0000-0000-0000E00D0000}"/>
    <cellStyle name="Normal 12 2 2 2 6 2" xfId="6733" xr:uid="{00000000-0005-0000-0000-0000E10D0000}"/>
    <cellStyle name="Normal 12 2 2 2 6 2 2" xfId="23624" xr:uid="{CFB3033B-B6B3-4C72-91AF-6F03CEACB0C2}"/>
    <cellStyle name="Normal 12 2 2 2 6 2 3" xfId="15183" xr:uid="{861AA9B2-1D81-4E85-B77D-7462191DC962}"/>
    <cellStyle name="Normal 12 2 2 2 6 3" xfId="19406" xr:uid="{4BA2F46A-8D30-4B39-A464-22C396BC98E8}"/>
    <cellStyle name="Normal 12 2 2 2 6 4" xfId="10965" xr:uid="{CF122D20-85F2-4A8F-9742-80F555260FC1}"/>
    <cellStyle name="Normal 12 2 2 2 7" xfId="4667" xr:uid="{00000000-0005-0000-0000-0000E20D0000}"/>
    <cellStyle name="Normal 12 2 2 2 7 2" xfId="21558" xr:uid="{68BB70EA-E6FC-44F6-A24B-DAE8266C8BA6}"/>
    <cellStyle name="Normal 12 2 2 2 7 3" xfId="13117" xr:uid="{6B228917-9975-43E2-B420-244223F7267D}"/>
    <cellStyle name="Normal 12 2 2 2 8" xfId="17340" xr:uid="{7BE37798-F52F-4E54-8803-4C9685135079}"/>
    <cellStyle name="Normal 12 2 2 2 9" xfId="8899" xr:uid="{9C0DD7C6-C449-46BA-82A8-ACBA1EF45E10}"/>
    <cellStyle name="Normal 12 2 2 3" xfId="762" xr:uid="{00000000-0005-0000-0000-0000E30D0000}"/>
    <cellStyle name="Normal 12 2 2 3 2" xfId="3003" xr:uid="{00000000-0005-0000-0000-0000E40D0000}"/>
    <cellStyle name="Normal 12 2 2 3 2 2" xfId="7225" xr:uid="{00000000-0005-0000-0000-0000E50D0000}"/>
    <cellStyle name="Normal 12 2 2 3 2 2 2" xfId="24116" xr:uid="{5D7BC07C-F28D-4FB2-98AB-6C0D3B833103}"/>
    <cellStyle name="Normal 12 2 2 3 2 2 3" xfId="15675" xr:uid="{A6F69FCD-EF9F-43D2-B8A5-0864CE6103F3}"/>
    <cellStyle name="Normal 12 2 2 3 2 3" xfId="19898" xr:uid="{664905E2-2557-4CE5-BF2C-D424313E81CD}"/>
    <cellStyle name="Normal 12 2 2 3 2 4" xfId="11457" xr:uid="{9269E915-3EAF-4ADA-B772-A62C111B5870}"/>
    <cellStyle name="Normal 12 2 2 3 3" xfId="5080" xr:uid="{00000000-0005-0000-0000-0000E60D0000}"/>
    <cellStyle name="Normal 12 2 2 3 3 2" xfId="21971" xr:uid="{E8AF7639-CC1E-40DE-9CDE-A745DC1EE552}"/>
    <cellStyle name="Normal 12 2 2 3 3 3" xfId="13530" xr:uid="{3F5FDA41-55A1-45AA-B2DD-32DA55244475}"/>
    <cellStyle name="Normal 12 2 2 3 4" xfId="17753" xr:uid="{8409EF06-53F4-4443-AA98-DB19914BDA6F}"/>
    <cellStyle name="Normal 12 2 2 3 5" xfId="9312" xr:uid="{D2AFA678-8021-485D-ABD5-E34E48D24CB6}"/>
    <cellStyle name="Normal 12 2 2 4" xfId="1185" xr:uid="{00000000-0005-0000-0000-0000E70D0000}"/>
    <cellStyle name="Normal 12 2 2 4 2" xfId="3416" xr:uid="{00000000-0005-0000-0000-0000E80D0000}"/>
    <cellStyle name="Normal 12 2 2 4 2 2" xfId="7638" xr:uid="{00000000-0005-0000-0000-0000E90D0000}"/>
    <cellStyle name="Normal 12 2 2 4 2 2 2" xfId="24529" xr:uid="{7E7F88C2-8228-4F09-983B-AE92B29BD470}"/>
    <cellStyle name="Normal 12 2 2 4 2 2 3" xfId="16088" xr:uid="{3C5C1F42-A7F7-43FE-B772-419B84829A04}"/>
    <cellStyle name="Normal 12 2 2 4 2 3" xfId="20311" xr:uid="{E3EBF580-3347-421A-A47D-545C2692DAC4}"/>
    <cellStyle name="Normal 12 2 2 4 2 4" xfId="11870" xr:uid="{E465690A-21CC-4BD0-9AAD-5E416D9D0A88}"/>
    <cellStyle name="Normal 12 2 2 4 3" xfId="5493" xr:uid="{00000000-0005-0000-0000-0000EA0D0000}"/>
    <cellStyle name="Normal 12 2 2 4 3 2" xfId="22384" xr:uid="{4EC9D11F-CBD2-434A-AADC-658A8BA898D4}"/>
    <cellStyle name="Normal 12 2 2 4 3 3" xfId="13943" xr:uid="{47A23F82-A71A-4FD9-8F7D-7D60CB569698}"/>
    <cellStyle name="Normal 12 2 2 4 4" xfId="18166" xr:uid="{B6385950-6B3D-4D16-B764-E744D1830488}"/>
    <cellStyle name="Normal 12 2 2 4 5" xfId="9725" xr:uid="{FA1C7B00-8051-4932-B986-11DFA2B8D29F}"/>
    <cellStyle name="Normal 12 2 2 5" xfId="1599" xr:uid="{00000000-0005-0000-0000-0000EB0D0000}"/>
    <cellStyle name="Normal 12 2 2 5 2" xfId="3829" xr:uid="{00000000-0005-0000-0000-0000EC0D0000}"/>
    <cellStyle name="Normal 12 2 2 5 2 2" xfId="8051" xr:uid="{00000000-0005-0000-0000-0000ED0D0000}"/>
    <cellStyle name="Normal 12 2 2 5 2 2 2" xfId="24942" xr:uid="{5C9DF683-3941-470B-9F9D-6C1FE57B5569}"/>
    <cellStyle name="Normal 12 2 2 5 2 2 3" xfId="16501" xr:uid="{86794DC4-5670-4BEC-95F7-042F5AC34A54}"/>
    <cellStyle name="Normal 12 2 2 5 2 3" xfId="20724" xr:uid="{469B9813-5BDE-47A2-BEDF-51CD78ACDAC6}"/>
    <cellStyle name="Normal 12 2 2 5 2 4" xfId="12283" xr:uid="{EF1296A2-6EAF-4114-9AE5-C2054DBC31CE}"/>
    <cellStyle name="Normal 12 2 2 5 3" xfId="5906" xr:uid="{00000000-0005-0000-0000-0000EE0D0000}"/>
    <cellStyle name="Normal 12 2 2 5 3 2" xfId="22797" xr:uid="{37D6EA66-CC8F-4005-AD5F-E2CF8998D6C1}"/>
    <cellStyle name="Normal 12 2 2 5 3 3" xfId="14356" xr:uid="{29CBC1E0-A93E-433C-8E7E-25EBB93935C5}"/>
    <cellStyle name="Normal 12 2 2 5 4" xfId="18579" xr:uid="{1C3A1159-0F59-45BE-985E-8DCC05B5AC15}"/>
    <cellStyle name="Normal 12 2 2 5 5" xfId="10138" xr:uid="{D21A6E1F-C471-474C-953D-5EE7075B7F3F}"/>
    <cellStyle name="Normal 12 2 2 6" xfId="2013" xr:uid="{00000000-0005-0000-0000-0000EF0D0000}"/>
    <cellStyle name="Normal 12 2 2 6 2" xfId="4242" xr:uid="{00000000-0005-0000-0000-0000F00D0000}"/>
    <cellStyle name="Normal 12 2 2 6 2 2" xfId="8464" xr:uid="{00000000-0005-0000-0000-0000F10D0000}"/>
    <cellStyle name="Normal 12 2 2 6 2 2 2" xfId="25355" xr:uid="{08B4DA76-2EDD-43FE-8554-D27DE22023ED}"/>
    <cellStyle name="Normal 12 2 2 6 2 2 3" xfId="16914" xr:uid="{18E64560-5678-449D-B557-86886AA7EDA6}"/>
    <cellStyle name="Normal 12 2 2 6 2 3" xfId="21137" xr:uid="{C8ED3C97-E4BB-483A-81C5-E6C34404588F}"/>
    <cellStyle name="Normal 12 2 2 6 2 4" xfId="12696" xr:uid="{60845D42-DF56-43BF-A808-8F4B4179186D}"/>
    <cellStyle name="Normal 12 2 2 6 3" xfId="6319" xr:uid="{00000000-0005-0000-0000-0000F20D0000}"/>
    <cellStyle name="Normal 12 2 2 6 3 2" xfId="23210" xr:uid="{B0F8C16B-7217-4697-A28A-317917EFB029}"/>
    <cellStyle name="Normal 12 2 2 6 3 3" xfId="14769" xr:uid="{8A44E427-A1F8-452A-B68D-6277B70F1E6F}"/>
    <cellStyle name="Normal 12 2 2 6 4" xfId="18992" xr:uid="{68EEEB3A-C2F7-48AA-AC2B-FD067E23C59E}"/>
    <cellStyle name="Normal 12 2 2 6 5" xfId="10551" xr:uid="{FCEE69C3-2798-4741-8B75-871E3DBDA4FB}"/>
    <cellStyle name="Normal 12 2 2 7" xfId="2449" xr:uid="{00000000-0005-0000-0000-0000F30D0000}"/>
    <cellStyle name="Normal 12 2 2 7 2" xfId="6732" xr:uid="{00000000-0005-0000-0000-0000F40D0000}"/>
    <cellStyle name="Normal 12 2 2 7 2 2" xfId="23623" xr:uid="{0DE915CE-4ADA-459D-BD06-AFF6AE00DE99}"/>
    <cellStyle name="Normal 12 2 2 7 2 3" xfId="15182" xr:uid="{24BCB073-397F-45A4-B6C2-C6D73BF421C4}"/>
    <cellStyle name="Normal 12 2 2 7 3" xfId="19405" xr:uid="{7029F90A-4DF2-41B2-98D6-479B0B05C4EC}"/>
    <cellStyle name="Normal 12 2 2 7 4" xfId="10964" xr:uid="{FB4D7124-020E-4C54-B78D-DC92AA7C617B}"/>
    <cellStyle name="Normal 12 2 2 8" xfId="4666" xr:uid="{00000000-0005-0000-0000-0000F50D0000}"/>
    <cellStyle name="Normal 12 2 2 8 2" xfId="21557" xr:uid="{C86E348F-A703-4BB2-AB4A-658B7B47CD7A}"/>
    <cellStyle name="Normal 12 2 2 8 3" xfId="13116" xr:uid="{1B5D8668-2DE5-47FE-9417-B9458A9D13A5}"/>
    <cellStyle name="Normal 12 2 2 9" xfId="17339" xr:uid="{52CE0785-166D-4068-913D-FA077E41AACC}"/>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2 2 2" xfId="24118" xr:uid="{CDF54550-7258-4C31-988B-947E544B63C0}"/>
    <cellStyle name="Normal 12 2 3 2 2 2 3" xfId="15677" xr:uid="{847D25A6-265C-4F56-A346-EC2B2988DD01}"/>
    <cellStyle name="Normal 12 2 3 2 2 3" xfId="19900" xr:uid="{33346D4F-DE02-49F7-8D39-E64D23E81EA4}"/>
    <cellStyle name="Normal 12 2 3 2 2 4" xfId="11459" xr:uid="{A991CCBE-0C1F-4B35-8876-F606F8FE92A6}"/>
    <cellStyle name="Normal 12 2 3 2 3" xfId="5082" xr:uid="{00000000-0005-0000-0000-0000FA0D0000}"/>
    <cellStyle name="Normal 12 2 3 2 3 2" xfId="21973" xr:uid="{220B6BBD-C10B-49EE-B2E4-6D62B37502FF}"/>
    <cellStyle name="Normal 12 2 3 2 3 3" xfId="13532" xr:uid="{1551A1D0-4B12-44B4-B85E-3A65A86A5CD7}"/>
    <cellStyle name="Normal 12 2 3 2 4" xfId="17755" xr:uid="{F5F594C0-33C3-4029-A754-6BCED10EC43B}"/>
    <cellStyle name="Normal 12 2 3 2 5" xfId="9314" xr:uid="{34238DE5-FBD4-475A-87A9-22C1B907A177}"/>
    <cellStyle name="Normal 12 2 3 3" xfId="1187" xr:uid="{00000000-0005-0000-0000-0000FB0D0000}"/>
    <cellStyle name="Normal 12 2 3 3 2" xfId="3418" xr:uid="{00000000-0005-0000-0000-0000FC0D0000}"/>
    <cellStyle name="Normal 12 2 3 3 2 2" xfId="7640" xr:uid="{00000000-0005-0000-0000-0000FD0D0000}"/>
    <cellStyle name="Normal 12 2 3 3 2 2 2" xfId="24531" xr:uid="{8A897746-C200-4029-80A3-2DB3F903463C}"/>
    <cellStyle name="Normal 12 2 3 3 2 2 3" xfId="16090" xr:uid="{45660E52-82BB-4474-94F6-82C7857C1177}"/>
    <cellStyle name="Normal 12 2 3 3 2 3" xfId="20313" xr:uid="{B0882670-E837-4E0F-BB90-3680B890B3E1}"/>
    <cellStyle name="Normal 12 2 3 3 2 4" xfId="11872" xr:uid="{B5B8614B-8126-4A26-B05F-BD422A0CD2FD}"/>
    <cellStyle name="Normal 12 2 3 3 3" xfId="5495" xr:uid="{00000000-0005-0000-0000-0000FE0D0000}"/>
    <cellStyle name="Normal 12 2 3 3 3 2" xfId="22386" xr:uid="{EE888B41-9D89-4F88-8F54-D07CDBA4AB49}"/>
    <cellStyle name="Normal 12 2 3 3 3 3" xfId="13945" xr:uid="{881727D3-8993-40B3-8042-56DBD8D7A116}"/>
    <cellStyle name="Normal 12 2 3 3 4" xfId="18168" xr:uid="{C2F9F8C4-28DC-4C98-AD29-11B17CCBDDC6}"/>
    <cellStyle name="Normal 12 2 3 3 5" xfId="9727" xr:uid="{69FFFC63-D38B-4051-AF1A-9844964ADEA7}"/>
    <cellStyle name="Normal 12 2 3 4" xfId="1601" xr:uid="{00000000-0005-0000-0000-0000FF0D0000}"/>
    <cellStyle name="Normal 12 2 3 4 2" xfId="3831" xr:uid="{00000000-0005-0000-0000-0000000E0000}"/>
    <cellStyle name="Normal 12 2 3 4 2 2" xfId="8053" xr:uid="{00000000-0005-0000-0000-0000010E0000}"/>
    <cellStyle name="Normal 12 2 3 4 2 2 2" xfId="24944" xr:uid="{A16A1710-2114-4ADF-B89A-5E58F76371AA}"/>
    <cellStyle name="Normal 12 2 3 4 2 2 3" xfId="16503" xr:uid="{FC2D5097-AA41-4C06-B3C4-AA519DABF894}"/>
    <cellStyle name="Normal 12 2 3 4 2 3" xfId="20726" xr:uid="{4BF6591C-7E10-4525-9A24-9A0232C031B2}"/>
    <cellStyle name="Normal 12 2 3 4 2 4" xfId="12285" xr:uid="{031B753D-C66E-40D9-8D65-2094D0F360BF}"/>
    <cellStyle name="Normal 12 2 3 4 3" xfId="5908" xr:uid="{00000000-0005-0000-0000-0000020E0000}"/>
    <cellStyle name="Normal 12 2 3 4 3 2" xfId="22799" xr:uid="{EAD76030-58B3-4A6D-A33B-4420CF02F885}"/>
    <cellStyle name="Normal 12 2 3 4 3 3" xfId="14358" xr:uid="{A39BED3C-C7EA-4C19-9B3A-483E812D277A}"/>
    <cellStyle name="Normal 12 2 3 4 4" xfId="18581" xr:uid="{A996B2F8-2FBE-4508-BF2D-972B4B9B8B90}"/>
    <cellStyle name="Normal 12 2 3 4 5" xfId="10140" xr:uid="{3823AE1A-49D5-481D-B045-670C5A93A915}"/>
    <cellStyle name="Normal 12 2 3 5" xfId="2015" xr:uid="{00000000-0005-0000-0000-0000030E0000}"/>
    <cellStyle name="Normal 12 2 3 5 2" xfId="4244" xr:uid="{00000000-0005-0000-0000-0000040E0000}"/>
    <cellStyle name="Normal 12 2 3 5 2 2" xfId="8466" xr:uid="{00000000-0005-0000-0000-0000050E0000}"/>
    <cellStyle name="Normal 12 2 3 5 2 2 2" xfId="25357" xr:uid="{6BB52AD5-830A-4791-9970-C81B5796D2EE}"/>
    <cellStyle name="Normal 12 2 3 5 2 2 3" xfId="16916" xr:uid="{C152CC86-6806-49DB-8CEC-BF181882EA2B}"/>
    <cellStyle name="Normal 12 2 3 5 2 3" xfId="21139" xr:uid="{3A4FDC98-BD72-49BF-84A7-D38B897880D8}"/>
    <cellStyle name="Normal 12 2 3 5 2 4" xfId="12698" xr:uid="{8582D69E-53FF-4AC3-B2CB-B145E3737324}"/>
    <cellStyle name="Normal 12 2 3 5 3" xfId="6321" xr:uid="{00000000-0005-0000-0000-0000060E0000}"/>
    <cellStyle name="Normal 12 2 3 5 3 2" xfId="23212" xr:uid="{E71F7C30-E7ED-4537-9C5E-F8AB848E1E38}"/>
    <cellStyle name="Normal 12 2 3 5 3 3" xfId="14771" xr:uid="{EAD12EA9-F839-4A70-94DB-69E97A5D12A2}"/>
    <cellStyle name="Normal 12 2 3 5 4" xfId="18994" xr:uid="{F02D3D1A-7967-433E-8C22-2B2C90814DA8}"/>
    <cellStyle name="Normal 12 2 3 5 5" xfId="10553" xr:uid="{901F261B-9ED0-45AA-A0B0-7EA897B140D7}"/>
    <cellStyle name="Normal 12 2 3 6" xfId="2451" xr:uid="{00000000-0005-0000-0000-0000070E0000}"/>
    <cellStyle name="Normal 12 2 3 6 2" xfId="6734" xr:uid="{00000000-0005-0000-0000-0000080E0000}"/>
    <cellStyle name="Normal 12 2 3 6 2 2" xfId="23625" xr:uid="{D9B3FCA8-12D3-4790-A25D-3B99DF6CB38C}"/>
    <cellStyle name="Normal 12 2 3 6 2 3" xfId="15184" xr:uid="{6A94F3E4-8EA7-4DE9-9E37-DC3E217C2560}"/>
    <cellStyle name="Normal 12 2 3 6 3" xfId="19407" xr:uid="{BD12EA6B-FEDA-42F1-A3A7-EC23BA6B86B9}"/>
    <cellStyle name="Normal 12 2 3 6 4" xfId="10966" xr:uid="{4EAD725B-E04F-436A-941E-626C21D176BF}"/>
    <cellStyle name="Normal 12 2 3 7" xfId="4668" xr:uid="{00000000-0005-0000-0000-0000090E0000}"/>
    <cellStyle name="Normal 12 2 3 7 2" xfId="21559" xr:uid="{762081EC-5C95-453F-B079-D0FF551E0592}"/>
    <cellStyle name="Normal 12 2 3 7 3" xfId="13118" xr:uid="{C843B4BC-8021-4E1D-A71B-67F66897B68C}"/>
    <cellStyle name="Normal 12 2 3 8" xfId="17341" xr:uid="{3E967EBE-3CA3-4BF9-A5D9-40DD88228700}"/>
    <cellStyle name="Normal 12 2 3 9" xfId="8900" xr:uid="{34F16740-510E-4B9B-AC06-AB760A27D349}"/>
    <cellStyle name="Normal 12 2 4" xfId="761" xr:uid="{00000000-0005-0000-0000-00000A0E0000}"/>
    <cellStyle name="Normal 12 2 4 2" xfId="3002" xr:uid="{00000000-0005-0000-0000-00000B0E0000}"/>
    <cellStyle name="Normal 12 2 4 2 2" xfId="7224" xr:uid="{00000000-0005-0000-0000-00000C0E0000}"/>
    <cellStyle name="Normal 12 2 4 2 2 2" xfId="24115" xr:uid="{EF1231C8-D012-4780-A5F9-08DA0A1C2755}"/>
    <cellStyle name="Normal 12 2 4 2 2 3" xfId="15674" xr:uid="{DAB6CB10-42AF-4FD3-9DD5-B6933349C485}"/>
    <cellStyle name="Normal 12 2 4 2 3" xfId="19897" xr:uid="{B26CF6C0-390E-4429-9FAF-A360AF937C12}"/>
    <cellStyle name="Normal 12 2 4 2 4" xfId="11456" xr:uid="{71864FA0-73F0-467A-9A80-6829D0F3780F}"/>
    <cellStyle name="Normal 12 2 4 3" xfId="5079" xr:uid="{00000000-0005-0000-0000-00000D0E0000}"/>
    <cellStyle name="Normal 12 2 4 3 2" xfId="21970" xr:uid="{B49349F4-7BE6-4FE2-BBE9-CC205E2AB355}"/>
    <cellStyle name="Normal 12 2 4 3 3" xfId="13529" xr:uid="{14F9A2E8-99EE-45F6-BAF9-69361ADDD3B2}"/>
    <cellStyle name="Normal 12 2 4 4" xfId="17752" xr:uid="{9A8C67F9-F2AA-4C20-BDB2-44640A4A9BC9}"/>
    <cellStyle name="Normal 12 2 4 5" xfId="9311" xr:uid="{13FD7F05-BFDF-474E-BAC0-8211907242F7}"/>
    <cellStyle name="Normal 12 2 5" xfId="1184" xr:uid="{00000000-0005-0000-0000-00000E0E0000}"/>
    <cellStyle name="Normal 12 2 5 2" xfId="3415" xr:uid="{00000000-0005-0000-0000-00000F0E0000}"/>
    <cellStyle name="Normal 12 2 5 2 2" xfId="7637" xr:uid="{00000000-0005-0000-0000-0000100E0000}"/>
    <cellStyle name="Normal 12 2 5 2 2 2" xfId="24528" xr:uid="{6A8531A1-1B9A-44EF-8C38-073FB27133AE}"/>
    <cellStyle name="Normal 12 2 5 2 2 3" xfId="16087" xr:uid="{D1079506-D7D7-428A-9ED3-2956A9F29D32}"/>
    <cellStyle name="Normal 12 2 5 2 3" xfId="20310" xr:uid="{6179C4E6-0814-4292-A61B-DFDBB76AF9E7}"/>
    <cellStyle name="Normal 12 2 5 2 4" xfId="11869" xr:uid="{45F8FF50-A536-453D-8DFB-47A51217DAE0}"/>
    <cellStyle name="Normal 12 2 5 3" xfId="5492" xr:uid="{00000000-0005-0000-0000-0000110E0000}"/>
    <cellStyle name="Normal 12 2 5 3 2" xfId="22383" xr:uid="{AE65E8E2-B6FB-4ECE-B4F4-BBCA70B97804}"/>
    <cellStyle name="Normal 12 2 5 3 3" xfId="13942" xr:uid="{9EC5E21B-309D-4F4C-BE34-3EF0CA724ACA}"/>
    <cellStyle name="Normal 12 2 5 4" xfId="18165" xr:uid="{0CF5F3D7-E3FE-4F66-A3D9-8CC6E75BED34}"/>
    <cellStyle name="Normal 12 2 5 5" xfId="9724" xr:uid="{E2E6AE7E-D455-4327-828B-ABACE91F7764}"/>
    <cellStyle name="Normal 12 2 6" xfId="1598" xr:uid="{00000000-0005-0000-0000-0000120E0000}"/>
    <cellStyle name="Normal 12 2 6 2" xfId="3828" xr:uid="{00000000-0005-0000-0000-0000130E0000}"/>
    <cellStyle name="Normal 12 2 6 2 2" xfId="8050" xr:uid="{00000000-0005-0000-0000-0000140E0000}"/>
    <cellStyle name="Normal 12 2 6 2 2 2" xfId="24941" xr:uid="{298CC6B0-FF8D-4677-8E4D-58C7A33EB142}"/>
    <cellStyle name="Normal 12 2 6 2 2 3" xfId="16500" xr:uid="{00E7556D-3A8B-411A-922B-F1D54B54EB52}"/>
    <cellStyle name="Normal 12 2 6 2 3" xfId="20723" xr:uid="{42DC9866-F500-44DA-9499-134DC84BF26B}"/>
    <cellStyle name="Normal 12 2 6 2 4" xfId="12282" xr:uid="{1434FF60-B3A2-492C-B6C1-DD999CEA490A}"/>
    <cellStyle name="Normal 12 2 6 3" xfId="5905" xr:uid="{00000000-0005-0000-0000-0000150E0000}"/>
    <cellStyle name="Normal 12 2 6 3 2" xfId="22796" xr:uid="{6336E8CC-C3AD-499D-9A06-99884F4A9A70}"/>
    <cellStyle name="Normal 12 2 6 3 3" xfId="14355" xr:uid="{16F81CB8-902A-424C-A379-D7D715F38420}"/>
    <cellStyle name="Normal 12 2 6 4" xfId="18578" xr:uid="{9606AF66-16CA-4787-B8A7-3054E68ECCCD}"/>
    <cellStyle name="Normal 12 2 6 5" xfId="10137" xr:uid="{743210B7-994C-47E9-8FE5-0EDC9EC18A7A}"/>
    <cellStyle name="Normal 12 2 7" xfId="2012" xr:uid="{00000000-0005-0000-0000-0000160E0000}"/>
    <cellStyle name="Normal 12 2 7 2" xfId="4241" xr:uid="{00000000-0005-0000-0000-0000170E0000}"/>
    <cellStyle name="Normal 12 2 7 2 2" xfId="8463" xr:uid="{00000000-0005-0000-0000-0000180E0000}"/>
    <cellStyle name="Normal 12 2 7 2 2 2" xfId="25354" xr:uid="{498677DF-C201-4A31-92B1-D1047D62BEA0}"/>
    <cellStyle name="Normal 12 2 7 2 2 3" xfId="16913" xr:uid="{92B92476-21DF-4DAB-B088-06A850F8F588}"/>
    <cellStyle name="Normal 12 2 7 2 3" xfId="21136" xr:uid="{C2031AE7-8704-49DB-A0B3-2D4AF667AE8C}"/>
    <cellStyle name="Normal 12 2 7 2 4" xfId="12695" xr:uid="{3231F9F4-F813-4219-A185-7F377C4A5298}"/>
    <cellStyle name="Normal 12 2 7 3" xfId="6318" xr:uid="{00000000-0005-0000-0000-0000190E0000}"/>
    <cellStyle name="Normal 12 2 7 3 2" xfId="23209" xr:uid="{B17FB6E4-694A-4FB9-A79D-A8F4AC2190D5}"/>
    <cellStyle name="Normal 12 2 7 3 3" xfId="14768" xr:uid="{429CDD78-9B18-4BC3-86F8-77CE2D491498}"/>
    <cellStyle name="Normal 12 2 7 4" xfId="18991" xr:uid="{27E78BA2-809A-43B9-A412-192114D76426}"/>
    <cellStyle name="Normal 12 2 7 5" xfId="10550" xr:uid="{91138342-4D0A-4DD7-97C1-69B7E834A3BA}"/>
    <cellStyle name="Normal 12 2 8" xfId="2448" xr:uid="{00000000-0005-0000-0000-00001A0E0000}"/>
    <cellStyle name="Normal 12 2 8 2" xfId="6731" xr:uid="{00000000-0005-0000-0000-00001B0E0000}"/>
    <cellStyle name="Normal 12 2 8 2 2" xfId="23622" xr:uid="{66F976A4-E571-4390-BE6D-3F8097A1234B}"/>
    <cellStyle name="Normal 12 2 8 2 3" xfId="15181" xr:uid="{04C1EBA0-0C81-4D52-9351-7EFBE3C3C49C}"/>
    <cellStyle name="Normal 12 2 8 3" xfId="19404" xr:uid="{86C48193-D170-40EB-9D41-EC971B8617EB}"/>
    <cellStyle name="Normal 12 2 8 4" xfId="10963" xr:uid="{EE113B28-E99B-4549-99F0-690CB515D334}"/>
    <cellStyle name="Normal 12 2 9" xfId="4665" xr:uid="{00000000-0005-0000-0000-00001C0E0000}"/>
    <cellStyle name="Normal 12 2 9 2" xfId="21556" xr:uid="{28C0B6FC-0717-4650-8422-350008D664BA}"/>
    <cellStyle name="Normal 12 2 9 3" xfId="13115" xr:uid="{61AF16EE-3DF2-4994-9D8E-9E4ABDFF1295}"/>
    <cellStyle name="Normal 12 3" xfId="264" xr:uid="{00000000-0005-0000-0000-00001D0E0000}"/>
    <cellStyle name="Normal 12 3 10" xfId="8901" xr:uid="{4172E99F-5290-44CC-95C6-80E7E6D11B0A}"/>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2 2 2" xfId="24120" xr:uid="{239C0654-3853-47CD-95AD-F921EAF36954}"/>
    <cellStyle name="Normal 12 3 2 2 2 2 3" xfId="15679" xr:uid="{58AFCEC3-B576-4067-BD4D-0A585E7922D8}"/>
    <cellStyle name="Normal 12 3 2 2 2 3" xfId="19902" xr:uid="{BEFFEB8B-01A7-40EA-8F8D-3568FFBE4334}"/>
    <cellStyle name="Normal 12 3 2 2 2 4" xfId="11461" xr:uid="{F59ECD3F-6664-4BFC-BAAC-32D8A381D634}"/>
    <cellStyle name="Normal 12 3 2 2 3" xfId="5084" xr:uid="{00000000-0005-0000-0000-0000220E0000}"/>
    <cellStyle name="Normal 12 3 2 2 3 2" xfId="21975" xr:uid="{FF831F8F-D7BA-48B4-91E3-6D0522A82E9B}"/>
    <cellStyle name="Normal 12 3 2 2 3 3" xfId="13534" xr:uid="{41E52058-3686-410D-80CD-AB5E7DFCFD70}"/>
    <cellStyle name="Normal 12 3 2 2 4" xfId="17757" xr:uid="{874BFFC5-8BA3-4812-824B-40B3CF5F2C8F}"/>
    <cellStyle name="Normal 12 3 2 2 5" xfId="9316" xr:uid="{6FB9DACE-2410-4A2B-BED4-C5960C43E30B}"/>
    <cellStyle name="Normal 12 3 2 3" xfId="1189" xr:uid="{00000000-0005-0000-0000-0000230E0000}"/>
    <cellStyle name="Normal 12 3 2 3 2" xfId="3420" xr:uid="{00000000-0005-0000-0000-0000240E0000}"/>
    <cellStyle name="Normal 12 3 2 3 2 2" xfId="7642" xr:uid="{00000000-0005-0000-0000-0000250E0000}"/>
    <cellStyle name="Normal 12 3 2 3 2 2 2" xfId="24533" xr:uid="{C6AC4B85-8F9A-432E-8DFD-5DF147E4DB37}"/>
    <cellStyle name="Normal 12 3 2 3 2 2 3" xfId="16092" xr:uid="{09BB4353-0F63-462D-AB6A-0B5BD818A7BC}"/>
    <cellStyle name="Normal 12 3 2 3 2 3" xfId="20315" xr:uid="{462365A9-0571-4DAD-AA1B-02E7DA5498A8}"/>
    <cellStyle name="Normal 12 3 2 3 2 4" xfId="11874" xr:uid="{A7314FB4-2695-4923-AF16-D990F3282BD8}"/>
    <cellStyle name="Normal 12 3 2 3 3" xfId="5497" xr:uid="{00000000-0005-0000-0000-0000260E0000}"/>
    <cellStyle name="Normal 12 3 2 3 3 2" xfId="22388" xr:uid="{AA0DF631-076C-4721-8FB9-C321E60D8115}"/>
    <cellStyle name="Normal 12 3 2 3 3 3" xfId="13947" xr:uid="{150A4158-7877-40FB-8C7C-6C0F52A6B80B}"/>
    <cellStyle name="Normal 12 3 2 3 4" xfId="18170" xr:uid="{B4C5033D-5FF8-4E3E-BB7B-AC679A54233D}"/>
    <cellStyle name="Normal 12 3 2 3 5" xfId="9729" xr:uid="{32FE9723-C0DA-4D8A-9576-68346D6EF654}"/>
    <cellStyle name="Normal 12 3 2 4" xfId="1603" xr:uid="{00000000-0005-0000-0000-0000270E0000}"/>
    <cellStyle name="Normal 12 3 2 4 2" xfId="3833" xr:uid="{00000000-0005-0000-0000-0000280E0000}"/>
    <cellStyle name="Normal 12 3 2 4 2 2" xfId="8055" xr:uid="{00000000-0005-0000-0000-0000290E0000}"/>
    <cellStyle name="Normal 12 3 2 4 2 2 2" xfId="24946" xr:uid="{6451EA3D-B290-43DC-A1E2-B0A630F0B8D3}"/>
    <cellStyle name="Normal 12 3 2 4 2 2 3" xfId="16505" xr:uid="{4317E2A3-028A-4BD2-84D5-14E7DB4F2F91}"/>
    <cellStyle name="Normal 12 3 2 4 2 3" xfId="20728" xr:uid="{101AE06E-1EDB-410A-A625-2C6980801DCD}"/>
    <cellStyle name="Normal 12 3 2 4 2 4" xfId="12287" xr:uid="{484E17EF-54B6-4189-A6DC-A74C0CE52797}"/>
    <cellStyle name="Normal 12 3 2 4 3" xfId="5910" xr:uid="{00000000-0005-0000-0000-00002A0E0000}"/>
    <cellStyle name="Normal 12 3 2 4 3 2" xfId="22801" xr:uid="{30AE2DAC-AB78-45F4-9E34-9339DF462D12}"/>
    <cellStyle name="Normal 12 3 2 4 3 3" xfId="14360" xr:uid="{B29E635C-8891-4E28-932C-A48A2F1E33FA}"/>
    <cellStyle name="Normal 12 3 2 4 4" xfId="18583" xr:uid="{92DC6098-67E3-4743-B714-A63DC5450411}"/>
    <cellStyle name="Normal 12 3 2 4 5" xfId="10142" xr:uid="{3E1B6458-FDDF-4ACA-939E-4463DC33AB6B}"/>
    <cellStyle name="Normal 12 3 2 5" xfId="2017" xr:uid="{00000000-0005-0000-0000-00002B0E0000}"/>
    <cellStyle name="Normal 12 3 2 5 2" xfId="4246" xr:uid="{00000000-0005-0000-0000-00002C0E0000}"/>
    <cellStyle name="Normal 12 3 2 5 2 2" xfId="8468" xr:uid="{00000000-0005-0000-0000-00002D0E0000}"/>
    <cellStyle name="Normal 12 3 2 5 2 2 2" xfId="25359" xr:uid="{C9586B88-57D7-4E18-A34C-C88A70921A78}"/>
    <cellStyle name="Normal 12 3 2 5 2 2 3" xfId="16918" xr:uid="{667A8A3F-B780-4A38-A454-F165699B3047}"/>
    <cellStyle name="Normal 12 3 2 5 2 3" xfId="21141" xr:uid="{4A2224B0-8F2B-4FD1-95C9-BF15F62F4DE7}"/>
    <cellStyle name="Normal 12 3 2 5 2 4" xfId="12700" xr:uid="{D8941706-F55D-495C-BE5D-07C4A131664F}"/>
    <cellStyle name="Normal 12 3 2 5 3" xfId="6323" xr:uid="{00000000-0005-0000-0000-00002E0E0000}"/>
    <cellStyle name="Normal 12 3 2 5 3 2" xfId="23214" xr:uid="{3FD0079E-5E40-4F43-A45F-43CFDAD7FA3A}"/>
    <cellStyle name="Normal 12 3 2 5 3 3" xfId="14773" xr:uid="{E762988E-4E72-4B03-BAA2-301A7F4EE72C}"/>
    <cellStyle name="Normal 12 3 2 5 4" xfId="18996" xr:uid="{F480DF87-CB1A-4096-8D2B-44CB386CEF18}"/>
    <cellStyle name="Normal 12 3 2 5 5" xfId="10555" xr:uid="{82C7FE88-59AD-45A7-A4F0-0591093CE75B}"/>
    <cellStyle name="Normal 12 3 2 6" xfId="2453" xr:uid="{00000000-0005-0000-0000-00002F0E0000}"/>
    <cellStyle name="Normal 12 3 2 6 2" xfId="6736" xr:uid="{00000000-0005-0000-0000-0000300E0000}"/>
    <cellStyle name="Normal 12 3 2 6 2 2" xfId="23627" xr:uid="{D66F463C-E8C4-4C04-94C7-8D8198BCA04E}"/>
    <cellStyle name="Normal 12 3 2 6 2 3" xfId="15186" xr:uid="{49B7C4BF-7E10-4DF5-B09D-22E4FD2BEFE8}"/>
    <cellStyle name="Normal 12 3 2 6 3" xfId="19409" xr:uid="{4CCFED9C-7EB4-4876-9AFC-89B7D2FD576D}"/>
    <cellStyle name="Normal 12 3 2 6 4" xfId="10968" xr:uid="{32FF7039-A625-4ADA-8431-2DBE3295957E}"/>
    <cellStyle name="Normal 12 3 2 7" xfId="4670" xr:uid="{00000000-0005-0000-0000-0000310E0000}"/>
    <cellStyle name="Normal 12 3 2 7 2" xfId="21561" xr:uid="{8F17C309-673F-4DCF-8A38-B79A8174B4AE}"/>
    <cellStyle name="Normal 12 3 2 7 3" xfId="13120" xr:uid="{0ACD7249-505B-4FF6-926C-32517F1F7124}"/>
    <cellStyle name="Normal 12 3 2 8" xfId="17343" xr:uid="{A5BA41F0-DBD7-4D07-85B8-FD24B1C65E90}"/>
    <cellStyle name="Normal 12 3 2 9" xfId="8902" xr:uid="{55E2598E-A2C7-46E4-8C83-86F4CB87F4D9}"/>
    <cellStyle name="Normal 12 3 3" xfId="765" xr:uid="{00000000-0005-0000-0000-0000320E0000}"/>
    <cellStyle name="Normal 12 3 3 2" xfId="3006" xr:uid="{00000000-0005-0000-0000-0000330E0000}"/>
    <cellStyle name="Normal 12 3 3 2 2" xfId="7228" xr:uid="{00000000-0005-0000-0000-0000340E0000}"/>
    <cellStyle name="Normal 12 3 3 2 2 2" xfId="24119" xr:uid="{71786104-004E-4278-8EF8-7D62C90BE45F}"/>
    <cellStyle name="Normal 12 3 3 2 2 3" xfId="15678" xr:uid="{8C46BD36-541F-431C-A3C2-96A567A19C72}"/>
    <cellStyle name="Normal 12 3 3 2 3" xfId="19901" xr:uid="{60A51F95-71D6-471C-9439-50B48E910C34}"/>
    <cellStyle name="Normal 12 3 3 2 4" xfId="11460" xr:uid="{31EBD972-C604-41FC-A13A-7C6AFC10D6AB}"/>
    <cellStyle name="Normal 12 3 3 3" xfId="5083" xr:uid="{00000000-0005-0000-0000-0000350E0000}"/>
    <cellStyle name="Normal 12 3 3 3 2" xfId="21974" xr:uid="{D13F9F4E-697B-412C-8BF0-23BBC935DA8D}"/>
    <cellStyle name="Normal 12 3 3 3 3" xfId="13533" xr:uid="{F8FA6FA8-08B1-4B5B-822C-2C4D81C78E0C}"/>
    <cellStyle name="Normal 12 3 3 4" xfId="17756" xr:uid="{777EADBB-5F70-45FD-BCCD-6A872C1A89B3}"/>
    <cellStyle name="Normal 12 3 3 5" xfId="9315" xr:uid="{2D02A215-5600-4D21-9CCB-B46FD6FFF3C6}"/>
    <cellStyle name="Normal 12 3 4" xfId="1188" xr:uid="{00000000-0005-0000-0000-0000360E0000}"/>
    <cellStyle name="Normal 12 3 4 2" xfId="3419" xr:uid="{00000000-0005-0000-0000-0000370E0000}"/>
    <cellStyle name="Normal 12 3 4 2 2" xfId="7641" xr:uid="{00000000-0005-0000-0000-0000380E0000}"/>
    <cellStyle name="Normal 12 3 4 2 2 2" xfId="24532" xr:uid="{5746AD60-1F96-4749-96CB-1FA8C360F33B}"/>
    <cellStyle name="Normal 12 3 4 2 2 3" xfId="16091" xr:uid="{D63FE786-8275-4B73-81CA-7E768AE9A5BB}"/>
    <cellStyle name="Normal 12 3 4 2 3" xfId="20314" xr:uid="{098F9378-EBF8-4C67-B12D-71CCCE4D2919}"/>
    <cellStyle name="Normal 12 3 4 2 4" xfId="11873" xr:uid="{BE098B05-E07D-4C6C-BA5F-4577F155F6D2}"/>
    <cellStyle name="Normal 12 3 4 3" xfId="5496" xr:uid="{00000000-0005-0000-0000-0000390E0000}"/>
    <cellStyle name="Normal 12 3 4 3 2" xfId="22387" xr:uid="{F53B45CA-91D5-4BA1-AE4C-2004401BE716}"/>
    <cellStyle name="Normal 12 3 4 3 3" xfId="13946" xr:uid="{11B5C4BF-5697-4BEE-A269-4894B8193356}"/>
    <cellStyle name="Normal 12 3 4 4" xfId="18169" xr:uid="{4CA4B6D4-D1FC-4377-87D3-BF93AA692277}"/>
    <cellStyle name="Normal 12 3 4 5" xfId="9728" xr:uid="{AE35DAB6-60CA-4340-90C3-0845B13052D1}"/>
    <cellStyle name="Normal 12 3 5" xfId="1602" xr:uid="{00000000-0005-0000-0000-00003A0E0000}"/>
    <cellStyle name="Normal 12 3 5 2" xfId="3832" xr:uid="{00000000-0005-0000-0000-00003B0E0000}"/>
    <cellStyle name="Normal 12 3 5 2 2" xfId="8054" xr:uid="{00000000-0005-0000-0000-00003C0E0000}"/>
    <cellStyle name="Normal 12 3 5 2 2 2" xfId="24945" xr:uid="{F8348BA4-04BC-457D-89DC-6972A52012AA}"/>
    <cellStyle name="Normal 12 3 5 2 2 3" xfId="16504" xr:uid="{2B137326-E7F7-4835-A1B8-DA319E4AE9EC}"/>
    <cellStyle name="Normal 12 3 5 2 3" xfId="20727" xr:uid="{F25D9CCB-7095-4554-9098-1D2C23878E3C}"/>
    <cellStyle name="Normal 12 3 5 2 4" xfId="12286" xr:uid="{8357B4DA-E8BE-4372-8193-42C08F7124DF}"/>
    <cellStyle name="Normal 12 3 5 3" xfId="5909" xr:uid="{00000000-0005-0000-0000-00003D0E0000}"/>
    <cellStyle name="Normal 12 3 5 3 2" xfId="22800" xr:uid="{23ECCE43-C98D-4773-A35B-F0DCDD2018C6}"/>
    <cellStyle name="Normal 12 3 5 3 3" xfId="14359" xr:uid="{EA76FCAD-3008-48E0-8B91-B8F6E2736869}"/>
    <cellStyle name="Normal 12 3 5 4" xfId="18582" xr:uid="{9F25FA14-0C4B-48E2-AC4B-107306C833EE}"/>
    <cellStyle name="Normal 12 3 5 5" xfId="10141" xr:uid="{1647985F-11AB-4EA0-BA48-8C4E280D511F}"/>
    <cellStyle name="Normal 12 3 6" xfId="2016" xr:uid="{00000000-0005-0000-0000-00003E0E0000}"/>
    <cellStyle name="Normal 12 3 6 2" xfId="4245" xr:uid="{00000000-0005-0000-0000-00003F0E0000}"/>
    <cellStyle name="Normal 12 3 6 2 2" xfId="8467" xr:uid="{00000000-0005-0000-0000-0000400E0000}"/>
    <cellStyle name="Normal 12 3 6 2 2 2" xfId="25358" xr:uid="{B16CC1AC-DB9F-465B-9E30-34425FE1B89A}"/>
    <cellStyle name="Normal 12 3 6 2 2 3" xfId="16917" xr:uid="{8498B5AC-2CBA-422B-BE9C-1152CA5B27EE}"/>
    <cellStyle name="Normal 12 3 6 2 3" xfId="21140" xr:uid="{0DF8EDD9-26BA-47FF-917C-743F5EEBEC21}"/>
    <cellStyle name="Normal 12 3 6 2 4" xfId="12699" xr:uid="{A3D2C7A7-F89F-402C-8B8D-6DAA5CE97051}"/>
    <cellStyle name="Normal 12 3 6 3" xfId="6322" xr:uid="{00000000-0005-0000-0000-0000410E0000}"/>
    <cellStyle name="Normal 12 3 6 3 2" xfId="23213" xr:uid="{3C7199DF-0834-4FE5-94F0-98A3EC4C2FE0}"/>
    <cellStyle name="Normal 12 3 6 3 3" xfId="14772" xr:uid="{3F3188C6-C2B1-43C1-AC3B-F8844FFC3F8D}"/>
    <cellStyle name="Normal 12 3 6 4" xfId="18995" xr:uid="{8C6CDDC6-28CF-4BCD-966F-8262F8D65B12}"/>
    <cellStyle name="Normal 12 3 6 5" xfId="10554" xr:uid="{D1A2C043-BA43-49F8-948B-57D061548096}"/>
    <cellStyle name="Normal 12 3 7" xfId="2452" xr:uid="{00000000-0005-0000-0000-0000420E0000}"/>
    <cellStyle name="Normal 12 3 7 2" xfId="6735" xr:uid="{00000000-0005-0000-0000-0000430E0000}"/>
    <cellStyle name="Normal 12 3 7 2 2" xfId="23626" xr:uid="{FB103D47-4B04-4059-943E-B124B67F75CA}"/>
    <cellStyle name="Normal 12 3 7 2 3" xfId="15185" xr:uid="{FF6B541D-7320-4DE3-8AD4-522B74999FBF}"/>
    <cellStyle name="Normal 12 3 7 3" xfId="19408" xr:uid="{722C0BD3-6C5D-4E54-8721-BDD7A3774343}"/>
    <cellStyle name="Normal 12 3 7 4" xfId="10967" xr:uid="{144AF0E8-5619-43A8-8864-B35A380659B4}"/>
    <cellStyle name="Normal 12 3 8" xfId="4669" xr:uid="{00000000-0005-0000-0000-0000440E0000}"/>
    <cellStyle name="Normal 12 3 8 2" xfId="21560" xr:uid="{DFCE085C-C73D-446B-AEB5-2EE1DEEF8AE0}"/>
    <cellStyle name="Normal 12 3 8 3" xfId="13119" xr:uid="{037ADB5B-1175-4F66-BAA9-99317AB89865}"/>
    <cellStyle name="Normal 12 3 9" xfId="17342" xr:uid="{A2A68090-5614-4AE3-9EFE-A7FCB750D217}"/>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2 2 2" xfId="24121" xr:uid="{17ED3A10-0937-4AEE-90B1-E6CB0374D738}"/>
    <cellStyle name="Normal 12 4 2 2 2 3" xfId="15680" xr:uid="{E177EE5D-360B-4CC8-9213-85973B042C88}"/>
    <cellStyle name="Normal 12 4 2 2 3" xfId="19903" xr:uid="{E9CC0750-CC71-4712-9299-25CAA4ADE7DC}"/>
    <cellStyle name="Normal 12 4 2 2 4" xfId="11462" xr:uid="{0057BB5A-15EE-49AF-8A86-393A3F16FBBD}"/>
    <cellStyle name="Normal 12 4 2 3" xfId="5085" xr:uid="{00000000-0005-0000-0000-0000490E0000}"/>
    <cellStyle name="Normal 12 4 2 3 2" xfId="21976" xr:uid="{2BCBC89F-D076-429E-AAFB-AD3A267C309A}"/>
    <cellStyle name="Normal 12 4 2 3 3" xfId="13535" xr:uid="{CD8EEB0F-0858-403A-81AD-2166BD0DC170}"/>
    <cellStyle name="Normal 12 4 2 4" xfId="17758" xr:uid="{0705B5D7-A63E-4755-A29C-7B567618FF10}"/>
    <cellStyle name="Normal 12 4 2 5" xfId="9317" xr:uid="{6498D65F-E280-454C-A771-F73F10D5D2CF}"/>
    <cellStyle name="Normal 12 4 3" xfId="1190" xr:uid="{00000000-0005-0000-0000-00004A0E0000}"/>
    <cellStyle name="Normal 12 4 3 2" xfId="3421" xr:uid="{00000000-0005-0000-0000-00004B0E0000}"/>
    <cellStyle name="Normal 12 4 3 2 2" xfId="7643" xr:uid="{00000000-0005-0000-0000-00004C0E0000}"/>
    <cellStyle name="Normal 12 4 3 2 2 2" xfId="24534" xr:uid="{D9CD440E-6D6C-4BFA-A961-E83D8EC7473F}"/>
    <cellStyle name="Normal 12 4 3 2 2 3" xfId="16093" xr:uid="{05AFAC2D-84AD-4D3F-AA33-3ADD8ECCF562}"/>
    <cellStyle name="Normal 12 4 3 2 3" xfId="20316" xr:uid="{A36C0C40-7E7F-4A83-93D5-5101C1F3856F}"/>
    <cellStyle name="Normal 12 4 3 2 4" xfId="11875" xr:uid="{7521F286-198A-4451-881E-6135FE9CC295}"/>
    <cellStyle name="Normal 12 4 3 3" xfId="5498" xr:uid="{00000000-0005-0000-0000-00004D0E0000}"/>
    <cellStyle name="Normal 12 4 3 3 2" xfId="22389" xr:uid="{9F65CC08-1426-490C-B6B9-349AC3AC888B}"/>
    <cellStyle name="Normal 12 4 3 3 3" xfId="13948" xr:uid="{744FAD4F-E8C0-41B1-B8A1-1DF49AAC0BB1}"/>
    <cellStyle name="Normal 12 4 3 4" xfId="18171" xr:uid="{FA16338B-D7D6-4830-8C22-12A420A59986}"/>
    <cellStyle name="Normal 12 4 3 5" xfId="9730" xr:uid="{7496A38F-2265-4680-8FB3-F4155D07BC0C}"/>
    <cellStyle name="Normal 12 4 4" xfId="1604" xr:uid="{00000000-0005-0000-0000-00004E0E0000}"/>
    <cellStyle name="Normal 12 4 4 2" xfId="3834" xr:uid="{00000000-0005-0000-0000-00004F0E0000}"/>
    <cellStyle name="Normal 12 4 4 2 2" xfId="8056" xr:uid="{00000000-0005-0000-0000-0000500E0000}"/>
    <cellStyle name="Normal 12 4 4 2 2 2" xfId="24947" xr:uid="{69DD1083-5DD7-478F-8E1D-46D0CABABACD}"/>
    <cellStyle name="Normal 12 4 4 2 2 3" xfId="16506" xr:uid="{2CB442E8-4D72-48AB-8315-16B6A39C4559}"/>
    <cellStyle name="Normal 12 4 4 2 3" xfId="20729" xr:uid="{4D064A5D-4150-4778-8C07-9EA54456C693}"/>
    <cellStyle name="Normal 12 4 4 2 4" xfId="12288" xr:uid="{2E887A16-AB2F-4D33-8C71-EA709A9FE0F7}"/>
    <cellStyle name="Normal 12 4 4 3" xfId="5911" xr:uid="{00000000-0005-0000-0000-0000510E0000}"/>
    <cellStyle name="Normal 12 4 4 3 2" xfId="22802" xr:uid="{69ED5AA7-541F-4755-ACBF-C55128288EE9}"/>
    <cellStyle name="Normal 12 4 4 3 3" xfId="14361" xr:uid="{1EB0BF7F-2A84-43D1-AF30-9154B3DFDCF4}"/>
    <cellStyle name="Normal 12 4 4 4" xfId="18584" xr:uid="{D13ACF26-24C7-4764-BCA0-DEC8A47793F9}"/>
    <cellStyle name="Normal 12 4 4 5" xfId="10143" xr:uid="{66690B2B-C0FB-46E0-A72C-3644EBE001C0}"/>
    <cellStyle name="Normal 12 4 5" xfId="2018" xr:uid="{00000000-0005-0000-0000-0000520E0000}"/>
    <cellStyle name="Normal 12 4 5 2" xfId="4247" xr:uid="{00000000-0005-0000-0000-0000530E0000}"/>
    <cellStyle name="Normal 12 4 5 2 2" xfId="8469" xr:uid="{00000000-0005-0000-0000-0000540E0000}"/>
    <cellStyle name="Normal 12 4 5 2 2 2" xfId="25360" xr:uid="{98C6FFC6-0D69-423F-AECA-8BA783010BC7}"/>
    <cellStyle name="Normal 12 4 5 2 2 3" xfId="16919" xr:uid="{38C35E40-F875-469E-9724-F652DC5DDACD}"/>
    <cellStyle name="Normal 12 4 5 2 3" xfId="21142" xr:uid="{21F5EA3D-C295-4C91-B44C-2F3E84E99550}"/>
    <cellStyle name="Normal 12 4 5 2 4" xfId="12701" xr:uid="{0291D45D-E10F-4E89-A4B1-7221E3933C09}"/>
    <cellStyle name="Normal 12 4 5 3" xfId="6324" xr:uid="{00000000-0005-0000-0000-0000550E0000}"/>
    <cellStyle name="Normal 12 4 5 3 2" xfId="23215" xr:uid="{2D57A48D-1D8A-42C6-8888-92670999093C}"/>
    <cellStyle name="Normal 12 4 5 3 3" xfId="14774" xr:uid="{1F5EBA38-94A2-4214-AAD3-438C85D21BA7}"/>
    <cellStyle name="Normal 12 4 5 4" xfId="18997" xr:uid="{3BD7124B-7CBB-4CF2-834C-DB8437237AED}"/>
    <cellStyle name="Normal 12 4 5 5" xfId="10556" xr:uid="{5D188757-794A-4A03-8257-4F52871FD4F6}"/>
    <cellStyle name="Normal 12 4 6" xfId="2454" xr:uid="{00000000-0005-0000-0000-0000560E0000}"/>
    <cellStyle name="Normal 12 4 6 2" xfId="6737" xr:uid="{00000000-0005-0000-0000-0000570E0000}"/>
    <cellStyle name="Normal 12 4 6 2 2" xfId="23628" xr:uid="{18E54A41-88D9-4E46-8E65-24CB99498E89}"/>
    <cellStyle name="Normal 12 4 6 2 3" xfId="15187" xr:uid="{3DAFB838-C90D-4F09-B5E3-A10DD7FBCCE3}"/>
    <cellStyle name="Normal 12 4 6 3" xfId="19410" xr:uid="{0464E9A3-49CF-442C-9FCB-7C929AF3CD31}"/>
    <cellStyle name="Normal 12 4 6 4" xfId="10969" xr:uid="{D9CCD968-1057-40E1-8957-D2CF6982A379}"/>
    <cellStyle name="Normal 12 4 7" xfId="4671" xr:uid="{00000000-0005-0000-0000-0000580E0000}"/>
    <cellStyle name="Normal 12 4 7 2" xfId="21562" xr:uid="{83F90509-DEC5-4158-8947-BA0073223DA7}"/>
    <cellStyle name="Normal 12 4 7 3" xfId="13121" xr:uid="{9A15C93A-DA7C-457E-94C5-BBA50F6DFD56}"/>
    <cellStyle name="Normal 12 4 8" xfId="17344" xr:uid="{4914DC96-4CB7-44E6-BED0-0988C95CFA47}"/>
    <cellStyle name="Normal 12 4 9" xfId="8903" xr:uid="{CFC7C731-9A1C-4B22-966D-8BA7674D4B97}"/>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2 2 2" xfId="24114" xr:uid="{7F6D9FA7-688A-42A0-AC6C-FD66E782B931}"/>
    <cellStyle name="Normal 12 6 2 2 3" xfId="15673" xr:uid="{6ACC6C1F-7F64-42D3-AA11-D120F2F7F439}"/>
    <cellStyle name="Normal 12 6 2 3" xfId="19896" xr:uid="{ED127AB6-70C3-41AF-B340-0B61ED16DB38}"/>
    <cellStyle name="Normal 12 6 2 4" xfId="11455" xr:uid="{CFF9F4F6-4D01-4CCE-B585-B00A97F2040B}"/>
    <cellStyle name="Normal 12 6 3" xfId="5078" xr:uid="{00000000-0005-0000-0000-00005D0E0000}"/>
    <cellStyle name="Normal 12 6 3 2" xfId="21969" xr:uid="{E693E1C9-E8B2-4B54-B34B-F65BBA8DA1A9}"/>
    <cellStyle name="Normal 12 6 3 3" xfId="13528" xr:uid="{A701B26B-4DDF-4230-B9B0-28E9228643C7}"/>
    <cellStyle name="Normal 12 6 4" xfId="17751" xr:uid="{8AF51ACC-C505-4E35-A3D5-1D905A1D9D96}"/>
    <cellStyle name="Normal 12 6 5" xfId="9310" xr:uid="{561E2135-3587-41B3-81BF-7FD9DD625320}"/>
    <cellStyle name="Normal 12 7" xfId="1183" xr:uid="{00000000-0005-0000-0000-00005E0E0000}"/>
    <cellStyle name="Normal 12 7 2" xfId="3414" xr:uid="{00000000-0005-0000-0000-00005F0E0000}"/>
    <cellStyle name="Normal 12 7 2 2" xfId="7636" xr:uid="{00000000-0005-0000-0000-0000600E0000}"/>
    <cellStyle name="Normal 12 7 2 2 2" xfId="24527" xr:uid="{6D840225-3ABC-4323-8E74-D4537B3AF85B}"/>
    <cellStyle name="Normal 12 7 2 2 3" xfId="16086" xr:uid="{864C62E4-F6B6-41C9-9423-0CBD36EE625C}"/>
    <cellStyle name="Normal 12 7 2 3" xfId="20309" xr:uid="{3EBF7265-A38A-4F08-AA2A-D20C1D2241AA}"/>
    <cellStyle name="Normal 12 7 2 4" xfId="11868" xr:uid="{962539CE-539D-4170-9F7F-60387CF00BDC}"/>
    <cellStyle name="Normal 12 7 3" xfId="5491" xr:uid="{00000000-0005-0000-0000-0000610E0000}"/>
    <cellStyle name="Normal 12 7 3 2" xfId="22382" xr:uid="{9328DCEC-E479-45E3-B724-C2A5ABF64A96}"/>
    <cellStyle name="Normal 12 7 3 3" xfId="13941" xr:uid="{B008C83B-2295-4A3C-846E-7C9086295C16}"/>
    <cellStyle name="Normal 12 7 4" xfId="18164" xr:uid="{EF4D0FA1-1A84-441F-BD3F-B9BDD1EC8B60}"/>
    <cellStyle name="Normal 12 7 5" xfId="9723" xr:uid="{DCA1F710-585F-408C-9D4C-A81765AC7EF5}"/>
    <cellStyle name="Normal 12 8" xfId="1597" xr:uid="{00000000-0005-0000-0000-0000620E0000}"/>
    <cellStyle name="Normal 12 8 2" xfId="3827" xr:uid="{00000000-0005-0000-0000-0000630E0000}"/>
    <cellStyle name="Normal 12 8 2 2" xfId="8049" xr:uid="{00000000-0005-0000-0000-0000640E0000}"/>
    <cellStyle name="Normal 12 8 2 2 2" xfId="24940" xr:uid="{96ECDA52-EDE3-4736-A3EB-8DC0011C8E81}"/>
    <cellStyle name="Normal 12 8 2 2 3" xfId="16499" xr:uid="{1ECB0964-4758-43AA-B6EB-6C44CAB3BA31}"/>
    <cellStyle name="Normal 12 8 2 3" xfId="20722" xr:uid="{07DBD324-2EA3-4E83-BBD8-C8FEF1953666}"/>
    <cellStyle name="Normal 12 8 2 4" xfId="12281" xr:uid="{22201005-B1F6-4BDF-A8B6-0A3CF5BBEFFB}"/>
    <cellStyle name="Normal 12 8 3" xfId="5904" xr:uid="{00000000-0005-0000-0000-0000650E0000}"/>
    <cellStyle name="Normal 12 8 3 2" xfId="22795" xr:uid="{D3AA8A5A-8DC4-42B5-A5AB-DB0D4016699F}"/>
    <cellStyle name="Normal 12 8 3 3" xfId="14354" xr:uid="{28B925DA-9E49-4B38-88E9-299EE461BD77}"/>
    <cellStyle name="Normal 12 8 4" xfId="18577" xr:uid="{47985383-8E02-4E36-AE2E-9254B99C9503}"/>
    <cellStyle name="Normal 12 8 5" xfId="10136" xr:uid="{8D3E6F5D-FD73-44C1-A5FD-992FB65BCB21}"/>
    <cellStyle name="Normal 12 9" xfId="2011" xr:uid="{00000000-0005-0000-0000-0000660E0000}"/>
    <cellStyle name="Normal 12 9 2" xfId="4240" xr:uid="{00000000-0005-0000-0000-0000670E0000}"/>
    <cellStyle name="Normal 12 9 2 2" xfId="8462" xr:uid="{00000000-0005-0000-0000-0000680E0000}"/>
    <cellStyle name="Normal 12 9 2 2 2" xfId="25353" xr:uid="{C0398071-DC10-45F7-9923-154EB1597C93}"/>
    <cellStyle name="Normal 12 9 2 2 3" xfId="16912" xr:uid="{58374034-3825-4250-9423-B6166861D5BA}"/>
    <cellStyle name="Normal 12 9 2 3" xfId="21135" xr:uid="{6D64F4FC-3551-4B6F-B239-59E73A2E3F8F}"/>
    <cellStyle name="Normal 12 9 2 4" xfId="12694" xr:uid="{AB50C27D-8BF0-4F6F-B878-226A01365DF6}"/>
    <cellStyle name="Normal 12 9 3" xfId="6317" xr:uid="{00000000-0005-0000-0000-0000690E0000}"/>
    <cellStyle name="Normal 12 9 3 2" xfId="23208" xr:uid="{D9220FF5-E8B0-4523-B170-62E8BC237BCA}"/>
    <cellStyle name="Normal 12 9 3 3" xfId="14767" xr:uid="{85746CAC-8B1A-4AFC-A0E3-95C835BB6DEB}"/>
    <cellStyle name="Normal 12 9 4" xfId="18990" xr:uid="{D9B9FE3A-2C14-43F6-93C7-416AE94C4313}"/>
    <cellStyle name="Normal 12 9 5" xfId="10549" xr:uid="{D939312F-B511-4F14-8D55-7690BB74A16D}"/>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2 2 2" xfId="24122" xr:uid="{3D512458-DFBA-4C7E-B72B-516474B75B74}"/>
    <cellStyle name="Normal 14 2 2 2 3" xfId="15681" xr:uid="{565569A8-0EAE-4933-ADC2-6B1CA7912C4E}"/>
    <cellStyle name="Normal 14 2 2 3" xfId="19904" xr:uid="{523D97B4-CC47-40A2-AD09-F2FC70BC084C}"/>
    <cellStyle name="Normal 14 2 2 4" xfId="11463" xr:uid="{FF96F943-E1CC-46EA-93FF-507D9F079B8F}"/>
    <cellStyle name="Normal 14 2 3" xfId="5086" xr:uid="{00000000-0005-0000-0000-0000700E0000}"/>
    <cellStyle name="Normal 14 2 3 2" xfId="21977" xr:uid="{253FD182-99DB-4213-81FD-CF55A4C15B39}"/>
    <cellStyle name="Normal 14 2 3 3" xfId="13536" xr:uid="{C7E03E80-1300-4BD9-8E4D-7E4779B242A6}"/>
    <cellStyle name="Normal 14 2 4" xfId="17759" xr:uid="{D907033B-B379-4868-8E1D-F65E0ACD3BBF}"/>
    <cellStyle name="Normal 14 2 5" xfId="9318" xr:uid="{7A9847A0-D6C6-4D5D-9CD8-F32B93C91A4A}"/>
    <cellStyle name="Normal 14 3" xfId="1191" xr:uid="{00000000-0005-0000-0000-0000710E0000}"/>
    <cellStyle name="Normal 14 3 2" xfId="3422" xr:uid="{00000000-0005-0000-0000-0000720E0000}"/>
    <cellStyle name="Normal 14 3 2 2" xfId="7644" xr:uid="{00000000-0005-0000-0000-0000730E0000}"/>
    <cellStyle name="Normal 14 3 2 2 2" xfId="24535" xr:uid="{F74AE65E-FD21-4E53-BA06-F68D73CAB71B}"/>
    <cellStyle name="Normal 14 3 2 2 3" xfId="16094" xr:uid="{A49A2CB7-1E75-45E2-A603-C6241B3167B6}"/>
    <cellStyle name="Normal 14 3 2 3" xfId="20317" xr:uid="{34A44292-7CCC-4C80-818E-AA20B14B7E5A}"/>
    <cellStyle name="Normal 14 3 2 4" xfId="11876" xr:uid="{F6F23FFB-6E2C-470A-BE68-F8023F40B07F}"/>
    <cellStyle name="Normal 14 3 3" xfId="5499" xr:uid="{00000000-0005-0000-0000-0000740E0000}"/>
    <cellStyle name="Normal 14 3 3 2" xfId="22390" xr:uid="{9098F1A6-EAAE-41DA-8866-645672A320FE}"/>
    <cellStyle name="Normal 14 3 3 3" xfId="13949" xr:uid="{9A90A67C-7A9F-4B33-9053-4E9713B47EC4}"/>
    <cellStyle name="Normal 14 3 4" xfId="18172" xr:uid="{AA3B7F6D-E406-4BF9-87B4-B34D022610D7}"/>
    <cellStyle name="Normal 14 3 5" xfId="9731" xr:uid="{A7367496-5521-467B-A6C2-E4680CF34C60}"/>
    <cellStyle name="Normal 14 4" xfId="1605" xr:uid="{00000000-0005-0000-0000-0000750E0000}"/>
    <cellStyle name="Normal 14 4 2" xfId="3835" xr:uid="{00000000-0005-0000-0000-0000760E0000}"/>
    <cellStyle name="Normal 14 4 2 2" xfId="8057" xr:uid="{00000000-0005-0000-0000-0000770E0000}"/>
    <cellStyle name="Normal 14 4 2 2 2" xfId="24948" xr:uid="{D4D026BE-4021-4F03-90BE-F9F205C1E6BB}"/>
    <cellStyle name="Normal 14 4 2 2 3" xfId="16507" xr:uid="{4553B85C-8599-492C-A2B1-4427852B5255}"/>
    <cellStyle name="Normal 14 4 2 3" xfId="20730" xr:uid="{4AFB3235-47E8-450D-8B92-422C7AD224AC}"/>
    <cellStyle name="Normal 14 4 2 4" xfId="12289" xr:uid="{3A6A3176-0BED-4302-BB9B-AD23A8A7B31A}"/>
    <cellStyle name="Normal 14 4 3" xfId="5912" xr:uid="{00000000-0005-0000-0000-0000780E0000}"/>
    <cellStyle name="Normal 14 4 3 2" xfId="22803" xr:uid="{2F09CED6-F33E-4D7C-905D-93CD5B80ABF0}"/>
    <cellStyle name="Normal 14 4 3 3" xfId="14362" xr:uid="{E00654C6-C6E2-47C6-91B6-3CE69D204D29}"/>
    <cellStyle name="Normal 14 4 4" xfId="18585" xr:uid="{32EF1AA9-D0C3-41D4-876F-BA5ECF125942}"/>
    <cellStyle name="Normal 14 4 5" xfId="10144" xr:uid="{37366FF3-3727-48BB-8257-36CA73D00772}"/>
    <cellStyle name="Normal 14 5" xfId="2019" xr:uid="{00000000-0005-0000-0000-0000790E0000}"/>
    <cellStyle name="Normal 14 5 2" xfId="4248" xr:uid="{00000000-0005-0000-0000-00007A0E0000}"/>
    <cellStyle name="Normal 14 5 2 2" xfId="8470" xr:uid="{00000000-0005-0000-0000-00007B0E0000}"/>
    <cellStyle name="Normal 14 5 2 2 2" xfId="25361" xr:uid="{4510E808-014F-4633-B33A-4C719FD32F70}"/>
    <cellStyle name="Normal 14 5 2 2 3" xfId="16920" xr:uid="{75B28BD8-B0CC-483F-88FD-03C407EAF9D5}"/>
    <cellStyle name="Normal 14 5 2 3" xfId="21143" xr:uid="{A697DC1F-762A-4E51-82DE-31A81AD94F8E}"/>
    <cellStyle name="Normal 14 5 2 4" xfId="12702" xr:uid="{A080B02C-AEC0-45C3-9A77-42C15A7F3991}"/>
    <cellStyle name="Normal 14 5 3" xfId="6325" xr:uid="{00000000-0005-0000-0000-00007C0E0000}"/>
    <cellStyle name="Normal 14 5 3 2" xfId="23216" xr:uid="{12772ED9-BD3B-485B-B799-D5119CC5252E}"/>
    <cellStyle name="Normal 14 5 3 3" xfId="14775" xr:uid="{FA05EF8B-162C-4612-93C7-72F0262286B8}"/>
    <cellStyle name="Normal 14 5 4" xfId="18998" xr:uid="{BFCC70BC-D35E-4A01-A290-0D1900408620}"/>
    <cellStyle name="Normal 14 5 5" xfId="10557" xr:uid="{49AEA5EE-096E-487A-9DDE-A389CFCE1AE0}"/>
    <cellStyle name="Normal 14 6" xfId="2455" xr:uid="{00000000-0005-0000-0000-00007D0E0000}"/>
    <cellStyle name="Normal 14 6 2" xfId="6738" xr:uid="{00000000-0005-0000-0000-00007E0E0000}"/>
    <cellStyle name="Normal 14 6 2 2" xfId="23629" xr:uid="{1CF7F3BC-0634-463A-995E-84A7CC6F7B9C}"/>
    <cellStyle name="Normal 14 6 2 3" xfId="15188" xr:uid="{65A3ABB8-ACD9-4923-8032-3EAA52CBCF42}"/>
    <cellStyle name="Normal 14 6 3" xfId="19411" xr:uid="{319BF7E4-FD40-4B59-B465-65405CF6CF3C}"/>
    <cellStyle name="Normal 14 6 4" xfId="10970" xr:uid="{62EF8611-3178-459F-866C-BD91ADFEACC3}"/>
    <cellStyle name="Normal 14 7" xfId="4672" xr:uid="{00000000-0005-0000-0000-00007F0E0000}"/>
    <cellStyle name="Normal 14 7 2" xfId="21563" xr:uid="{E45F8A8A-8CD8-456D-8AEB-FD1BAEA1B748}"/>
    <cellStyle name="Normal 14 7 3" xfId="13122" xr:uid="{120122A8-0E99-42EA-9FA1-6EDA12358F1F}"/>
    <cellStyle name="Normal 14 8" xfId="17345" xr:uid="{0CEFEB21-D4F9-4257-80B8-4225767DFD31}"/>
    <cellStyle name="Normal 14 9" xfId="8904" xr:uid="{AD455835-42C4-42AB-9E58-E6C1ECB32635}"/>
    <cellStyle name="Normal 15" xfId="4496" xr:uid="{00000000-0005-0000-0000-0000800E0000}"/>
    <cellStyle name="Normal 15 2" xfId="21389" xr:uid="{8556D1F3-96DD-4DF8-86CC-EA645297AB0E}"/>
    <cellStyle name="Normal 15 3" xfId="12948" xr:uid="{85DE6E25-F930-4CBC-AF9A-616CEC0A428A}"/>
    <cellStyle name="Normal 16" xfId="4500" xr:uid="{00000000-0005-0000-0000-0000810E0000}"/>
    <cellStyle name="Normal 16 2" xfId="8715" xr:uid="{00000000-0005-0000-0000-0000820E0000}"/>
    <cellStyle name="Normal 16 2 2" xfId="25606" xr:uid="{AFE4BBEE-85D6-4AE5-BAA2-52D206E6BED0}"/>
    <cellStyle name="Normal 16 2 3" xfId="17165" xr:uid="{B44CC977-BAA9-41E6-B000-1916B0F30308}"/>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3 2 2 3" xfId="17174" xr:uid="{6B169908-C0D5-470B-B70C-9E0E54256F8C}"/>
    <cellStyle name="Normal 16 3 2 3" xfId="25612" xr:uid="{FB5A4FC0-A6EF-469E-A657-D7969C40FF22}"/>
    <cellStyle name="Normal 16 3 2 4" xfId="17171" xr:uid="{0E6480DF-9505-45C9-8820-41082FEC47A9}"/>
    <cellStyle name="Normal 16 3 3" xfId="25609" xr:uid="{14285A33-14F2-4BAE-B935-C4CF84EF3471}"/>
    <cellStyle name="Normal 16 3 4" xfId="17168" xr:uid="{6238BB56-DF0B-43C4-BB0A-9123F86110EC}"/>
    <cellStyle name="Normal 16 4" xfId="21392" xr:uid="{B34750E5-CD07-4791-82BB-144FE563D4F8}"/>
    <cellStyle name="Normal 16 5" xfId="12951" xr:uid="{9009EE0A-B16A-415B-BE53-7DFA8CF20B57}"/>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2 2 2" xfId="25362" xr:uid="{464E6523-2361-4F70-8B94-A4A2B8E66FA1}"/>
    <cellStyle name="Normal 2 4 2 10 2 2 3" xfId="16921" xr:uid="{8C2D7D84-B661-43A5-950E-C9CB038D1E6E}"/>
    <cellStyle name="Normal 2 4 2 10 2 3" xfId="21144" xr:uid="{434E8036-F530-4541-9CFA-07FFBC10B8FB}"/>
    <cellStyle name="Normal 2 4 2 10 2 4" xfId="12703" xr:uid="{B67D0D87-0989-4E21-9562-1C798F1E38D8}"/>
    <cellStyle name="Normal 2 4 2 10 3" xfId="6326" xr:uid="{00000000-0005-0000-0000-0000910E0000}"/>
    <cellStyle name="Normal 2 4 2 10 3 2" xfId="23217" xr:uid="{E6F22BCD-6960-4432-8412-1D6CBE220C84}"/>
    <cellStyle name="Normal 2 4 2 10 3 3" xfId="14776" xr:uid="{FDA6B752-393D-49FE-B103-B7BD52CC2021}"/>
    <cellStyle name="Normal 2 4 2 10 4" xfId="18999" xr:uid="{86C1FD89-F362-4FE9-BFD1-337DF54A1F11}"/>
    <cellStyle name="Normal 2 4 2 10 5" xfId="10558" xr:uid="{174247A0-7932-4D58-8B82-79BA347BFC96}"/>
    <cellStyle name="Normal 2 4 2 11" xfId="2456" xr:uid="{00000000-0005-0000-0000-0000920E0000}"/>
    <cellStyle name="Normal 2 4 2 11 2" xfId="6739" xr:uid="{00000000-0005-0000-0000-0000930E0000}"/>
    <cellStyle name="Normal 2 4 2 11 2 2" xfId="23630" xr:uid="{04939982-C5B2-4848-9CF4-FEA6893A4F34}"/>
    <cellStyle name="Normal 2 4 2 11 2 3" xfId="15189" xr:uid="{BC3E582F-2EB7-4455-AFC3-459AF7044677}"/>
    <cellStyle name="Normal 2 4 2 11 3" xfId="19412" xr:uid="{F9F292BF-D49A-436F-B786-3F0E56CC3474}"/>
    <cellStyle name="Normal 2 4 2 11 4" xfId="10971" xr:uid="{122527A3-783B-4500-A983-4B7849207D20}"/>
    <cellStyle name="Normal 2 4 2 12" xfId="4673" xr:uid="{00000000-0005-0000-0000-0000940E0000}"/>
    <cellStyle name="Normal 2 4 2 12 2" xfId="21564" xr:uid="{D9F801FF-88A4-4843-A97C-8E47361474F6}"/>
    <cellStyle name="Normal 2 4 2 12 3" xfId="13123" xr:uid="{C2AA0DB3-0C8F-4414-875E-AF0D0C11C3FF}"/>
    <cellStyle name="Normal 2 4 2 13" xfId="17346" xr:uid="{FE8E21AE-66E1-41DC-867B-87F6E9428CB3}"/>
    <cellStyle name="Normal 2 4 2 14" xfId="8905" xr:uid="{EE963E8D-D3FC-4D59-B3FD-F71BF3C476C0}"/>
    <cellStyle name="Normal 2 4 2 2" xfId="280" xr:uid="{00000000-0005-0000-0000-0000950E0000}"/>
    <cellStyle name="Normal 2 4 2 3" xfId="281" xr:uid="{00000000-0005-0000-0000-0000960E0000}"/>
    <cellStyle name="Normal 2 4 2 3 10" xfId="4674" xr:uid="{00000000-0005-0000-0000-0000970E0000}"/>
    <cellStyle name="Normal 2 4 2 3 10 2" xfId="21565" xr:uid="{1640297E-AA7D-4B52-9EB6-3C48D47709C4}"/>
    <cellStyle name="Normal 2 4 2 3 10 3" xfId="13124" xr:uid="{B8A3AF1E-699C-4ED5-9DD2-37C2CFBB42C4}"/>
    <cellStyle name="Normal 2 4 2 3 11" xfId="17347" xr:uid="{1BEE4BBE-5FB0-4D59-90B9-C5DEF9952CBE}"/>
    <cellStyle name="Normal 2 4 2 3 12" xfId="8906" xr:uid="{B8DB466C-D32F-4525-AC84-E6F52709657D}"/>
    <cellStyle name="Normal 2 4 2 3 2" xfId="282" xr:uid="{00000000-0005-0000-0000-0000980E0000}"/>
    <cellStyle name="Normal 2 4 2 3 2 10" xfId="17348" xr:uid="{DD1EDD67-35C8-474B-97EA-520E6B430EEA}"/>
    <cellStyle name="Normal 2 4 2 3 2 11" xfId="8907" xr:uid="{5B26836A-FE1C-481C-A874-4F8B3034FE8A}"/>
    <cellStyle name="Normal 2 4 2 3 2 2" xfId="283" xr:uid="{00000000-0005-0000-0000-0000990E0000}"/>
    <cellStyle name="Normal 2 4 2 3 2 2 10" xfId="8908" xr:uid="{671CCFCE-1B78-430F-87F1-AF9CCBEC2AB6}"/>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2 2 2" xfId="24127" xr:uid="{B47E5193-6DF1-4975-9004-862D5CD23DB9}"/>
    <cellStyle name="Normal 2 4 2 3 2 2 2 2 2 2 3" xfId="15686" xr:uid="{92D7CCD8-0203-4EAC-8217-A3F951F3F5C6}"/>
    <cellStyle name="Normal 2 4 2 3 2 2 2 2 2 3" xfId="19909" xr:uid="{FD61BAA3-F11D-4164-A3E3-CECBDF34F01E}"/>
    <cellStyle name="Normal 2 4 2 3 2 2 2 2 2 4" xfId="11468" xr:uid="{1DAC65C8-BD7A-4A37-812E-4230D6EFACBF}"/>
    <cellStyle name="Normal 2 4 2 3 2 2 2 2 3" xfId="5091" xr:uid="{00000000-0005-0000-0000-00009E0E0000}"/>
    <cellStyle name="Normal 2 4 2 3 2 2 2 2 3 2" xfId="21982" xr:uid="{756C2243-03E9-46F9-87DA-580FB232AC64}"/>
    <cellStyle name="Normal 2 4 2 3 2 2 2 2 3 3" xfId="13541" xr:uid="{D637D39A-51C5-4822-A9CF-27AA56CAE9C8}"/>
    <cellStyle name="Normal 2 4 2 3 2 2 2 2 4" xfId="17764" xr:uid="{9D4BE95C-DED0-4739-8BF5-C8551ADB9259}"/>
    <cellStyle name="Normal 2 4 2 3 2 2 2 2 5" xfId="9323" xr:uid="{36083589-3A05-40CD-857E-B7B7BFE8261C}"/>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2 2 2" xfId="24540" xr:uid="{3C232FB7-E8CA-402A-9E05-1AA6B1AD82F7}"/>
    <cellStyle name="Normal 2 4 2 3 2 2 2 3 2 2 3" xfId="16099" xr:uid="{58C2FEAB-84DF-43AF-A04E-926698466EC0}"/>
    <cellStyle name="Normal 2 4 2 3 2 2 2 3 2 3" xfId="20322" xr:uid="{B13A021E-E3BF-4B94-9BAF-5AE3B1B3E2A8}"/>
    <cellStyle name="Normal 2 4 2 3 2 2 2 3 2 4" xfId="11881" xr:uid="{8036CC35-DFD4-4D7C-AD14-F0BB08FAF9BE}"/>
    <cellStyle name="Normal 2 4 2 3 2 2 2 3 3" xfId="5504" xr:uid="{00000000-0005-0000-0000-0000A20E0000}"/>
    <cellStyle name="Normal 2 4 2 3 2 2 2 3 3 2" xfId="22395" xr:uid="{9141D1C1-8200-4B4A-B782-0F993EE5776A}"/>
    <cellStyle name="Normal 2 4 2 3 2 2 2 3 3 3" xfId="13954" xr:uid="{51349891-6030-46F7-84AF-0C465A2C3A4B}"/>
    <cellStyle name="Normal 2 4 2 3 2 2 2 3 4" xfId="18177" xr:uid="{02E87067-5A41-4922-9EC3-8A62943524B3}"/>
    <cellStyle name="Normal 2 4 2 3 2 2 2 3 5" xfId="9736" xr:uid="{49917DD8-3613-44CA-95FC-7AA176CC1A12}"/>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2 2 2" xfId="24953" xr:uid="{89EBEABF-B4D7-4DB0-9DCD-BF7A946D7897}"/>
    <cellStyle name="Normal 2 4 2 3 2 2 2 4 2 2 3" xfId="16512" xr:uid="{18CDBCBC-3893-4E09-8042-AA250F853BFD}"/>
    <cellStyle name="Normal 2 4 2 3 2 2 2 4 2 3" xfId="20735" xr:uid="{91FA2F25-8B59-4D0B-9887-3C502CB814A8}"/>
    <cellStyle name="Normal 2 4 2 3 2 2 2 4 2 4" xfId="12294" xr:uid="{6F2763DB-0879-4B0A-9D6F-2EA6A6E0F928}"/>
    <cellStyle name="Normal 2 4 2 3 2 2 2 4 3" xfId="5917" xr:uid="{00000000-0005-0000-0000-0000A60E0000}"/>
    <cellStyle name="Normal 2 4 2 3 2 2 2 4 3 2" xfId="22808" xr:uid="{AD9AB8C5-43D0-4DCA-B1F2-A5712D48C57E}"/>
    <cellStyle name="Normal 2 4 2 3 2 2 2 4 3 3" xfId="14367" xr:uid="{0E461BF4-4AAA-4809-8BF8-EDE9715D455E}"/>
    <cellStyle name="Normal 2 4 2 3 2 2 2 4 4" xfId="18590" xr:uid="{940263A3-B8AA-4DF1-BBCD-F3C8B4A88772}"/>
    <cellStyle name="Normal 2 4 2 3 2 2 2 4 5" xfId="10149" xr:uid="{38EC4C5E-AB07-4ADD-BE51-A59D7C05F183}"/>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2 2 2" xfId="25366" xr:uid="{C4F12E3A-71AE-4AE3-AC05-C3CFFC0412F3}"/>
    <cellStyle name="Normal 2 4 2 3 2 2 2 5 2 2 3" xfId="16925" xr:uid="{18374682-A887-491C-93FD-EBD4C92CFAD8}"/>
    <cellStyle name="Normal 2 4 2 3 2 2 2 5 2 3" xfId="21148" xr:uid="{1614D6B3-A4BE-4E70-A54F-34E4F534395F}"/>
    <cellStyle name="Normal 2 4 2 3 2 2 2 5 2 4" xfId="12707" xr:uid="{29B85E77-C7E1-4BC6-BD5C-0EC4D226A254}"/>
    <cellStyle name="Normal 2 4 2 3 2 2 2 5 3" xfId="6330" xr:uid="{00000000-0005-0000-0000-0000AA0E0000}"/>
    <cellStyle name="Normal 2 4 2 3 2 2 2 5 3 2" xfId="23221" xr:uid="{A68D1211-20B8-401D-841C-DD94EE082745}"/>
    <cellStyle name="Normal 2 4 2 3 2 2 2 5 3 3" xfId="14780" xr:uid="{D420AB63-8219-4852-AC2D-FCD3A556EEB9}"/>
    <cellStyle name="Normal 2 4 2 3 2 2 2 5 4" xfId="19003" xr:uid="{8044E132-07C8-4001-A7D1-7A96C9D44D6B}"/>
    <cellStyle name="Normal 2 4 2 3 2 2 2 5 5" xfId="10562" xr:uid="{9766E8DF-7186-4D29-A5F0-0997F31502BB}"/>
    <cellStyle name="Normal 2 4 2 3 2 2 2 6" xfId="2460" xr:uid="{00000000-0005-0000-0000-0000AB0E0000}"/>
    <cellStyle name="Normal 2 4 2 3 2 2 2 6 2" xfId="6743" xr:uid="{00000000-0005-0000-0000-0000AC0E0000}"/>
    <cellStyle name="Normal 2 4 2 3 2 2 2 6 2 2" xfId="23634" xr:uid="{051E0ED1-A00B-4BCF-896E-D01CC2A872AF}"/>
    <cellStyle name="Normal 2 4 2 3 2 2 2 6 2 3" xfId="15193" xr:uid="{E3F3F342-2070-42E9-9CF5-0DAD0AFA8B9D}"/>
    <cellStyle name="Normal 2 4 2 3 2 2 2 6 3" xfId="19416" xr:uid="{13D6514C-EA52-4C19-BFBC-522D71BF3187}"/>
    <cellStyle name="Normal 2 4 2 3 2 2 2 6 4" xfId="10975" xr:uid="{3EDADC43-EEED-4FB6-AE5A-E7D9D5443712}"/>
    <cellStyle name="Normal 2 4 2 3 2 2 2 7" xfId="4677" xr:uid="{00000000-0005-0000-0000-0000AD0E0000}"/>
    <cellStyle name="Normal 2 4 2 3 2 2 2 7 2" xfId="21568" xr:uid="{8446D8A2-01A0-41ED-9B99-AAD74F785508}"/>
    <cellStyle name="Normal 2 4 2 3 2 2 2 7 3" xfId="13127" xr:uid="{14E3C585-80A8-455F-8DA0-113085483BF5}"/>
    <cellStyle name="Normal 2 4 2 3 2 2 2 8" xfId="17350" xr:uid="{53299530-5588-4BC1-90CC-49296D12F357}"/>
    <cellStyle name="Normal 2 4 2 3 2 2 2 9" xfId="8909" xr:uid="{534C2E28-1B22-415B-AAB3-0A8223D788D1}"/>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2 2 2" xfId="24126" xr:uid="{07ED3F8D-8FF9-4E50-A9AA-5180B2A51FCE}"/>
    <cellStyle name="Normal 2 4 2 3 2 2 3 2 2 3" xfId="15685" xr:uid="{BF152952-5A03-4EDA-9ECB-FA4AE667834E}"/>
    <cellStyle name="Normal 2 4 2 3 2 2 3 2 3" xfId="19908" xr:uid="{930ED2CD-647C-405B-BA17-C15B4C8743F7}"/>
    <cellStyle name="Normal 2 4 2 3 2 2 3 2 4" xfId="11467" xr:uid="{E1584D20-F1E4-432F-9D51-0A85499F9DAA}"/>
    <cellStyle name="Normal 2 4 2 3 2 2 3 3" xfId="5090" xr:uid="{00000000-0005-0000-0000-0000B10E0000}"/>
    <cellStyle name="Normal 2 4 2 3 2 2 3 3 2" xfId="21981" xr:uid="{CC2B8206-B848-4976-9567-D3C54A21A5A2}"/>
    <cellStyle name="Normal 2 4 2 3 2 2 3 3 3" xfId="13540" xr:uid="{355B2D8F-8525-47E1-AD13-6C4E5D8C4B06}"/>
    <cellStyle name="Normal 2 4 2 3 2 2 3 4" xfId="17763" xr:uid="{4954A0E4-33BC-49D9-A2EC-228A35062C3A}"/>
    <cellStyle name="Normal 2 4 2 3 2 2 3 5" xfId="9322" xr:uid="{608CE642-7FA0-423C-8422-E56B4B3D2085}"/>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2 2 2" xfId="24539" xr:uid="{C4213B79-4940-4ED9-B11D-60AF272F65E3}"/>
    <cellStyle name="Normal 2 4 2 3 2 2 4 2 2 3" xfId="16098" xr:uid="{E5F9AA9E-CF58-4B3C-9F0D-D129622F25CF}"/>
    <cellStyle name="Normal 2 4 2 3 2 2 4 2 3" xfId="20321" xr:uid="{D318E6D9-BC83-4498-B0E7-7314EC71D166}"/>
    <cellStyle name="Normal 2 4 2 3 2 2 4 2 4" xfId="11880" xr:uid="{D01455F0-052A-4BB4-AE9C-CF70B67A6079}"/>
    <cellStyle name="Normal 2 4 2 3 2 2 4 3" xfId="5503" xr:uid="{00000000-0005-0000-0000-0000B50E0000}"/>
    <cellStyle name="Normal 2 4 2 3 2 2 4 3 2" xfId="22394" xr:uid="{6170260E-8E1C-4743-B046-57E938C5665F}"/>
    <cellStyle name="Normal 2 4 2 3 2 2 4 3 3" xfId="13953" xr:uid="{97AAA137-7730-48B4-8F4F-1BC454E9A47D}"/>
    <cellStyle name="Normal 2 4 2 3 2 2 4 4" xfId="18176" xr:uid="{D00509FD-6B5B-443B-9286-E8041BF9FB2F}"/>
    <cellStyle name="Normal 2 4 2 3 2 2 4 5" xfId="9735" xr:uid="{2D27E778-1840-48EF-B79B-433FA271B5F4}"/>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2 2 2" xfId="24952" xr:uid="{1E5C8BDB-5285-40C9-8EC9-97C7D5455EE9}"/>
    <cellStyle name="Normal 2 4 2 3 2 2 5 2 2 3" xfId="16511" xr:uid="{DA09F599-6A3C-4CCA-8A30-DE0A19054D1E}"/>
    <cellStyle name="Normal 2 4 2 3 2 2 5 2 3" xfId="20734" xr:uid="{44351AB2-6622-41F2-AB53-FB97D759AC3D}"/>
    <cellStyle name="Normal 2 4 2 3 2 2 5 2 4" xfId="12293" xr:uid="{0B7CD83B-FC19-4E07-979C-9A4D234A7135}"/>
    <cellStyle name="Normal 2 4 2 3 2 2 5 3" xfId="5916" xr:uid="{00000000-0005-0000-0000-0000B90E0000}"/>
    <cellStyle name="Normal 2 4 2 3 2 2 5 3 2" xfId="22807" xr:uid="{988F3A61-FC05-43CA-A3AF-ECC800A43637}"/>
    <cellStyle name="Normal 2 4 2 3 2 2 5 3 3" xfId="14366" xr:uid="{AD18961B-A4E5-44F7-A531-2060E90FC61B}"/>
    <cellStyle name="Normal 2 4 2 3 2 2 5 4" xfId="18589" xr:uid="{EA4906C3-AD8F-4DF6-B72D-0245C3BC8880}"/>
    <cellStyle name="Normal 2 4 2 3 2 2 5 5" xfId="10148" xr:uid="{67F56B57-6388-4413-B8BE-4BCB70AC627D}"/>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2 2 2" xfId="25365" xr:uid="{753B4B30-6842-4AF5-91CA-ED21EBF3BE35}"/>
    <cellStyle name="Normal 2 4 2 3 2 2 6 2 2 3" xfId="16924" xr:uid="{CCEE9E5C-94AF-4CF6-AC93-00FC02BD0F0B}"/>
    <cellStyle name="Normal 2 4 2 3 2 2 6 2 3" xfId="21147" xr:uid="{F7539366-7E5D-4309-B461-D04F6A0920CE}"/>
    <cellStyle name="Normal 2 4 2 3 2 2 6 2 4" xfId="12706" xr:uid="{B3EAF3D6-A2D6-420F-9AE3-8A7402FD4BB6}"/>
    <cellStyle name="Normal 2 4 2 3 2 2 6 3" xfId="6329" xr:uid="{00000000-0005-0000-0000-0000BD0E0000}"/>
    <cellStyle name="Normal 2 4 2 3 2 2 6 3 2" xfId="23220" xr:uid="{47AF9BA9-E6FF-4C8D-8837-4FBBA7751D24}"/>
    <cellStyle name="Normal 2 4 2 3 2 2 6 3 3" xfId="14779" xr:uid="{375EAED2-A4CC-44F4-9423-5B540745D2A4}"/>
    <cellStyle name="Normal 2 4 2 3 2 2 6 4" xfId="19002" xr:uid="{E0A0E062-45AE-4123-A6E2-3FBC902DD0FC}"/>
    <cellStyle name="Normal 2 4 2 3 2 2 6 5" xfId="10561" xr:uid="{189F9A4B-57E5-4B9B-8E7A-3D06740CA7AC}"/>
    <cellStyle name="Normal 2 4 2 3 2 2 7" xfId="2459" xr:uid="{00000000-0005-0000-0000-0000BE0E0000}"/>
    <cellStyle name="Normal 2 4 2 3 2 2 7 2" xfId="6742" xr:uid="{00000000-0005-0000-0000-0000BF0E0000}"/>
    <cellStyle name="Normal 2 4 2 3 2 2 7 2 2" xfId="23633" xr:uid="{81903ACB-BB8E-4944-A89C-66C0555EC512}"/>
    <cellStyle name="Normal 2 4 2 3 2 2 7 2 3" xfId="15192" xr:uid="{746095CE-5DE3-4D3E-B4BD-2246D56725CB}"/>
    <cellStyle name="Normal 2 4 2 3 2 2 7 3" xfId="19415" xr:uid="{52E9C0F6-F1BA-4802-90DE-30709889A00D}"/>
    <cellStyle name="Normal 2 4 2 3 2 2 7 4" xfId="10974" xr:uid="{9B33E6A6-FF98-4F68-8369-A7F12D9C5A19}"/>
    <cellStyle name="Normal 2 4 2 3 2 2 8" xfId="4676" xr:uid="{00000000-0005-0000-0000-0000C00E0000}"/>
    <cellStyle name="Normal 2 4 2 3 2 2 8 2" xfId="21567" xr:uid="{5F943C76-902F-4DCA-B010-345E4781302F}"/>
    <cellStyle name="Normal 2 4 2 3 2 2 8 3" xfId="13126" xr:uid="{47943190-3221-4A56-938F-59D418CB715F}"/>
    <cellStyle name="Normal 2 4 2 3 2 2 9" xfId="17349" xr:uid="{06349548-C3AF-4EC9-9977-8193348249C9}"/>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2 2 2" xfId="24128" xr:uid="{7D675849-040D-46E3-A937-7A1A55A4ABF1}"/>
    <cellStyle name="Normal 2 4 2 3 2 3 2 2 2 3" xfId="15687" xr:uid="{35A0623D-3466-4927-A292-F69CB2877AF4}"/>
    <cellStyle name="Normal 2 4 2 3 2 3 2 2 3" xfId="19910" xr:uid="{3637A16F-69AC-4966-AEE3-B4E6AC8922F3}"/>
    <cellStyle name="Normal 2 4 2 3 2 3 2 2 4" xfId="11469" xr:uid="{1A50A789-F589-422A-8F26-02D6E5F9A3EA}"/>
    <cellStyle name="Normal 2 4 2 3 2 3 2 3" xfId="5092" xr:uid="{00000000-0005-0000-0000-0000C50E0000}"/>
    <cellStyle name="Normal 2 4 2 3 2 3 2 3 2" xfId="21983" xr:uid="{24AD3FC5-22BE-4052-B718-102197FEAC17}"/>
    <cellStyle name="Normal 2 4 2 3 2 3 2 3 3" xfId="13542" xr:uid="{D3D22F82-CD2D-4CF6-AA94-12A3A51E1AAE}"/>
    <cellStyle name="Normal 2 4 2 3 2 3 2 4" xfId="17765" xr:uid="{B47CFDAB-8A5F-424A-82DB-2AB427F5F5B2}"/>
    <cellStyle name="Normal 2 4 2 3 2 3 2 5" xfId="9324" xr:uid="{8139FCF0-8FCA-4986-B26F-2A45701603C4}"/>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2 2 2" xfId="24541" xr:uid="{FD24620B-E114-4EFB-A877-2BBCCD76D2B4}"/>
    <cellStyle name="Normal 2 4 2 3 2 3 3 2 2 3" xfId="16100" xr:uid="{3858923B-F9B6-44A5-8BB9-97AA4E396300}"/>
    <cellStyle name="Normal 2 4 2 3 2 3 3 2 3" xfId="20323" xr:uid="{3EDF2F51-E274-4E8F-86F6-ED11E48F89A7}"/>
    <cellStyle name="Normal 2 4 2 3 2 3 3 2 4" xfId="11882" xr:uid="{B5E48827-6F96-481F-BCE9-B6AE1C8C0175}"/>
    <cellStyle name="Normal 2 4 2 3 2 3 3 3" xfId="5505" xr:uid="{00000000-0005-0000-0000-0000C90E0000}"/>
    <cellStyle name="Normal 2 4 2 3 2 3 3 3 2" xfId="22396" xr:uid="{876060FF-A860-40A9-906E-3A52F6F0AD32}"/>
    <cellStyle name="Normal 2 4 2 3 2 3 3 3 3" xfId="13955" xr:uid="{E11C5C27-0064-491A-95CF-780927F7DA17}"/>
    <cellStyle name="Normal 2 4 2 3 2 3 3 4" xfId="18178" xr:uid="{428B0B44-8E96-4FB5-A4E0-33AD6918469A}"/>
    <cellStyle name="Normal 2 4 2 3 2 3 3 5" xfId="9737" xr:uid="{4525E688-8ECA-4FA9-A19B-905AF42C2BE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2 2 2" xfId="24954" xr:uid="{EA9E98F9-279D-4EF5-9177-B24F5D136B41}"/>
    <cellStyle name="Normal 2 4 2 3 2 3 4 2 2 3" xfId="16513" xr:uid="{2F74A0C2-2C82-484B-83E1-D2F9852A5FE4}"/>
    <cellStyle name="Normal 2 4 2 3 2 3 4 2 3" xfId="20736" xr:uid="{74D3D0E2-6889-424A-B51A-BED9660597A7}"/>
    <cellStyle name="Normal 2 4 2 3 2 3 4 2 4" xfId="12295" xr:uid="{5188361B-B963-4E42-A2DC-67BBEAEE7F18}"/>
    <cellStyle name="Normal 2 4 2 3 2 3 4 3" xfId="5918" xr:uid="{00000000-0005-0000-0000-0000CD0E0000}"/>
    <cellStyle name="Normal 2 4 2 3 2 3 4 3 2" xfId="22809" xr:uid="{ABFA346C-EC4B-4908-BAB8-709346E5FB15}"/>
    <cellStyle name="Normal 2 4 2 3 2 3 4 3 3" xfId="14368" xr:uid="{7B71ADED-D67C-4CED-B6E5-769D9CDC4536}"/>
    <cellStyle name="Normal 2 4 2 3 2 3 4 4" xfId="18591" xr:uid="{52F6F770-27BE-4DC1-91E3-B5CA818BEAEB}"/>
    <cellStyle name="Normal 2 4 2 3 2 3 4 5" xfId="10150" xr:uid="{64A9B6FD-E4A9-457F-A4F3-7AF88CA2FBDF}"/>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2 2 2" xfId="25367" xr:uid="{5DFEF363-03A3-4595-942B-560E85327F56}"/>
    <cellStyle name="Normal 2 4 2 3 2 3 5 2 2 3" xfId="16926" xr:uid="{E9BB7960-71ED-405B-BB89-7387323C26E2}"/>
    <cellStyle name="Normal 2 4 2 3 2 3 5 2 3" xfId="21149" xr:uid="{17A6DB40-4B03-49B9-99ED-61DF2C965C38}"/>
    <cellStyle name="Normal 2 4 2 3 2 3 5 2 4" xfId="12708" xr:uid="{ACC2E3AB-0021-4331-A590-C68ACE4C94B7}"/>
    <cellStyle name="Normal 2 4 2 3 2 3 5 3" xfId="6331" xr:uid="{00000000-0005-0000-0000-0000D10E0000}"/>
    <cellStyle name="Normal 2 4 2 3 2 3 5 3 2" xfId="23222" xr:uid="{4A015F95-5066-4D35-A6A2-9CA06A4F6BF2}"/>
    <cellStyle name="Normal 2 4 2 3 2 3 5 3 3" xfId="14781" xr:uid="{49CD4905-50A8-4449-8045-D4CE9A236893}"/>
    <cellStyle name="Normal 2 4 2 3 2 3 5 4" xfId="19004" xr:uid="{0D056160-9C6F-464E-98C7-22E9EAB3F1F2}"/>
    <cellStyle name="Normal 2 4 2 3 2 3 5 5" xfId="10563" xr:uid="{CF095A02-2AC1-45E6-85DF-A5820C17687C}"/>
    <cellStyle name="Normal 2 4 2 3 2 3 6" xfId="2461" xr:uid="{00000000-0005-0000-0000-0000D20E0000}"/>
    <cellStyle name="Normal 2 4 2 3 2 3 6 2" xfId="6744" xr:uid="{00000000-0005-0000-0000-0000D30E0000}"/>
    <cellStyle name="Normal 2 4 2 3 2 3 6 2 2" xfId="23635" xr:uid="{2161744C-EA40-4C51-BE62-3BDD70F0FB67}"/>
    <cellStyle name="Normal 2 4 2 3 2 3 6 2 3" xfId="15194" xr:uid="{1CC6AEB6-18BD-4136-AFBF-ECE510DC9B0D}"/>
    <cellStyle name="Normal 2 4 2 3 2 3 6 3" xfId="19417" xr:uid="{9CDD153D-CAD4-4A65-8987-E23AA7921A59}"/>
    <cellStyle name="Normal 2 4 2 3 2 3 6 4" xfId="10976" xr:uid="{8EC63A51-ED6A-42A0-8F5C-59956E76DCE0}"/>
    <cellStyle name="Normal 2 4 2 3 2 3 7" xfId="4678" xr:uid="{00000000-0005-0000-0000-0000D40E0000}"/>
    <cellStyle name="Normal 2 4 2 3 2 3 7 2" xfId="21569" xr:uid="{2C704274-7519-4BB8-9236-00C992C7BE57}"/>
    <cellStyle name="Normal 2 4 2 3 2 3 7 3" xfId="13128" xr:uid="{A4E02E7D-5BDB-4745-A5A4-16AFF939607A}"/>
    <cellStyle name="Normal 2 4 2 3 2 3 8" xfId="17351" xr:uid="{00DE327D-E9AF-4BB6-A21F-F5E877FC0636}"/>
    <cellStyle name="Normal 2 4 2 3 2 3 9" xfId="8910" xr:uid="{98136EA7-5E3F-4D93-8AE6-1789304C8D2B}"/>
    <cellStyle name="Normal 2 4 2 3 2 4" xfId="773" xr:uid="{00000000-0005-0000-0000-0000D50E0000}"/>
    <cellStyle name="Normal 2 4 2 3 2 4 2" xfId="3012" xr:uid="{00000000-0005-0000-0000-0000D60E0000}"/>
    <cellStyle name="Normal 2 4 2 3 2 4 2 2" xfId="7234" xr:uid="{00000000-0005-0000-0000-0000D70E0000}"/>
    <cellStyle name="Normal 2 4 2 3 2 4 2 2 2" xfId="24125" xr:uid="{1D5A584C-B4DC-4A4B-A02C-CDA0D6766CDC}"/>
    <cellStyle name="Normal 2 4 2 3 2 4 2 2 3" xfId="15684" xr:uid="{1E00D907-F2F3-4D82-A60F-0041D6E628D6}"/>
    <cellStyle name="Normal 2 4 2 3 2 4 2 3" xfId="19907" xr:uid="{20A5CA1C-85BD-4810-8B6E-C24680A36A9F}"/>
    <cellStyle name="Normal 2 4 2 3 2 4 2 4" xfId="11466" xr:uid="{B58F2F58-C9EC-4971-88C4-741B53EC267C}"/>
    <cellStyle name="Normal 2 4 2 3 2 4 3" xfId="5089" xr:uid="{00000000-0005-0000-0000-0000D80E0000}"/>
    <cellStyle name="Normal 2 4 2 3 2 4 3 2" xfId="21980" xr:uid="{A704CDF7-C3F9-4D5B-9F14-01EB65C41725}"/>
    <cellStyle name="Normal 2 4 2 3 2 4 3 3" xfId="13539" xr:uid="{162D9E3B-DD66-441E-9C0B-B9ED6FAB0863}"/>
    <cellStyle name="Normal 2 4 2 3 2 4 4" xfId="17762" xr:uid="{D469CC85-AE62-4ADF-BC12-A9B5397AFCA9}"/>
    <cellStyle name="Normal 2 4 2 3 2 4 5" xfId="9321" xr:uid="{A338ED75-65F7-400A-AF32-2787F71C4FA8}"/>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2 2 2" xfId="24538" xr:uid="{9368D8F8-0277-470A-9559-FA590FD873F5}"/>
    <cellStyle name="Normal 2 4 2 3 2 5 2 2 3" xfId="16097" xr:uid="{FAE047CC-9701-4580-BD0C-7EAB75AAE2AD}"/>
    <cellStyle name="Normal 2 4 2 3 2 5 2 3" xfId="20320" xr:uid="{73104162-51CD-47F5-83F5-F36933C06965}"/>
    <cellStyle name="Normal 2 4 2 3 2 5 2 4" xfId="11879" xr:uid="{4468CCC8-3F8F-468F-8044-AAB37246A28E}"/>
    <cellStyle name="Normal 2 4 2 3 2 5 3" xfId="5502" xr:uid="{00000000-0005-0000-0000-0000DC0E0000}"/>
    <cellStyle name="Normal 2 4 2 3 2 5 3 2" xfId="22393" xr:uid="{1EF8039A-658A-48FA-B0FF-5B97B9FDDCC8}"/>
    <cellStyle name="Normal 2 4 2 3 2 5 3 3" xfId="13952" xr:uid="{81A00CDC-0C8A-4C4A-8ADA-3751290D66B3}"/>
    <cellStyle name="Normal 2 4 2 3 2 5 4" xfId="18175" xr:uid="{40D5042E-EB27-44A1-A7FE-E52D8EF37787}"/>
    <cellStyle name="Normal 2 4 2 3 2 5 5" xfId="9734" xr:uid="{432AAFD3-F660-4979-84D5-FDF66E46A3AF}"/>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2 2 2" xfId="24951" xr:uid="{986A4A92-7188-403D-9D4C-ABF0C0997FE4}"/>
    <cellStyle name="Normal 2 4 2 3 2 6 2 2 3" xfId="16510" xr:uid="{7C2ED1B6-BA7D-4364-AE09-AF4B67BEAE8D}"/>
    <cellStyle name="Normal 2 4 2 3 2 6 2 3" xfId="20733" xr:uid="{4045B03C-C003-45E5-AD65-045AFF25FABA}"/>
    <cellStyle name="Normal 2 4 2 3 2 6 2 4" xfId="12292" xr:uid="{A6BA4152-57FF-47A0-9461-9917816F5EE6}"/>
    <cellStyle name="Normal 2 4 2 3 2 6 3" xfId="5915" xr:uid="{00000000-0005-0000-0000-0000E00E0000}"/>
    <cellStyle name="Normal 2 4 2 3 2 6 3 2" xfId="22806" xr:uid="{0491D4EE-36EE-4EE8-B187-A1FD0A50BCCD}"/>
    <cellStyle name="Normal 2 4 2 3 2 6 3 3" xfId="14365" xr:uid="{5E7F3FC4-A976-4051-BCA0-A12E91F0BF35}"/>
    <cellStyle name="Normal 2 4 2 3 2 6 4" xfId="18588" xr:uid="{BC4BE6F1-4DEF-4677-A59C-6A9F1AFF9280}"/>
    <cellStyle name="Normal 2 4 2 3 2 6 5" xfId="10147" xr:uid="{370427FF-A3F9-4376-BA9E-51BD7C85EE8F}"/>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2 2 2" xfId="25364" xr:uid="{6EF52F53-5255-4432-B6C2-DE13EEA4537C}"/>
    <cellStyle name="Normal 2 4 2 3 2 7 2 2 3" xfId="16923" xr:uid="{E0391B5C-C835-4844-AA92-AABB4517DE39}"/>
    <cellStyle name="Normal 2 4 2 3 2 7 2 3" xfId="21146" xr:uid="{2FD46950-22E6-46FB-A29F-0011817EF359}"/>
    <cellStyle name="Normal 2 4 2 3 2 7 2 4" xfId="12705" xr:uid="{AEB1DA0A-C67F-45FA-9703-78701D85B9C9}"/>
    <cellStyle name="Normal 2 4 2 3 2 7 3" xfId="6328" xr:uid="{00000000-0005-0000-0000-0000E40E0000}"/>
    <cellStyle name="Normal 2 4 2 3 2 7 3 2" xfId="23219" xr:uid="{78CE8FF7-4FFD-4A18-8E7A-DF7797E69BB6}"/>
    <cellStyle name="Normal 2 4 2 3 2 7 3 3" xfId="14778" xr:uid="{652B936D-8566-4C83-A77B-167D50CC7ED6}"/>
    <cellStyle name="Normal 2 4 2 3 2 7 4" xfId="19001" xr:uid="{92E3CE89-2216-4D2E-B088-7CB8E953B174}"/>
    <cellStyle name="Normal 2 4 2 3 2 7 5" xfId="10560" xr:uid="{4D078552-9EE4-4F5A-B041-B1CB7B4EFF0A}"/>
    <cellStyle name="Normal 2 4 2 3 2 8" xfId="2458" xr:uid="{00000000-0005-0000-0000-0000E50E0000}"/>
    <cellStyle name="Normal 2 4 2 3 2 8 2" xfId="6741" xr:uid="{00000000-0005-0000-0000-0000E60E0000}"/>
    <cellStyle name="Normal 2 4 2 3 2 8 2 2" xfId="23632" xr:uid="{A50CB4D3-CCD9-4793-B997-D9A0215EB684}"/>
    <cellStyle name="Normal 2 4 2 3 2 8 2 3" xfId="15191" xr:uid="{2372BD2B-086F-4C7A-ACFB-E119D98956CB}"/>
    <cellStyle name="Normal 2 4 2 3 2 8 3" xfId="19414" xr:uid="{5D4E87F3-90CE-4450-8732-0E27A936E3D8}"/>
    <cellStyle name="Normal 2 4 2 3 2 8 4" xfId="10973" xr:uid="{810EEDE7-6030-4A63-9803-BF3D4D6CCD37}"/>
    <cellStyle name="Normal 2 4 2 3 2 9" xfId="4675" xr:uid="{00000000-0005-0000-0000-0000E70E0000}"/>
    <cellStyle name="Normal 2 4 2 3 2 9 2" xfId="21566" xr:uid="{5B0AD965-751E-4C0A-B878-B1DA4B865F2E}"/>
    <cellStyle name="Normal 2 4 2 3 2 9 3" xfId="13125" xr:uid="{0A2FDBBE-D02C-4E3B-BC8D-416DFD8FEB6E}"/>
    <cellStyle name="Normal 2 4 2 3 3" xfId="286" xr:uid="{00000000-0005-0000-0000-0000E80E0000}"/>
    <cellStyle name="Normal 2 4 2 3 3 10" xfId="8911" xr:uid="{75098152-419F-4159-8B07-B6D2B1CB4965}"/>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2 2 2" xfId="24130" xr:uid="{ED168DF2-9B1C-4361-8008-8408626BD4F5}"/>
    <cellStyle name="Normal 2 4 2 3 3 2 2 2 2 3" xfId="15689" xr:uid="{75235BC6-47B2-41C8-BB52-2E5CCE24247D}"/>
    <cellStyle name="Normal 2 4 2 3 3 2 2 2 3" xfId="19912" xr:uid="{A4EF2666-6413-4F04-8F8A-13A5A30B7194}"/>
    <cellStyle name="Normal 2 4 2 3 3 2 2 2 4" xfId="11471" xr:uid="{C05598C5-F584-462E-8E51-E40598746347}"/>
    <cellStyle name="Normal 2 4 2 3 3 2 2 3" xfId="5094" xr:uid="{00000000-0005-0000-0000-0000ED0E0000}"/>
    <cellStyle name="Normal 2 4 2 3 3 2 2 3 2" xfId="21985" xr:uid="{1F90A309-0323-4CA3-89E1-651EB0BCB6FA}"/>
    <cellStyle name="Normal 2 4 2 3 3 2 2 3 3" xfId="13544" xr:uid="{AF656611-C0D9-4A09-BF6E-BA503C9C7EBC}"/>
    <cellStyle name="Normal 2 4 2 3 3 2 2 4" xfId="17767" xr:uid="{082AA763-4662-4888-A6FE-B0B42A60ABA3}"/>
    <cellStyle name="Normal 2 4 2 3 3 2 2 5" xfId="9326" xr:uid="{A926C1E6-138D-4A21-953F-032A48DD7197}"/>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2 2 2" xfId="24543" xr:uid="{799929DB-94BC-44CF-A729-F7763FD10433}"/>
    <cellStyle name="Normal 2 4 2 3 3 2 3 2 2 3" xfId="16102" xr:uid="{E5CDCDD0-AF51-4C9C-938B-811B0B3EFCAC}"/>
    <cellStyle name="Normal 2 4 2 3 3 2 3 2 3" xfId="20325" xr:uid="{F32A9374-70E0-48EF-B415-CEA679127D86}"/>
    <cellStyle name="Normal 2 4 2 3 3 2 3 2 4" xfId="11884" xr:uid="{0DF3EA82-00A3-4123-AFB8-683B68E9ED4E}"/>
    <cellStyle name="Normal 2 4 2 3 3 2 3 3" xfId="5507" xr:uid="{00000000-0005-0000-0000-0000F10E0000}"/>
    <cellStyle name="Normal 2 4 2 3 3 2 3 3 2" xfId="22398" xr:uid="{43BA7C45-A135-4BFC-A1B2-FF47C4799EC1}"/>
    <cellStyle name="Normal 2 4 2 3 3 2 3 3 3" xfId="13957" xr:uid="{7800E4E5-56D1-42A0-8C32-7FB869CBF769}"/>
    <cellStyle name="Normal 2 4 2 3 3 2 3 4" xfId="18180" xr:uid="{4A5EABD4-ECA4-4015-BBD8-40DDF58DCCB7}"/>
    <cellStyle name="Normal 2 4 2 3 3 2 3 5" xfId="9739" xr:uid="{27A34AE1-DA90-40D0-9B6B-81D466D2C123}"/>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2 2 2" xfId="24956" xr:uid="{EA4A9CEB-E505-4155-BD09-D2A3264EBEFA}"/>
    <cellStyle name="Normal 2 4 2 3 3 2 4 2 2 3" xfId="16515" xr:uid="{470BDC94-5EF4-4892-AB94-214C8CA5289D}"/>
    <cellStyle name="Normal 2 4 2 3 3 2 4 2 3" xfId="20738" xr:uid="{8A118373-0974-4745-A7B6-39702B378BE2}"/>
    <cellStyle name="Normal 2 4 2 3 3 2 4 2 4" xfId="12297" xr:uid="{CD3076C1-C353-462B-963C-2533179732E3}"/>
    <cellStyle name="Normal 2 4 2 3 3 2 4 3" xfId="5920" xr:uid="{00000000-0005-0000-0000-0000F50E0000}"/>
    <cellStyle name="Normal 2 4 2 3 3 2 4 3 2" xfId="22811" xr:uid="{71AF3102-3E73-40CA-8FC6-554729CD7169}"/>
    <cellStyle name="Normal 2 4 2 3 3 2 4 3 3" xfId="14370" xr:uid="{A6DDE1E2-44FF-49FA-B66D-9EF781FDBACE}"/>
    <cellStyle name="Normal 2 4 2 3 3 2 4 4" xfId="18593" xr:uid="{611EFCA1-2324-49FF-9692-2DA4B877AD09}"/>
    <cellStyle name="Normal 2 4 2 3 3 2 4 5" xfId="10152" xr:uid="{6EE4E2F0-17C8-4503-B7FC-C25CF287EF65}"/>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2 2 2" xfId="25369" xr:uid="{1F92F025-F97B-4E7F-A805-3C6A452A8378}"/>
    <cellStyle name="Normal 2 4 2 3 3 2 5 2 2 3" xfId="16928" xr:uid="{27DF4C75-2161-4F76-877C-B55AD63D858A}"/>
    <cellStyle name="Normal 2 4 2 3 3 2 5 2 3" xfId="21151" xr:uid="{9608E68E-43F4-44B3-A43A-C5CAEA6C4F81}"/>
    <cellStyle name="Normal 2 4 2 3 3 2 5 2 4" xfId="12710" xr:uid="{0A68971F-3D5E-4B93-820B-4B7E5B1BE9DE}"/>
    <cellStyle name="Normal 2 4 2 3 3 2 5 3" xfId="6333" xr:uid="{00000000-0005-0000-0000-0000F90E0000}"/>
    <cellStyle name="Normal 2 4 2 3 3 2 5 3 2" xfId="23224" xr:uid="{860D04EE-44E5-4B99-BC8C-36200D014BE3}"/>
    <cellStyle name="Normal 2 4 2 3 3 2 5 3 3" xfId="14783" xr:uid="{46EFC177-ACED-43F6-9421-39C39B501C62}"/>
    <cellStyle name="Normal 2 4 2 3 3 2 5 4" xfId="19006" xr:uid="{849A90C0-8266-4511-9A21-228E2BB2E559}"/>
    <cellStyle name="Normal 2 4 2 3 3 2 5 5" xfId="10565" xr:uid="{D4365709-D546-40AA-B6D2-16777E3C9737}"/>
    <cellStyle name="Normal 2 4 2 3 3 2 6" xfId="2463" xr:uid="{00000000-0005-0000-0000-0000FA0E0000}"/>
    <cellStyle name="Normal 2 4 2 3 3 2 6 2" xfId="6746" xr:uid="{00000000-0005-0000-0000-0000FB0E0000}"/>
    <cellStyle name="Normal 2 4 2 3 3 2 6 2 2" xfId="23637" xr:uid="{76A5A302-E26D-4DC8-9851-8A9B479F34DF}"/>
    <cellStyle name="Normal 2 4 2 3 3 2 6 2 3" xfId="15196" xr:uid="{8548078B-4755-4B39-BBAA-1E7E23737FB4}"/>
    <cellStyle name="Normal 2 4 2 3 3 2 6 3" xfId="19419" xr:uid="{AC8F4945-2414-48B1-B0F4-C0986B5027B2}"/>
    <cellStyle name="Normal 2 4 2 3 3 2 6 4" xfId="10978" xr:uid="{6A332725-88B4-44AB-B0F7-3D8AF8157583}"/>
    <cellStyle name="Normal 2 4 2 3 3 2 7" xfId="4680" xr:uid="{00000000-0005-0000-0000-0000FC0E0000}"/>
    <cellStyle name="Normal 2 4 2 3 3 2 7 2" xfId="21571" xr:uid="{6CDFEA58-0FF8-4679-8114-08BD7DEAAB7B}"/>
    <cellStyle name="Normal 2 4 2 3 3 2 7 3" xfId="13130" xr:uid="{2E114ED8-6538-4122-BC70-EDF4D7291782}"/>
    <cellStyle name="Normal 2 4 2 3 3 2 8" xfId="17353" xr:uid="{A15E2EB9-C24F-4745-A478-34E049F541BD}"/>
    <cellStyle name="Normal 2 4 2 3 3 2 9" xfId="8912" xr:uid="{C6EA4EB2-EB6A-41BD-85AB-91DC44E58E85}"/>
    <cellStyle name="Normal 2 4 2 3 3 3" xfId="777" xr:uid="{00000000-0005-0000-0000-0000FD0E0000}"/>
    <cellStyle name="Normal 2 4 2 3 3 3 2" xfId="3016" xr:uid="{00000000-0005-0000-0000-0000FE0E0000}"/>
    <cellStyle name="Normal 2 4 2 3 3 3 2 2" xfId="7238" xr:uid="{00000000-0005-0000-0000-0000FF0E0000}"/>
    <cellStyle name="Normal 2 4 2 3 3 3 2 2 2" xfId="24129" xr:uid="{152C9724-B1F8-49A2-B8A0-34FB8FAA0E10}"/>
    <cellStyle name="Normal 2 4 2 3 3 3 2 2 3" xfId="15688" xr:uid="{1DFF1700-3DCE-43D8-B1C5-20479252B9E7}"/>
    <cellStyle name="Normal 2 4 2 3 3 3 2 3" xfId="19911" xr:uid="{7650FDF3-2EFE-49B1-A414-3780E69C421C}"/>
    <cellStyle name="Normal 2 4 2 3 3 3 2 4" xfId="11470" xr:uid="{315CB8A7-FDF3-476F-86E4-479D56CB4CE4}"/>
    <cellStyle name="Normal 2 4 2 3 3 3 3" xfId="5093" xr:uid="{00000000-0005-0000-0000-0000000F0000}"/>
    <cellStyle name="Normal 2 4 2 3 3 3 3 2" xfId="21984" xr:uid="{107D141D-8F73-45BE-BC4C-5A5F064D3503}"/>
    <cellStyle name="Normal 2 4 2 3 3 3 3 3" xfId="13543" xr:uid="{C94FF31E-5F6B-46E8-A4C9-70B5200FF27A}"/>
    <cellStyle name="Normal 2 4 2 3 3 3 4" xfId="17766" xr:uid="{3899C1F2-7A17-41CA-AEBB-4E8BA4B1FF1D}"/>
    <cellStyle name="Normal 2 4 2 3 3 3 5" xfId="9325" xr:uid="{948C64E6-FEA6-47D6-9FDE-D83B9BC0C98B}"/>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2 2 2" xfId="24542" xr:uid="{86BEAAEB-641D-46D1-B947-22273AE08ACC}"/>
    <cellStyle name="Normal 2 4 2 3 3 4 2 2 3" xfId="16101" xr:uid="{1BCC1439-728B-478A-9B51-8EA488B9F078}"/>
    <cellStyle name="Normal 2 4 2 3 3 4 2 3" xfId="20324" xr:uid="{3BBA03A8-48C9-4C6F-B6E2-6D619A7BF950}"/>
    <cellStyle name="Normal 2 4 2 3 3 4 2 4" xfId="11883" xr:uid="{02850A0B-F626-4212-AF44-C30815CE9925}"/>
    <cellStyle name="Normal 2 4 2 3 3 4 3" xfId="5506" xr:uid="{00000000-0005-0000-0000-0000040F0000}"/>
    <cellStyle name="Normal 2 4 2 3 3 4 3 2" xfId="22397" xr:uid="{276A526C-DD7E-47F7-B630-F7DADFA441D6}"/>
    <cellStyle name="Normal 2 4 2 3 3 4 3 3" xfId="13956" xr:uid="{ED6CD22C-B790-4602-A96D-80F0F11161E3}"/>
    <cellStyle name="Normal 2 4 2 3 3 4 4" xfId="18179" xr:uid="{EC08FC65-160F-421C-A17C-6F26DA4C1855}"/>
    <cellStyle name="Normal 2 4 2 3 3 4 5" xfId="9738" xr:uid="{CA9078C8-BD56-418A-8F65-1C90E5CD15E7}"/>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2 2 2" xfId="24955" xr:uid="{DE0EF0E6-2A42-44A6-A827-EE74D0664810}"/>
    <cellStyle name="Normal 2 4 2 3 3 5 2 2 3" xfId="16514" xr:uid="{1C496EAA-5B08-4546-BFAD-D0783E0083B4}"/>
    <cellStyle name="Normal 2 4 2 3 3 5 2 3" xfId="20737" xr:uid="{5408E69E-FB3D-4EC4-836A-C4E3B5BAB66A}"/>
    <cellStyle name="Normal 2 4 2 3 3 5 2 4" xfId="12296" xr:uid="{1F4A649E-9D73-4CB0-AB7D-4B2D844E4E09}"/>
    <cellStyle name="Normal 2 4 2 3 3 5 3" xfId="5919" xr:uid="{00000000-0005-0000-0000-0000080F0000}"/>
    <cellStyle name="Normal 2 4 2 3 3 5 3 2" xfId="22810" xr:uid="{223C3BFF-05D6-49BA-8AE1-F067498221EC}"/>
    <cellStyle name="Normal 2 4 2 3 3 5 3 3" xfId="14369" xr:uid="{A3F2500F-CDF1-4635-8D3F-F5D203EA4FEC}"/>
    <cellStyle name="Normal 2 4 2 3 3 5 4" xfId="18592" xr:uid="{63513496-56C0-4B1D-A648-65500D262C2E}"/>
    <cellStyle name="Normal 2 4 2 3 3 5 5" xfId="10151" xr:uid="{3D7E6944-2C50-44F0-810E-D0C38E95803B}"/>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2 2 2" xfId="25368" xr:uid="{810D5C38-DDEF-4689-BFDA-3DE4CDA6F3D2}"/>
    <cellStyle name="Normal 2 4 2 3 3 6 2 2 3" xfId="16927" xr:uid="{3911EABD-2A55-4FA5-BD95-E0CBD668D861}"/>
    <cellStyle name="Normal 2 4 2 3 3 6 2 3" xfId="21150" xr:uid="{FB5CB9E6-4970-413E-AFCD-49A82C0E55B0}"/>
    <cellStyle name="Normal 2 4 2 3 3 6 2 4" xfId="12709" xr:uid="{03BA5B63-87BB-449A-8B90-13B3D79C83D2}"/>
    <cellStyle name="Normal 2 4 2 3 3 6 3" xfId="6332" xr:uid="{00000000-0005-0000-0000-00000C0F0000}"/>
    <cellStyle name="Normal 2 4 2 3 3 6 3 2" xfId="23223" xr:uid="{1BC4E303-576F-43E9-84A8-F45D0900082E}"/>
    <cellStyle name="Normal 2 4 2 3 3 6 3 3" xfId="14782" xr:uid="{EDF1C940-A65E-4E16-9643-CFB358E33512}"/>
    <cellStyle name="Normal 2 4 2 3 3 6 4" xfId="19005" xr:uid="{F619B362-E4D0-4C91-8968-68FDFE7AE14E}"/>
    <cellStyle name="Normal 2 4 2 3 3 6 5" xfId="10564" xr:uid="{728C4125-899C-460E-953F-0548F0FD8045}"/>
    <cellStyle name="Normal 2 4 2 3 3 7" xfId="2462" xr:uid="{00000000-0005-0000-0000-00000D0F0000}"/>
    <cellStyle name="Normal 2 4 2 3 3 7 2" xfId="6745" xr:uid="{00000000-0005-0000-0000-00000E0F0000}"/>
    <cellStyle name="Normal 2 4 2 3 3 7 2 2" xfId="23636" xr:uid="{6D542027-7C39-49D5-9C2D-20903BA07B8E}"/>
    <cellStyle name="Normal 2 4 2 3 3 7 2 3" xfId="15195" xr:uid="{91A6980C-A911-47BD-8543-A45E9B500C9C}"/>
    <cellStyle name="Normal 2 4 2 3 3 7 3" xfId="19418" xr:uid="{FCE1A1E9-A3C7-4876-A465-B065E4B3CF7C}"/>
    <cellStyle name="Normal 2 4 2 3 3 7 4" xfId="10977" xr:uid="{76496C1D-4696-439E-BC8C-9A6DF72BE840}"/>
    <cellStyle name="Normal 2 4 2 3 3 8" xfId="4679" xr:uid="{00000000-0005-0000-0000-00000F0F0000}"/>
    <cellStyle name="Normal 2 4 2 3 3 8 2" xfId="21570" xr:uid="{227DE4A6-E53E-448F-9D3E-0154F6E98DD8}"/>
    <cellStyle name="Normal 2 4 2 3 3 8 3" xfId="13129" xr:uid="{2CE4A79A-05DB-4188-B0E9-31007FCB2F96}"/>
    <cellStyle name="Normal 2 4 2 3 3 9" xfId="17352" xr:uid="{115C8DF9-7C23-4E34-A78D-072D24220ECE}"/>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2 2 2" xfId="24131" xr:uid="{8E8D0F39-9C33-4B3F-9876-DFCD89B8A167}"/>
    <cellStyle name="Normal 2 4 2 3 4 2 2 2 3" xfId="15690" xr:uid="{E0B8A0C8-AD14-4BC8-9E2B-7B763A00D56B}"/>
    <cellStyle name="Normal 2 4 2 3 4 2 2 3" xfId="19913" xr:uid="{F8663102-3357-4EA6-BEDF-5AC8672A2A90}"/>
    <cellStyle name="Normal 2 4 2 3 4 2 2 4" xfId="11472" xr:uid="{6572003D-5B18-4692-8A73-4CA2E0CB2DB4}"/>
    <cellStyle name="Normal 2 4 2 3 4 2 3" xfId="5095" xr:uid="{00000000-0005-0000-0000-0000140F0000}"/>
    <cellStyle name="Normal 2 4 2 3 4 2 3 2" xfId="21986" xr:uid="{14C8F76C-7952-4B2D-956A-AFF7628EBB41}"/>
    <cellStyle name="Normal 2 4 2 3 4 2 3 3" xfId="13545" xr:uid="{D49349E6-6A31-4880-BF1F-FA4A75611129}"/>
    <cellStyle name="Normal 2 4 2 3 4 2 4" xfId="17768" xr:uid="{BDD79543-FB35-49A6-918D-83139A90EF89}"/>
    <cellStyle name="Normal 2 4 2 3 4 2 5" xfId="9327" xr:uid="{02543AD8-C547-4B78-90B8-BDD5F14F6F41}"/>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2 2 2" xfId="24544" xr:uid="{FB5AB458-DF89-4CDC-A108-0A27EBB11D50}"/>
    <cellStyle name="Normal 2 4 2 3 4 3 2 2 3" xfId="16103" xr:uid="{5498565B-6806-4995-A3BF-80BFC8A88062}"/>
    <cellStyle name="Normal 2 4 2 3 4 3 2 3" xfId="20326" xr:uid="{525E08DE-38DC-4AB2-A826-68D91F53FC37}"/>
    <cellStyle name="Normal 2 4 2 3 4 3 2 4" xfId="11885" xr:uid="{061B7B8B-A2D1-488C-8575-83E08FD21C01}"/>
    <cellStyle name="Normal 2 4 2 3 4 3 3" xfId="5508" xr:uid="{00000000-0005-0000-0000-0000180F0000}"/>
    <cellStyle name="Normal 2 4 2 3 4 3 3 2" xfId="22399" xr:uid="{D667BDC5-D482-46D3-820E-07640EB58135}"/>
    <cellStyle name="Normal 2 4 2 3 4 3 3 3" xfId="13958" xr:uid="{9EA53A1E-7398-4780-99F3-F8F861541711}"/>
    <cellStyle name="Normal 2 4 2 3 4 3 4" xfId="18181" xr:uid="{306458B7-99C9-40CE-8FC9-0464A21C05CF}"/>
    <cellStyle name="Normal 2 4 2 3 4 3 5" xfId="9740" xr:uid="{94EDC46A-3495-47EA-A2E1-272946889368}"/>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2 2 2" xfId="24957" xr:uid="{7430AD25-951B-4594-8F1C-0EF89EBD050E}"/>
    <cellStyle name="Normal 2 4 2 3 4 4 2 2 3" xfId="16516" xr:uid="{DAFB19CB-A619-469B-B0AF-EE9FAE56A04E}"/>
    <cellStyle name="Normal 2 4 2 3 4 4 2 3" xfId="20739" xr:uid="{FEBE652D-DF51-47D1-8808-7188CFB3132A}"/>
    <cellStyle name="Normal 2 4 2 3 4 4 2 4" xfId="12298" xr:uid="{8D7CFAE8-3B9A-4EEE-836F-71534500773F}"/>
    <cellStyle name="Normal 2 4 2 3 4 4 3" xfId="5921" xr:uid="{00000000-0005-0000-0000-00001C0F0000}"/>
    <cellStyle name="Normal 2 4 2 3 4 4 3 2" xfId="22812" xr:uid="{7DA89905-EEB8-45D0-8800-1DEBEFB20D54}"/>
    <cellStyle name="Normal 2 4 2 3 4 4 3 3" xfId="14371" xr:uid="{F6FA11AF-DB8D-4117-8FF4-288FC9C70150}"/>
    <cellStyle name="Normal 2 4 2 3 4 4 4" xfId="18594" xr:uid="{5FE2217D-D0A9-48DB-A843-D7985EFF7F39}"/>
    <cellStyle name="Normal 2 4 2 3 4 4 5" xfId="10153" xr:uid="{71B2A88B-4917-43EA-A464-0923BB1F6357}"/>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2 2 2" xfId="25370" xr:uid="{4A1DA54D-2B95-41EA-A312-CF501F2192DC}"/>
    <cellStyle name="Normal 2 4 2 3 4 5 2 2 3" xfId="16929" xr:uid="{1912A6EB-7496-47F9-B058-8D9F5A4CFDCB}"/>
    <cellStyle name="Normal 2 4 2 3 4 5 2 3" xfId="21152" xr:uid="{CE4B5822-F4D5-4F62-9505-C4800C0CF60C}"/>
    <cellStyle name="Normal 2 4 2 3 4 5 2 4" xfId="12711" xr:uid="{8E0CB905-B38C-4B3F-9B48-7E6305ECA289}"/>
    <cellStyle name="Normal 2 4 2 3 4 5 3" xfId="6334" xr:uid="{00000000-0005-0000-0000-0000200F0000}"/>
    <cellStyle name="Normal 2 4 2 3 4 5 3 2" xfId="23225" xr:uid="{AA7F800D-C2B6-4688-98AB-EF9F07226062}"/>
    <cellStyle name="Normal 2 4 2 3 4 5 3 3" xfId="14784" xr:uid="{130EE699-B027-490C-B496-C897241344EE}"/>
    <cellStyle name="Normal 2 4 2 3 4 5 4" xfId="19007" xr:uid="{017DC6A6-FEAC-45B0-8D18-9FC2984B05EB}"/>
    <cellStyle name="Normal 2 4 2 3 4 5 5" xfId="10566" xr:uid="{9C5687C6-D108-42FD-BE8A-835A7E3E419C}"/>
    <cellStyle name="Normal 2 4 2 3 4 6" xfId="2464" xr:uid="{00000000-0005-0000-0000-0000210F0000}"/>
    <cellStyle name="Normal 2 4 2 3 4 6 2" xfId="6747" xr:uid="{00000000-0005-0000-0000-0000220F0000}"/>
    <cellStyle name="Normal 2 4 2 3 4 6 2 2" xfId="23638" xr:uid="{8652BF06-AE9D-4843-8365-9C088C338347}"/>
    <cellStyle name="Normal 2 4 2 3 4 6 2 3" xfId="15197" xr:uid="{89544C30-87C1-401A-B91D-974F0FD46C9A}"/>
    <cellStyle name="Normal 2 4 2 3 4 6 3" xfId="19420" xr:uid="{2530378B-9787-4065-856C-2FFFB723C98A}"/>
    <cellStyle name="Normal 2 4 2 3 4 6 4" xfId="10979" xr:uid="{D71997DE-308B-478F-BDF4-70ADDCA62C84}"/>
    <cellStyle name="Normal 2 4 2 3 4 7" xfId="4681" xr:uid="{00000000-0005-0000-0000-0000230F0000}"/>
    <cellStyle name="Normal 2 4 2 3 4 7 2" xfId="21572" xr:uid="{9D39736F-36FD-433B-88E5-E21D44A096AB}"/>
    <cellStyle name="Normal 2 4 2 3 4 7 3" xfId="13131" xr:uid="{EE00AF59-AC71-4784-AB87-73FBC7232A69}"/>
    <cellStyle name="Normal 2 4 2 3 4 8" xfId="17354" xr:uid="{5A8A482B-9180-4510-93CA-16A854283F9F}"/>
    <cellStyle name="Normal 2 4 2 3 4 9" xfId="8913" xr:uid="{01277CE6-57A4-4E38-AAA9-82DF1FF3CE3A}"/>
    <cellStyle name="Normal 2 4 2 3 5" xfId="772" xr:uid="{00000000-0005-0000-0000-0000240F0000}"/>
    <cellStyle name="Normal 2 4 2 3 5 2" xfId="3011" xr:uid="{00000000-0005-0000-0000-0000250F0000}"/>
    <cellStyle name="Normal 2 4 2 3 5 2 2" xfId="7233" xr:uid="{00000000-0005-0000-0000-0000260F0000}"/>
    <cellStyle name="Normal 2 4 2 3 5 2 2 2" xfId="24124" xr:uid="{4B054113-47E1-4130-AFFC-AE777D305293}"/>
    <cellStyle name="Normal 2 4 2 3 5 2 2 3" xfId="15683" xr:uid="{3506D745-17A1-49A4-80CD-AB748466F90F}"/>
    <cellStyle name="Normal 2 4 2 3 5 2 3" xfId="19906" xr:uid="{A5F76B17-43D7-4E64-B557-8F8019E4B560}"/>
    <cellStyle name="Normal 2 4 2 3 5 2 4" xfId="11465" xr:uid="{6566BACB-04B8-4F43-88BB-DB3294887B09}"/>
    <cellStyle name="Normal 2 4 2 3 5 3" xfId="5088" xr:uid="{00000000-0005-0000-0000-0000270F0000}"/>
    <cellStyle name="Normal 2 4 2 3 5 3 2" xfId="21979" xr:uid="{2074BE94-C30A-49AB-9029-790CB6076FB2}"/>
    <cellStyle name="Normal 2 4 2 3 5 3 3" xfId="13538" xr:uid="{DCB448D6-1995-40B0-BFE7-3F21143EE37B}"/>
    <cellStyle name="Normal 2 4 2 3 5 4" xfId="17761" xr:uid="{88FEB0B1-2C49-4B6C-A30E-7D4391D9C82B}"/>
    <cellStyle name="Normal 2 4 2 3 5 5" xfId="9320" xr:uid="{22F4B1CF-B548-46C4-980A-B82DA15D91D8}"/>
    <cellStyle name="Normal 2 4 2 3 6" xfId="1194" xr:uid="{00000000-0005-0000-0000-0000280F0000}"/>
    <cellStyle name="Normal 2 4 2 3 6 2" xfId="3424" xr:uid="{00000000-0005-0000-0000-0000290F0000}"/>
    <cellStyle name="Normal 2 4 2 3 6 2 2" xfId="7646" xr:uid="{00000000-0005-0000-0000-00002A0F0000}"/>
    <cellStyle name="Normal 2 4 2 3 6 2 2 2" xfId="24537" xr:uid="{603CB478-D4EF-4293-A903-2EF26B9BDDAE}"/>
    <cellStyle name="Normal 2 4 2 3 6 2 2 3" xfId="16096" xr:uid="{CE12D069-D12E-416D-95CD-D937BE641A9A}"/>
    <cellStyle name="Normal 2 4 2 3 6 2 3" xfId="20319" xr:uid="{9B9830C7-C5FE-4493-ACBD-E87DCBF91925}"/>
    <cellStyle name="Normal 2 4 2 3 6 2 4" xfId="11878" xr:uid="{47C43210-FEFD-4FDC-8316-974759CAEEE5}"/>
    <cellStyle name="Normal 2 4 2 3 6 3" xfId="5501" xr:uid="{00000000-0005-0000-0000-00002B0F0000}"/>
    <cellStyle name="Normal 2 4 2 3 6 3 2" xfId="22392" xr:uid="{1CDE7AE0-9D65-42F7-8885-C6326640DDBD}"/>
    <cellStyle name="Normal 2 4 2 3 6 3 3" xfId="13951" xr:uid="{2430F26B-CD6C-4AA7-AB99-31976CAF59A0}"/>
    <cellStyle name="Normal 2 4 2 3 6 4" xfId="18174" xr:uid="{92B5C0E3-423E-4BCA-B794-75A9BE0AADB2}"/>
    <cellStyle name="Normal 2 4 2 3 6 5" xfId="9733" xr:uid="{193316AA-845A-45BB-AED2-9D35C0BB34A9}"/>
    <cellStyle name="Normal 2 4 2 3 7" xfId="1607" xr:uid="{00000000-0005-0000-0000-00002C0F0000}"/>
    <cellStyle name="Normal 2 4 2 3 7 2" xfId="3837" xr:uid="{00000000-0005-0000-0000-00002D0F0000}"/>
    <cellStyle name="Normal 2 4 2 3 7 2 2" xfId="8059" xr:uid="{00000000-0005-0000-0000-00002E0F0000}"/>
    <cellStyle name="Normal 2 4 2 3 7 2 2 2" xfId="24950" xr:uid="{92B687F3-BCAA-4293-B17F-AE3B31248472}"/>
    <cellStyle name="Normal 2 4 2 3 7 2 2 3" xfId="16509" xr:uid="{66EA085B-5BD9-43FB-B112-8E2DCB806E03}"/>
    <cellStyle name="Normal 2 4 2 3 7 2 3" xfId="20732" xr:uid="{8883C6BD-ED96-4975-8E74-790EBB408F11}"/>
    <cellStyle name="Normal 2 4 2 3 7 2 4" xfId="12291" xr:uid="{CB60A8AD-ECB7-4334-9966-634917F8DB90}"/>
    <cellStyle name="Normal 2 4 2 3 7 3" xfId="5914" xr:uid="{00000000-0005-0000-0000-00002F0F0000}"/>
    <cellStyle name="Normal 2 4 2 3 7 3 2" xfId="22805" xr:uid="{3977A40C-E34A-487A-BFBB-1B7108919F50}"/>
    <cellStyle name="Normal 2 4 2 3 7 3 3" xfId="14364" xr:uid="{2B56E42B-36A9-436E-89A3-39BAFA2A1F82}"/>
    <cellStyle name="Normal 2 4 2 3 7 4" xfId="18587" xr:uid="{2ED48E0C-81E1-4EA7-BDE2-68FF431551CF}"/>
    <cellStyle name="Normal 2 4 2 3 7 5" xfId="10146" xr:uid="{494BDAE1-8775-4CBF-B811-7FE0979C1AF3}"/>
    <cellStyle name="Normal 2 4 2 3 8" xfId="2021" xr:uid="{00000000-0005-0000-0000-0000300F0000}"/>
    <cellStyle name="Normal 2 4 2 3 8 2" xfId="4250" xr:uid="{00000000-0005-0000-0000-0000310F0000}"/>
    <cellStyle name="Normal 2 4 2 3 8 2 2" xfId="8472" xr:uid="{00000000-0005-0000-0000-0000320F0000}"/>
    <cellStyle name="Normal 2 4 2 3 8 2 2 2" xfId="25363" xr:uid="{3B910C82-F4C7-4A93-A1A6-F65CBCC397AF}"/>
    <cellStyle name="Normal 2 4 2 3 8 2 2 3" xfId="16922" xr:uid="{A8F63AB8-84E8-413B-813C-0F9194F94D73}"/>
    <cellStyle name="Normal 2 4 2 3 8 2 3" xfId="21145" xr:uid="{F548663D-0BFD-4C03-B685-6932F3A7535F}"/>
    <cellStyle name="Normal 2 4 2 3 8 2 4" xfId="12704" xr:uid="{FBA128F4-037C-4398-BF86-CA011544E803}"/>
    <cellStyle name="Normal 2 4 2 3 8 3" xfId="6327" xr:uid="{00000000-0005-0000-0000-0000330F0000}"/>
    <cellStyle name="Normal 2 4 2 3 8 3 2" xfId="23218" xr:uid="{D9672A94-E507-41D3-ACC9-EE5DB06639B1}"/>
    <cellStyle name="Normal 2 4 2 3 8 3 3" xfId="14777" xr:uid="{484CBF49-D493-41EA-9525-B65EAA912FA3}"/>
    <cellStyle name="Normal 2 4 2 3 8 4" xfId="19000" xr:uid="{FE09CFC3-0C15-4B34-AD7F-365073A6C4EF}"/>
    <cellStyle name="Normal 2 4 2 3 8 5" xfId="10559" xr:uid="{F697C18B-B06E-4937-BD90-4FD0023EF89E}"/>
    <cellStyle name="Normal 2 4 2 3 9" xfId="2457" xr:uid="{00000000-0005-0000-0000-0000340F0000}"/>
    <cellStyle name="Normal 2 4 2 3 9 2" xfId="6740" xr:uid="{00000000-0005-0000-0000-0000350F0000}"/>
    <cellStyle name="Normal 2 4 2 3 9 2 2" xfId="23631" xr:uid="{00E6C978-02C0-47F8-804F-E112B1AEEDF3}"/>
    <cellStyle name="Normal 2 4 2 3 9 2 3" xfId="15190" xr:uid="{010E864A-88D1-4292-8E75-EA3A9F17F5FF}"/>
    <cellStyle name="Normal 2 4 2 3 9 3" xfId="19413" xr:uid="{2AF23AD5-3276-42CB-8DB5-3307E7849ACF}"/>
    <cellStyle name="Normal 2 4 2 3 9 4" xfId="10972" xr:uid="{7E0B485B-690B-4CE3-9EB3-3DF48D2D3321}"/>
    <cellStyle name="Normal 2 4 2 4" xfId="289" xr:uid="{00000000-0005-0000-0000-0000360F0000}"/>
    <cellStyle name="Normal 2 4 2 4 10" xfId="17355" xr:uid="{F5D09CC6-71F7-4CE6-93DF-4774B78D9549}"/>
    <cellStyle name="Normal 2 4 2 4 11" xfId="8914" xr:uid="{12022DD5-85A7-48FF-83D3-3F159F5F1A59}"/>
    <cellStyle name="Normal 2 4 2 4 2" xfId="290" xr:uid="{00000000-0005-0000-0000-0000370F0000}"/>
    <cellStyle name="Normal 2 4 2 4 2 10" xfId="8915" xr:uid="{7F1C35C8-E9B8-458C-9D21-344E020EA8F6}"/>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2 2 2" xfId="24134" xr:uid="{430E1C8E-997A-49B3-BFC1-9D30A7754915}"/>
    <cellStyle name="Normal 2 4 2 4 2 2 2 2 2 3" xfId="15693" xr:uid="{71FE2167-C4E7-4A56-AB5C-FCB86103A076}"/>
    <cellStyle name="Normal 2 4 2 4 2 2 2 2 3" xfId="19916" xr:uid="{030B0996-2FAD-4E22-9C43-3083B63DDE73}"/>
    <cellStyle name="Normal 2 4 2 4 2 2 2 2 4" xfId="11475" xr:uid="{E9CC6665-612F-42E3-9E79-C0C81305387C}"/>
    <cellStyle name="Normal 2 4 2 4 2 2 2 3" xfId="5098" xr:uid="{00000000-0005-0000-0000-00003C0F0000}"/>
    <cellStyle name="Normal 2 4 2 4 2 2 2 3 2" xfId="21989" xr:uid="{01019651-5384-46D5-83E8-1C51DCC7AD6D}"/>
    <cellStyle name="Normal 2 4 2 4 2 2 2 3 3" xfId="13548" xr:uid="{677A0300-5B07-4904-AB30-546266B9D403}"/>
    <cellStyle name="Normal 2 4 2 4 2 2 2 4" xfId="17771" xr:uid="{17051CBE-C8AC-4F82-8AB2-E8902DDA2459}"/>
    <cellStyle name="Normal 2 4 2 4 2 2 2 5" xfId="9330" xr:uid="{C2D2FF30-CDC2-4E96-B5FC-B1AFF6A3655F}"/>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2 2 2" xfId="24547" xr:uid="{8EAE04B7-581B-40DA-8A9E-A1875A40FFEE}"/>
    <cellStyle name="Normal 2 4 2 4 2 2 3 2 2 3" xfId="16106" xr:uid="{8DFA954A-0E7F-48D3-81E1-10A2BA7A115D}"/>
    <cellStyle name="Normal 2 4 2 4 2 2 3 2 3" xfId="20329" xr:uid="{7B11895A-7D5E-4F67-A346-A86CD24B3C58}"/>
    <cellStyle name="Normal 2 4 2 4 2 2 3 2 4" xfId="11888" xr:uid="{FF083B51-7AA9-4B47-B8E3-C8C4179E5862}"/>
    <cellStyle name="Normal 2 4 2 4 2 2 3 3" xfId="5511" xr:uid="{00000000-0005-0000-0000-0000400F0000}"/>
    <cellStyle name="Normal 2 4 2 4 2 2 3 3 2" xfId="22402" xr:uid="{A194F239-4D7F-4503-BB70-4AB8795059B1}"/>
    <cellStyle name="Normal 2 4 2 4 2 2 3 3 3" xfId="13961" xr:uid="{34C3C806-4DE0-47C6-98A8-4C3DC334300D}"/>
    <cellStyle name="Normal 2 4 2 4 2 2 3 4" xfId="18184" xr:uid="{85E06A92-4314-4B49-AE35-1A185689AD25}"/>
    <cellStyle name="Normal 2 4 2 4 2 2 3 5" xfId="9743" xr:uid="{272F3B05-4918-4623-9E05-BF259417F15F}"/>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2 2 2" xfId="24960" xr:uid="{C8EE9103-0B33-4715-A472-2D7A0B533A43}"/>
    <cellStyle name="Normal 2 4 2 4 2 2 4 2 2 3" xfId="16519" xr:uid="{AEC5E52A-97A0-4FF3-909C-B51B0F728C5D}"/>
    <cellStyle name="Normal 2 4 2 4 2 2 4 2 3" xfId="20742" xr:uid="{F4913183-0A4F-4A80-9841-784B81AB7C98}"/>
    <cellStyle name="Normal 2 4 2 4 2 2 4 2 4" xfId="12301" xr:uid="{911AE40D-B852-4F04-9DE2-69A2A93A259E}"/>
    <cellStyle name="Normal 2 4 2 4 2 2 4 3" xfId="5924" xr:uid="{00000000-0005-0000-0000-0000440F0000}"/>
    <cellStyle name="Normal 2 4 2 4 2 2 4 3 2" xfId="22815" xr:uid="{251DA388-CA51-42A2-83BD-4C1095B159CD}"/>
    <cellStyle name="Normal 2 4 2 4 2 2 4 3 3" xfId="14374" xr:uid="{4925FECF-5B25-4532-A834-D0137B2BE7B5}"/>
    <cellStyle name="Normal 2 4 2 4 2 2 4 4" xfId="18597" xr:uid="{0B3683B5-3895-4627-9FFB-7EC4F3B37B88}"/>
    <cellStyle name="Normal 2 4 2 4 2 2 4 5" xfId="10156" xr:uid="{1D9FFA5D-FB5C-4420-AEAF-7D7084C9B2C2}"/>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2 2 2" xfId="25373" xr:uid="{E6CAD6A2-E260-4524-A154-C2D952BE4C30}"/>
    <cellStyle name="Normal 2 4 2 4 2 2 5 2 2 3" xfId="16932" xr:uid="{36879FBD-FD2E-4E16-B42B-C9751E56CE88}"/>
    <cellStyle name="Normal 2 4 2 4 2 2 5 2 3" xfId="21155" xr:uid="{3520C383-8E48-45C0-B43A-FC35C54B9936}"/>
    <cellStyle name="Normal 2 4 2 4 2 2 5 2 4" xfId="12714" xr:uid="{F966DDC3-E930-4188-9092-79F8FA01FA0E}"/>
    <cellStyle name="Normal 2 4 2 4 2 2 5 3" xfId="6337" xr:uid="{00000000-0005-0000-0000-0000480F0000}"/>
    <cellStyle name="Normal 2 4 2 4 2 2 5 3 2" xfId="23228" xr:uid="{43289D4C-AD1A-499F-9C6F-0C8E7220D337}"/>
    <cellStyle name="Normal 2 4 2 4 2 2 5 3 3" xfId="14787" xr:uid="{E5F6E728-A91E-461D-ADB9-E091C61D582C}"/>
    <cellStyle name="Normal 2 4 2 4 2 2 5 4" xfId="19010" xr:uid="{87254443-0D0D-4935-8853-04282B6FF0AB}"/>
    <cellStyle name="Normal 2 4 2 4 2 2 5 5" xfId="10569" xr:uid="{67728413-3BB5-4C4D-BE32-25EAF0611761}"/>
    <cellStyle name="Normal 2 4 2 4 2 2 6" xfId="2467" xr:uid="{00000000-0005-0000-0000-0000490F0000}"/>
    <cellStyle name="Normal 2 4 2 4 2 2 6 2" xfId="6750" xr:uid="{00000000-0005-0000-0000-00004A0F0000}"/>
    <cellStyle name="Normal 2 4 2 4 2 2 6 2 2" xfId="23641" xr:uid="{82032E9C-96AD-48D9-BA76-6C7476833D14}"/>
    <cellStyle name="Normal 2 4 2 4 2 2 6 2 3" xfId="15200" xr:uid="{442FD275-6D55-45AB-8E95-06FD064401DC}"/>
    <cellStyle name="Normal 2 4 2 4 2 2 6 3" xfId="19423" xr:uid="{3F590082-5422-42D7-ADBF-23E4E60160A4}"/>
    <cellStyle name="Normal 2 4 2 4 2 2 6 4" xfId="10982" xr:uid="{19374BCA-07B9-45D8-91B8-D746D794DD31}"/>
    <cellStyle name="Normal 2 4 2 4 2 2 7" xfId="4684" xr:uid="{00000000-0005-0000-0000-00004B0F0000}"/>
    <cellStyle name="Normal 2 4 2 4 2 2 7 2" xfId="21575" xr:uid="{98624BB7-2916-40D9-BAB4-117AED772A55}"/>
    <cellStyle name="Normal 2 4 2 4 2 2 7 3" xfId="13134" xr:uid="{179617D2-B121-4929-A2C1-ED737000722A}"/>
    <cellStyle name="Normal 2 4 2 4 2 2 8" xfId="17357" xr:uid="{7E312535-20B9-431E-B4A3-18F329727F50}"/>
    <cellStyle name="Normal 2 4 2 4 2 2 9" xfId="8916" xr:uid="{C20E36D7-4E2F-4F3B-93C3-31261A692B67}"/>
    <cellStyle name="Normal 2 4 2 4 2 3" xfId="781" xr:uid="{00000000-0005-0000-0000-00004C0F0000}"/>
    <cellStyle name="Normal 2 4 2 4 2 3 2" xfId="3020" xr:uid="{00000000-0005-0000-0000-00004D0F0000}"/>
    <cellStyle name="Normal 2 4 2 4 2 3 2 2" xfId="7242" xr:uid="{00000000-0005-0000-0000-00004E0F0000}"/>
    <cellStyle name="Normal 2 4 2 4 2 3 2 2 2" xfId="24133" xr:uid="{CB8A5EC9-1EBD-4379-B80A-163448E02CEE}"/>
    <cellStyle name="Normal 2 4 2 4 2 3 2 2 3" xfId="15692" xr:uid="{4A233820-3BF2-467A-AE20-E2D6C58DDA01}"/>
    <cellStyle name="Normal 2 4 2 4 2 3 2 3" xfId="19915" xr:uid="{DE116D94-A633-410A-B299-BC30F556DD17}"/>
    <cellStyle name="Normal 2 4 2 4 2 3 2 4" xfId="11474" xr:uid="{B247B672-4868-4302-A651-9781F096866D}"/>
    <cellStyle name="Normal 2 4 2 4 2 3 3" xfId="5097" xr:uid="{00000000-0005-0000-0000-00004F0F0000}"/>
    <cellStyle name="Normal 2 4 2 4 2 3 3 2" xfId="21988" xr:uid="{D891B100-84D2-4E4B-AF01-DA07A7C7F7E0}"/>
    <cellStyle name="Normal 2 4 2 4 2 3 3 3" xfId="13547" xr:uid="{86093878-6F6A-467D-BE9B-4CD0B82437B5}"/>
    <cellStyle name="Normal 2 4 2 4 2 3 4" xfId="17770" xr:uid="{40B5ADA6-A897-4B64-82E4-16DBACD0F99A}"/>
    <cellStyle name="Normal 2 4 2 4 2 3 5" xfId="9329" xr:uid="{C885D69E-921A-4625-B1E6-DE40852FC548}"/>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2 2 2" xfId="24546" xr:uid="{CB6D3419-F10D-4E84-A72C-7363910ED447}"/>
    <cellStyle name="Normal 2 4 2 4 2 4 2 2 3" xfId="16105" xr:uid="{A1C8AAC4-C2DF-46DC-BEAC-5898B70A5DF0}"/>
    <cellStyle name="Normal 2 4 2 4 2 4 2 3" xfId="20328" xr:uid="{E1A27710-8C1F-40D0-A00D-5090FD6BC4F1}"/>
    <cellStyle name="Normal 2 4 2 4 2 4 2 4" xfId="11887" xr:uid="{F6583934-F48E-493E-8242-56AB17C7065D}"/>
    <cellStyle name="Normal 2 4 2 4 2 4 3" xfId="5510" xr:uid="{00000000-0005-0000-0000-0000530F0000}"/>
    <cellStyle name="Normal 2 4 2 4 2 4 3 2" xfId="22401" xr:uid="{6F330035-F545-467A-9F39-01942545B4C1}"/>
    <cellStyle name="Normal 2 4 2 4 2 4 3 3" xfId="13960" xr:uid="{5F1F3A02-0841-468E-AA1A-7F3E1E6D0A1A}"/>
    <cellStyle name="Normal 2 4 2 4 2 4 4" xfId="18183" xr:uid="{1D5F3887-3A07-43D5-B391-162E44836DCC}"/>
    <cellStyle name="Normal 2 4 2 4 2 4 5" xfId="9742" xr:uid="{C16DF387-D7AB-4C5A-8DBB-159E83F1AD6B}"/>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2 2 2" xfId="24959" xr:uid="{464F592D-C772-4E1A-8E6A-B952ACF56B63}"/>
    <cellStyle name="Normal 2 4 2 4 2 5 2 2 3" xfId="16518" xr:uid="{173993C2-A1A8-403D-ABEE-12D057EC00BF}"/>
    <cellStyle name="Normal 2 4 2 4 2 5 2 3" xfId="20741" xr:uid="{51CC453D-2FAD-4EE0-B1A9-B383106AE71F}"/>
    <cellStyle name="Normal 2 4 2 4 2 5 2 4" xfId="12300" xr:uid="{BC392C03-5A45-4737-B666-A2FDA07342B3}"/>
    <cellStyle name="Normal 2 4 2 4 2 5 3" xfId="5923" xr:uid="{00000000-0005-0000-0000-0000570F0000}"/>
    <cellStyle name="Normal 2 4 2 4 2 5 3 2" xfId="22814" xr:uid="{57121BD3-3241-447C-8A6D-0FFDB74319D9}"/>
    <cellStyle name="Normal 2 4 2 4 2 5 3 3" xfId="14373" xr:uid="{00281EA7-5D88-4716-B20B-3183FCB94DF8}"/>
    <cellStyle name="Normal 2 4 2 4 2 5 4" xfId="18596" xr:uid="{F8616ADD-D90F-4AAF-8095-7B723D040480}"/>
    <cellStyle name="Normal 2 4 2 4 2 5 5" xfId="10155" xr:uid="{A32D73D9-379E-493E-ADA9-1FCF8FBAE62F}"/>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2 2 2" xfId="25372" xr:uid="{F55C866E-F503-42C7-BE61-8A3F48C22DA6}"/>
    <cellStyle name="Normal 2 4 2 4 2 6 2 2 3" xfId="16931" xr:uid="{94D7E5E4-04E4-47EC-BDEE-433D365EF6F9}"/>
    <cellStyle name="Normal 2 4 2 4 2 6 2 3" xfId="21154" xr:uid="{518B78B1-F948-4B15-B8F6-2CED7E38240A}"/>
    <cellStyle name="Normal 2 4 2 4 2 6 2 4" xfId="12713" xr:uid="{92F2C9A8-3810-4C50-B4B0-226234198FF7}"/>
    <cellStyle name="Normal 2 4 2 4 2 6 3" xfId="6336" xr:uid="{00000000-0005-0000-0000-00005B0F0000}"/>
    <cellStyle name="Normal 2 4 2 4 2 6 3 2" xfId="23227" xr:uid="{4518538F-9A4B-4E19-8BAF-CEEB4F11263C}"/>
    <cellStyle name="Normal 2 4 2 4 2 6 3 3" xfId="14786" xr:uid="{947BBDD5-73F1-4889-BC5A-507FC127B3D5}"/>
    <cellStyle name="Normal 2 4 2 4 2 6 4" xfId="19009" xr:uid="{BD0F36A0-D5D6-4336-8476-10BEF89D0E85}"/>
    <cellStyle name="Normal 2 4 2 4 2 6 5" xfId="10568" xr:uid="{DB3291B2-EEC9-42C6-B50C-1B2E7C39458F}"/>
    <cellStyle name="Normal 2 4 2 4 2 7" xfId="2466" xr:uid="{00000000-0005-0000-0000-00005C0F0000}"/>
    <cellStyle name="Normal 2 4 2 4 2 7 2" xfId="6749" xr:uid="{00000000-0005-0000-0000-00005D0F0000}"/>
    <cellStyle name="Normal 2 4 2 4 2 7 2 2" xfId="23640" xr:uid="{AD8610DE-40D8-477B-9318-BE52F50E5430}"/>
    <cellStyle name="Normal 2 4 2 4 2 7 2 3" xfId="15199" xr:uid="{5188BFF2-3D31-4F15-A0B2-99DBCD447776}"/>
    <cellStyle name="Normal 2 4 2 4 2 7 3" xfId="19422" xr:uid="{3161DC20-CC8F-47AB-9554-56BAB82EFDA1}"/>
    <cellStyle name="Normal 2 4 2 4 2 7 4" xfId="10981" xr:uid="{04998C53-2D52-4591-8B16-0B1305616970}"/>
    <cellStyle name="Normal 2 4 2 4 2 8" xfId="4683" xr:uid="{00000000-0005-0000-0000-00005E0F0000}"/>
    <cellStyle name="Normal 2 4 2 4 2 8 2" xfId="21574" xr:uid="{35CC369B-E17C-4428-9F9A-C1E68A3E3FE2}"/>
    <cellStyle name="Normal 2 4 2 4 2 8 3" xfId="13133" xr:uid="{416BC531-1081-45A3-8CD5-882A85AAC6E3}"/>
    <cellStyle name="Normal 2 4 2 4 2 9" xfId="17356" xr:uid="{905F4ECE-6FFC-4453-BB81-65D9E9F56B7E}"/>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2 2 2" xfId="24135" xr:uid="{7364B3BA-758E-428F-9BD0-526A987AFD21}"/>
    <cellStyle name="Normal 2 4 2 4 3 2 2 2 3" xfId="15694" xr:uid="{75715BB0-66FE-4C47-9F98-D5A7E7D3159B}"/>
    <cellStyle name="Normal 2 4 2 4 3 2 2 3" xfId="19917" xr:uid="{2355D749-0F42-4D38-978D-337ADA53FD19}"/>
    <cellStyle name="Normal 2 4 2 4 3 2 2 4" xfId="11476" xr:uid="{49075385-86BA-4AAC-BF13-52B7831F28A0}"/>
    <cellStyle name="Normal 2 4 2 4 3 2 3" xfId="5099" xr:uid="{00000000-0005-0000-0000-0000630F0000}"/>
    <cellStyle name="Normal 2 4 2 4 3 2 3 2" xfId="21990" xr:uid="{97922729-D37A-444E-B3CD-D2722AD89C18}"/>
    <cellStyle name="Normal 2 4 2 4 3 2 3 3" xfId="13549" xr:uid="{9867C6AF-AC25-46AF-8725-2CEDB648E7A1}"/>
    <cellStyle name="Normal 2 4 2 4 3 2 4" xfId="17772" xr:uid="{40345F48-3B72-4633-BD82-8FA988C9FB28}"/>
    <cellStyle name="Normal 2 4 2 4 3 2 5" xfId="9331" xr:uid="{C2064944-A09D-4960-8B29-AE7B39C7B1DB}"/>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2 2 2" xfId="24548" xr:uid="{C2495D53-8416-4A3D-A37F-21D337D83823}"/>
    <cellStyle name="Normal 2 4 2 4 3 3 2 2 3" xfId="16107" xr:uid="{33AB7943-29DC-49D3-9410-8D73EA489083}"/>
    <cellStyle name="Normal 2 4 2 4 3 3 2 3" xfId="20330" xr:uid="{8EB7D805-637B-49AF-B58F-E82B1180434D}"/>
    <cellStyle name="Normal 2 4 2 4 3 3 2 4" xfId="11889" xr:uid="{F289E636-C5B7-45E8-B8D4-050B94905A38}"/>
    <cellStyle name="Normal 2 4 2 4 3 3 3" xfId="5512" xr:uid="{00000000-0005-0000-0000-0000670F0000}"/>
    <cellStyle name="Normal 2 4 2 4 3 3 3 2" xfId="22403" xr:uid="{04367885-FED2-409A-8888-8E545B9EAE96}"/>
    <cellStyle name="Normal 2 4 2 4 3 3 3 3" xfId="13962" xr:uid="{9551CD1C-CD3B-4BA5-AA62-1430229AA975}"/>
    <cellStyle name="Normal 2 4 2 4 3 3 4" xfId="18185" xr:uid="{FC31DA34-F01B-4176-8AD4-D6C8937DAB3A}"/>
    <cellStyle name="Normal 2 4 2 4 3 3 5" xfId="9744" xr:uid="{E919AE28-C1F7-4A87-88E3-7B000DF08FA7}"/>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2 2 2" xfId="24961" xr:uid="{D60078B3-DB5C-448F-BE03-24077CBBFC0F}"/>
    <cellStyle name="Normal 2 4 2 4 3 4 2 2 3" xfId="16520" xr:uid="{D81322C7-61A7-44E8-8117-EB433FC84A42}"/>
    <cellStyle name="Normal 2 4 2 4 3 4 2 3" xfId="20743" xr:uid="{B0CFA3E7-BC81-451E-A068-46228BA73A0D}"/>
    <cellStyle name="Normal 2 4 2 4 3 4 2 4" xfId="12302" xr:uid="{9FE7ACD8-CA5E-4C79-8C16-846F575D8ABE}"/>
    <cellStyle name="Normal 2 4 2 4 3 4 3" xfId="5925" xr:uid="{00000000-0005-0000-0000-00006B0F0000}"/>
    <cellStyle name="Normal 2 4 2 4 3 4 3 2" xfId="22816" xr:uid="{50AFA0F5-D5FD-4506-85E8-89F067562935}"/>
    <cellStyle name="Normal 2 4 2 4 3 4 3 3" xfId="14375" xr:uid="{752A3025-7163-40EA-A5F6-FCBEC77D4D6A}"/>
    <cellStyle name="Normal 2 4 2 4 3 4 4" xfId="18598" xr:uid="{97372906-9CB6-43DF-B187-C9A5CDFA8C29}"/>
    <cellStyle name="Normal 2 4 2 4 3 4 5" xfId="10157" xr:uid="{B24B934E-1945-471E-8F39-5B184740191B}"/>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2 2 2" xfId="25374" xr:uid="{4D5214EA-03C7-45E9-B3FD-CDEC313C4A0C}"/>
    <cellStyle name="Normal 2 4 2 4 3 5 2 2 3" xfId="16933" xr:uid="{9739303D-795B-4D41-BD7F-EB2985ABCF72}"/>
    <cellStyle name="Normal 2 4 2 4 3 5 2 3" xfId="21156" xr:uid="{7CA4A91E-EA93-4932-8C0D-DDA99C4EDA68}"/>
    <cellStyle name="Normal 2 4 2 4 3 5 2 4" xfId="12715" xr:uid="{4D987D0B-0788-435F-92B0-87462F50375E}"/>
    <cellStyle name="Normal 2 4 2 4 3 5 3" xfId="6338" xr:uid="{00000000-0005-0000-0000-00006F0F0000}"/>
    <cellStyle name="Normal 2 4 2 4 3 5 3 2" xfId="23229" xr:uid="{4EA42917-ABBD-4C9D-B2C3-2ABFD472833F}"/>
    <cellStyle name="Normal 2 4 2 4 3 5 3 3" xfId="14788" xr:uid="{705DE28F-3597-41AA-9A36-21CF90690376}"/>
    <cellStyle name="Normal 2 4 2 4 3 5 4" xfId="19011" xr:uid="{B639E104-5740-42F8-A062-CEFA5A88C025}"/>
    <cellStyle name="Normal 2 4 2 4 3 5 5" xfId="10570" xr:uid="{352EE705-FDCF-484E-ACDB-B086EF8CF2EB}"/>
    <cellStyle name="Normal 2 4 2 4 3 6" xfId="2468" xr:uid="{00000000-0005-0000-0000-0000700F0000}"/>
    <cellStyle name="Normal 2 4 2 4 3 6 2" xfId="6751" xr:uid="{00000000-0005-0000-0000-0000710F0000}"/>
    <cellStyle name="Normal 2 4 2 4 3 6 2 2" xfId="23642" xr:uid="{7F5F849E-307A-409B-93E7-8B7DD4162616}"/>
    <cellStyle name="Normal 2 4 2 4 3 6 2 3" xfId="15201" xr:uid="{87071A62-53D6-4226-8F63-C6660777F491}"/>
    <cellStyle name="Normal 2 4 2 4 3 6 3" xfId="19424" xr:uid="{DAAFD60B-94D3-431E-BB52-31A4152C298B}"/>
    <cellStyle name="Normal 2 4 2 4 3 6 4" xfId="10983" xr:uid="{FC58A479-60E1-4148-AC92-95DFB339DFC3}"/>
    <cellStyle name="Normal 2 4 2 4 3 7" xfId="4685" xr:uid="{00000000-0005-0000-0000-0000720F0000}"/>
    <cellStyle name="Normal 2 4 2 4 3 7 2" xfId="21576" xr:uid="{1F4E17C1-70D9-4894-BCD1-E258EDDE9C1D}"/>
    <cellStyle name="Normal 2 4 2 4 3 7 3" xfId="13135" xr:uid="{AAB80006-DCF8-40A8-83EB-7FCB16C685E4}"/>
    <cellStyle name="Normal 2 4 2 4 3 8" xfId="17358" xr:uid="{C58BB184-3225-4184-9ED1-DB7C2E0A02F1}"/>
    <cellStyle name="Normal 2 4 2 4 3 9" xfId="8917" xr:uid="{A5F1D42B-D64A-41A1-BDC9-F3BA50812F99}"/>
    <cellStyle name="Normal 2 4 2 4 4" xfId="780" xr:uid="{00000000-0005-0000-0000-0000730F0000}"/>
    <cellStyle name="Normal 2 4 2 4 4 2" xfId="3019" xr:uid="{00000000-0005-0000-0000-0000740F0000}"/>
    <cellStyle name="Normal 2 4 2 4 4 2 2" xfId="7241" xr:uid="{00000000-0005-0000-0000-0000750F0000}"/>
    <cellStyle name="Normal 2 4 2 4 4 2 2 2" xfId="24132" xr:uid="{651417BB-85F1-4D13-8DBE-D2AA2451CB9A}"/>
    <cellStyle name="Normal 2 4 2 4 4 2 2 3" xfId="15691" xr:uid="{386E8FA5-40CA-4EEA-8AA8-D4439394F1BC}"/>
    <cellStyle name="Normal 2 4 2 4 4 2 3" xfId="19914" xr:uid="{744DE818-0B79-405C-882A-CD06E627F607}"/>
    <cellStyle name="Normal 2 4 2 4 4 2 4" xfId="11473" xr:uid="{5BA1BA35-FBA6-4092-8510-B038F8C0ECA4}"/>
    <cellStyle name="Normal 2 4 2 4 4 3" xfId="5096" xr:uid="{00000000-0005-0000-0000-0000760F0000}"/>
    <cellStyle name="Normal 2 4 2 4 4 3 2" xfId="21987" xr:uid="{05C544F0-47F0-4E86-828D-408D5672CBC4}"/>
    <cellStyle name="Normal 2 4 2 4 4 3 3" xfId="13546" xr:uid="{3A0672B2-F876-42D5-B29B-CA30BC0E855A}"/>
    <cellStyle name="Normal 2 4 2 4 4 4" xfId="17769" xr:uid="{416E4739-A487-4689-A2ED-6F2567353A77}"/>
    <cellStyle name="Normal 2 4 2 4 4 5" xfId="9328" xr:uid="{5829947C-644B-4347-86F4-01EE69BF5AF3}"/>
    <cellStyle name="Normal 2 4 2 4 5" xfId="1202" xr:uid="{00000000-0005-0000-0000-0000770F0000}"/>
    <cellStyle name="Normal 2 4 2 4 5 2" xfId="3432" xr:uid="{00000000-0005-0000-0000-0000780F0000}"/>
    <cellStyle name="Normal 2 4 2 4 5 2 2" xfId="7654" xr:uid="{00000000-0005-0000-0000-0000790F0000}"/>
    <cellStyle name="Normal 2 4 2 4 5 2 2 2" xfId="24545" xr:uid="{2D790723-6600-4BE2-8F9A-AE29748D68DD}"/>
    <cellStyle name="Normal 2 4 2 4 5 2 2 3" xfId="16104" xr:uid="{2359DA7B-CCB6-46C4-B0E6-7CA49A2E67B7}"/>
    <cellStyle name="Normal 2 4 2 4 5 2 3" xfId="20327" xr:uid="{35E3BFFE-884B-45D5-A5F4-1A71EB5F068D}"/>
    <cellStyle name="Normal 2 4 2 4 5 2 4" xfId="11886" xr:uid="{AEB6458A-1EBD-4FAF-B306-4C22FA5311D5}"/>
    <cellStyle name="Normal 2 4 2 4 5 3" xfId="5509" xr:uid="{00000000-0005-0000-0000-00007A0F0000}"/>
    <cellStyle name="Normal 2 4 2 4 5 3 2" xfId="22400" xr:uid="{11D06F83-15CF-44F3-A9B8-877F5669F190}"/>
    <cellStyle name="Normal 2 4 2 4 5 3 3" xfId="13959" xr:uid="{DBDCB455-AE7E-483A-B509-99AAEBE61355}"/>
    <cellStyle name="Normal 2 4 2 4 5 4" xfId="18182" xr:uid="{906031EF-EE42-49E2-9739-7722ADA52FE2}"/>
    <cellStyle name="Normal 2 4 2 4 5 5" xfId="9741" xr:uid="{A52CD9EC-9369-4F3A-8CCF-CB01EEF3F474}"/>
    <cellStyle name="Normal 2 4 2 4 6" xfId="1615" xr:uid="{00000000-0005-0000-0000-00007B0F0000}"/>
    <cellStyle name="Normal 2 4 2 4 6 2" xfId="3845" xr:uid="{00000000-0005-0000-0000-00007C0F0000}"/>
    <cellStyle name="Normal 2 4 2 4 6 2 2" xfId="8067" xr:uid="{00000000-0005-0000-0000-00007D0F0000}"/>
    <cellStyle name="Normal 2 4 2 4 6 2 2 2" xfId="24958" xr:uid="{09B61CE0-5B5B-42A1-A32D-01B2A7B86F99}"/>
    <cellStyle name="Normal 2 4 2 4 6 2 2 3" xfId="16517" xr:uid="{857C7E82-D8D7-4038-8347-186F83D1AC0F}"/>
    <cellStyle name="Normal 2 4 2 4 6 2 3" xfId="20740" xr:uid="{5D78EE33-F2E5-41C9-B3F2-EF3C5364C4AE}"/>
    <cellStyle name="Normal 2 4 2 4 6 2 4" xfId="12299" xr:uid="{B312518E-8C28-4B7E-8C67-DD5C2697AB29}"/>
    <cellStyle name="Normal 2 4 2 4 6 3" xfId="5922" xr:uid="{00000000-0005-0000-0000-00007E0F0000}"/>
    <cellStyle name="Normal 2 4 2 4 6 3 2" xfId="22813" xr:uid="{74C4027D-ACC6-493D-8858-CD96E52174CD}"/>
    <cellStyle name="Normal 2 4 2 4 6 3 3" xfId="14372" xr:uid="{876088B7-3A1C-4EF0-8010-530E8BC034BF}"/>
    <cellStyle name="Normal 2 4 2 4 6 4" xfId="18595" xr:uid="{38CA80E3-83E3-4969-AEEE-CAEB94D70028}"/>
    <cellStyle name="Normal 2 4 2 4 6 5" xfId="10154" xr:uid="{C5C28DFB-7AD4-473D-9B5D-75C28D11B57F}"/>
    <cellStyle name="Normal 2 4 2 4 7" xfId="2029" xr:uid="{00000000-0005-0000-0000-00007F0F0000}"/>
    <cellStyle name="Normal 2 4 2 4 7 2" xfId="4258" xr:uid="{00000000-0005-0000-0000-0000800F0000}"/>
    <cellStyle name="Normal 2 4 2 4 7 2 2" xfId="8480" xr:uid="{00000000-0005-0000-0000-0000810F0000}"/>
    <cellStyle name="Normal 2 4 2 4 7 2 2 2" xfId="25371" xr:uid="{6C7847A2-15D5-42AC-ACF0-B8CF6810B392}"/>
    <cellStyle name="Normal 2 4 2 4 7 2 2 3" xfId="16930" xr:uid="{B63182DF-BF9F-4824-AE15-FE6DF8D6A16F}"/>
    <cellStyle name="Normal 2 4 2 4 7 2 3" xfId="21153" xr:uid="{58127D2F-B9AB-425F-A9B0-3A927908EB58}"/>
    <cellStyle name="Normal 2 4 2 4 7 2 4" xfId="12712" xr:uid="{B992D824-E36E-4651-AAB2-F3BF752B85E2}"/>
    <cellStyle name="Normal 2 4 2 4 7 3" xfId="6335" xr:uid="{00000000-0005-0000-0000-0000820F0000}"/>
    <cellStyle name="Normal 2 4 2 4 7 3 2" xfId="23226" xr:uid="{864B6EA7-6229-4C78-9A22-2AB52EB8BC48}"/>
    <cellStyle name="Normal 2 4 2 4 7 3 3" xfId="14785" xr:uid="{4F9868C6-95D7-48A0-AC91-15A45A332E93}"/>
    <cellStyle name="Normal 2 4 2 4 7 4" xfId="19008" xr:uid="{F9940E2E-D63B-45C1-B997-5529873D4D02}"/>
    <cellStyle name="Normal 2 4 2 4 7 5" xfId="10567" xr:uid="{751F454B-4D2E-498C-A94B-EEB11671743E}"/>
    <cellStyle name="Normal 2 4 2 4 8" xfId="2465" xr:uid="{00000000-0005-0000-0000-0000830F0000}"/>
    <cellStyle name="Normal 2 4 2 4 8 2" xfId="6748" xr:uid="{00000000-0005-0000-0000-0000840F0000}"/>
    <cellStyle name="Normal 2 4 2 4 8 2 2" xfId="23639" xr:uid="{C8C5721D-2BAE-4E69-B1D1-7D0F12870E65}"/>
    <cellStyle name="Normal 2 4 2 4 8 2 3" xfId="15198" xr:uid="{BBA4E565-2D60-43DB-8952-46B58F92B7A2}"/>
    <cellStyle name="Normal 2 4 2 4 8 3" xfId="19421" xr:uid="{E53D736F-B093-4D40-B994-C9BDA295E6BB}"/>
    <cellStyle name="Normal 2 4 2 4 8 4" xfId="10980" xr:uid="{8180B792-C703-4428-8FA9-3CB8344D5F31}"/>
    <cellStyle name="Normal 2 4 2 4 9" xfId="4682" xr:uid="{00000000-0005-0000-0000-0000850F0000}"/>
    <cellStyle name="Normal 2 4 2 4 9 2" xfId="21573" xr:uid="{8C82DC0B-56E3-477C-8744-2FFFC306D004}"/>
    <cellStyle name="Normal 2 4 2 4 9 3" xfId="13132" xr:uid="{CC378DA7-0410-430F-9A7A-5CB08ABB9ECF}"/>
    <cellStyle name="Normal 2 4 2 5" xfId="293" xr:uid="{00000000-0005-0000-0000-0000860F0000}"/>
    <cellStyle name="Normal 2 4 2 5 10" xfId="8918" xr:uid="{A6F1A2F1-2272-4881-841B-A8CCAC5C843C}"/>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2 2 2" xfId="24137" xr:uid="{67FDE4E7-2F49-4FBD-A0F1-334E94F4A8BC}"/>
    <cellStyle name="Normal 2 4 2 5 2 2 2 2 3" xfId="15696" xr:uid="{123ADF05-C7DF-477D-A8CC-760353F1DFFF}"/>
    <cellStyle name="Normal 2 4 2 5 2 2 2 3" xfId="19919" xr:uid="{254ED771-3A15-42BE-8088-95083950EB97}"/>
    <cellStyle name="Normal 2 4 2 5 2 2 2 4" xfId="11478" xr:uid="{959DE0D3-81E7-4A8E-9A7B-B9B0F45DFD23}"/>
    <cellStyle name="Normal 2 4 2 5 2 2 3" xfId="5101" xr:uid="{00000000-0005-0000-0000-00008B0F0000}"/>
    <cellStyle name="Normal 2 4 2 5 2 2 3 2" xfId="21992" xr:uid="{9E514AF4-72D7-4868-9DC0-B9A2E7801C5F}"/>
    <cellStyle name="Normal 2 4 2 5 2 2 3 3" xfId="13551" xr:uid="{880075C9-A06E-48B5-A83C-3A852B9DA419}"/>
    <cellStyle name="Normal 2 4 2 5 2 2 4" xfId="17774" xr:uid="{168B370C-E52C-4EED-9B6C-906F50BA3190}"/>
    <cellStyle name="Normal 2 4 2 5 2 2 5" xfId="9333" xr:uid="{F2BC49A9-75E3-40D4-AA51-6206214611FB}"/>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2 2 2" xfId="24550" xr:uid="{147AD453-5A88-471D-9F52-981CF199FBC3}"/>
    <cellStyle name="Normal 2 4 2 5 2 3 2 2 3" xfId="16109" xr:uid="{DC188E55-3FC7-4B26-A8EA-4A86F9D84E93}"/>
    <cellStyle name="Normal 2 4 2 5 2 3 2 3" xfId="20332" xr:uid="{4EB1871E-B9A3-467A-B95D-BE623A217FF4}"/>
    <cellStyle name="Normal 2 4 2 5 2 3 2 4" xfId="11891" xr:uid="{830BA20E-1FAC-48F9-92F5-D2AB6ADB579E}"/>
    <cellStyle name="Normal 2 4 2 5 2 3 3" xfId="5514" xr:uid="{00000000-0005-0000-0000-00008F0F0000}"/>
    <cellStyle name="Normal 2 4 2 5 2 3 3 2" xfId="22405" xr:uid="{8FE1C060-4703-497B-A330-A6DED8975B46}"/>
    <cellStyle name="Normal 2 4 2 5 2 3 3 3" xfId="13964" xr:uid="{0E58C1F7-7A9E-4EAA-BDF4-A628D267855A}"/>
    <cellStyle name="Normal 2 4 2 5 2 3 4" xfId="18187" xr:uid="{2FEA1B23-4FB6-4B81-97D8-28A878B8FC37}"/>
    <cellStyle name="Normal 2 4 2 5 2 3 5" xfId="9746" xr:uid="{792681ED-186E-47DA-9DFE-4D7F72296EBB}"/>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2 2 2" xfId="24963" xr:uid="{78345031-BDA7-49A3-A4FD-053C02E137CE}"/>
    <cellStyle name="Normal 2 4 2 5 2 4 2 2 3" xfId="16522" xr:uid="{E2DC6194-0969-4299-8552-4CA7CC226088}"/>
    <cellStyle name="Normal 2 4 2 5 2 4 2 3" xfId="20745" xr:uid="{1F89A543-37A1-4F75-98BA-6BD230618A0F}"/>
    <cellStyle name="Normal 2 4 2 5 2 4 2 4" xfId="12304" xr:uid="{C9CAE6C0-D3FD-442D-AF74-4567C9135015}"/>
    <cellStyle name="Normal 2 4 2 5 2 4 3" xfId="5927" xr:uid="{00000000-0005-0000-0000-0000930F0000}"/>
    <cellStyle name="Normal 2 4 2 5 2 4 3 2" xfId="22818" xr:uid="{CDDDF9CA-624D-4521-B811-A17D3DDCFAE0}"/>
    <cellStyle name="Normal 2 4 2 5 2 4 3 3" xfId="14377" xr:uid="{AC02C893-049C-4483-8369-9D47F43ACEE3}"/>
    <cellStyle name="Normal 2 4 2 5 2 4 4" xfId="18600" xr:uid="{6D2CD37D-3595-4645-B1D0-BC32C39B1C13}"/>
    <cellStyle name="Normal 2 4 2 5 2 4 5" xfId="10159" xr:uid="{BF35C8A7-A581-490B-8FC5-0E1977E7FDE2}"/>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2 2 2" xfId="25376" xr:uid="{BB7518FA-C215-4BF3-ABB6-5F5B5482277C}"/>
    <cellStyle name="Normal 2 4 2 5 2 5 2 2 3" xfId="16935" xr:uid="{98ED8261-3CD5-46F8-9F14-6C0F915C0860}"/>
    <cellStyle name="Normal 2 4 2 5 2 5 2 3" xfId="21158" xr:uid="{2ECB5C58-CEE9-406D-A4D8-6DDF630971E1}"/>
    <cellStyle name="Normal 2 4 2 5 2 5 2 4" xfId="12717" xr:uid="{A49D5BBC-B4FE-4FEA-9944-3DFD31153E5D}"/>
    <cellStyle name="Normal 2 4 2 5 2 5 3" xfId="6340" xr:uid="{00000000-0005-0000-0000-0000970F0000}"/>
    <cellStyle name="Normal 2 4 2 5 2 5 3 2" xfId="23231" xr:uid="{6F03D540-D34E-4FE0-8DF3-99EA2AAFF166}"/>
    <cellStyle name="Normal 2 4 2 5 2 5 3 3" xfId="14790" xr:uid="{1E58E787-937A-4CE5-A304-C77DA0915506}"/>
    <cellStyle name="Normal 2 4 2 5 2 5 4" xfId="19013" xr:uid="{B1EB3E86-4818-48B3-92B9-DC76D841C3A9}"/>
    <cellStyle name="Normal 2 4 2 5 2 5 5" xfId="10572" xr:uid="{FAD59638-70AB-4400-AA1F-C31F23838F35}"/>
    <cellStyle name="Normal 2 4 2 5 2 6" xfId="2470" xr:uid="{00000000-0005-0000-0000-0000980F0000}"/>
    <cellStyle name="Normal 2 4 2 5 2 6 2" xfId="6753" xr:uid="{00000000-0005-0000-0000-0000990F0000}"/>
    <cellStyle name="Normal 2 4 2 5 2 6 2 2" xfId="23644" xr:uid="{F42CC44F-478D-4F2E-90B4-924AAD6E57C7}"/>
    <cellStyle name="Normal 2 4 2 5 2 6 2 3" xfId="15203" xr:uid="{2CB7CDAE-235C-479C-8D3C-09D5E3D936FC}"/>
    <cellStyle name="Normal 2 4 2 5 2 6 3" xfId="19426" xr:uid="{11D65576-CD29-4E4D-A164-7E504D2410F9}"/>
    <cellStyle name="Normal 2 4 2 5 2 6 4" xfId="10985" xr:uid="{9E3F015F-B111-4609-89DA-5408BC7FAF3F}"/>
    <cellStyle name="Normal 2 4 2 5 2 7" xfId="4687" xr:uid="{00000000-0005-0000-0000-00009A0F0000}"/>
    <cellStyle name="Normal 2 4 2 5 2 7 2" xfId="21578" xr:uid="{28934184-7E27-4212-ACA4-719AB380503F}"/>
    <cellStyle name="Normal 2 4 2 5 2 7 3" xfId="13137" xr:uid="{0402A5AA-B3F5-4713-9375-5F58FA8626E3}"/>
    <cellStyle name="Normal 2 4 2 5 2 8" xfId="17360" xr:uid="{3EA3C8E1-2787-4912-9A1A-8A8BA0F9A561}"/>
    <cellStyle name="Normal 2 4 2 5 2 9" xfId="8919" xr:uid="{FC4CFA5B-E1A8-4328-B206-AF53F0431A3E}"/>
    <cellStyle name="Normal 2 4 2 5 3" xfId="784" xr:uid="{00000000-0005-0000-0000-00009B0F0000}"/>
    <cellStyle name="Normal 2 4 2 5 3 2" xfId="3023" xr:uid="{00000000-0005-0000-0000-00009C0F0000}"/>
    <cellStyle name="Normal 2 4 2 5 3 2 2" xfId="7245" xr:uid="{00000000-0005-0000-0000-00009D0F0000}"/>
    <cellStyle name="Normal 2 4 2 5 3 2 2 2" xfId="24136" xr:uid="{EB33C616-E025-4170-9F5D-17652F5EFFA0}"/>
    <cellStyle name="Normal 2 4 2 5 3 2 2 3" xfId="15695" xr:uid="{AE8037E4-E32A-403A-B329-C7870619FAEC}"/>
    <cellStyle name="Normal 2 4 2 5 3 2 3" xfId="19918" xr:uid="{9B1148D2-6059-4E4A-9550-8BD7AA5EF91F}"/>
    <cellStyle name="Normal 2 4 2 5 3 2 4" xfId="11477" xr:uid="{5C9DEE54-D429-4DCC-B90A-B333455252F2}"/>
    <cellStyle name="Normal 2 4 2 5 3 3" xfId="5100" xr:uid="{00000000-0005-0000-0000-00009E0F0000}"/>
    <cellStyle name="Normal 2 4 2 5 3 3 2" xfId="21991" xr:uid="{CD020380-336D-421D-AFB0-2C08B6CE17A1}"/>
    <cellStyle name="Normal 2 4 2 5 3 3 3" xfId="13550" xr:uid="{2CD6CBCB-D519-490B-A536-BF12BCF2CD56}"/>
    <cellStyle name="Normal 2 4 2 5 3 4" xfId="17773" xr:uid="{2D8263CA-5A89-412B-BD84-9AAD7605C4D7}"/>
    <cellStyle name="Normal 2 4 2 5 3 5" xfId="9332" xr:uid="{7FEBCF00-48C6-497E-810D-A97AD27E3493}"/>
    <cellStyle name="Normal 2 4 2 5 4" xfId="1206" xr:uid="{00000000-0005-0000-0000-00009F0F0000}"/>
    <cellStyle name="Normal 2 4 2 5 4 2" xfId="3436" xr:uid="{00000000-0005-0000-0000-0000A00F0000}"/>
    <cellStyle name="Normal 2 4 2 5 4 2 2" xfId="7658" xr:uid="{00000000-0005-0000-0000-0000A10F0000}"/>
    <cellStyle name="Normal 2 4 2 5 4 2 2 2" xfId="24549" xr:uid="{8F39CEB6-E5A6-4A1D-AB67-EF200343426B}"/>
    <cellStyle name="Normal 2 4 2 5 4 2 2 3" xfId="16108" xr:uid="{B866AD8F-4F93-4ABE-9DDC-33728AD13B79}"/>
    <cellStyle name="Normal 2 4 2 5 4 2 3" xfId="20331" xr:uid="{3797BC79-51F6-489D-8983-ABDA249EF155}"/>
    <cellStyle name="Normal 2 4 2 5 4 2 4" xfId="11890" xr:uid="{1D8F4407-92F9-493E-8C1A-1675F3FBD517}"/>
    <cellStyle name="Normal 2 4 2 5 4 3" xfId="5513" xr:uid="{00000000-0005-0000-0000-0000A20F0000}"/>
    <cellStyle name="Normal 2 4 2 5 4 3 2" xfId="22404" xr:uid="{5BFF4A49-108A-4D10-84AE-C33D1AEEBC1B}"/>
    <cellStyle name="Normal 2 4 2 5 4 3 3" xfId="13963" xr:uid="{DE6E322C-8B4A-452F-9FC0-071351634CD0}"/>
    <cellStyle name="Normal 2 4 2 5 4 4" xfId="18186" xr:uid="{A91FB6A3-C78B-4E67-8DF2-89DE4121F6E0}"/>
    <cellStyle name="Normal 2 4 2 5 4 5" xfId="9745" xr:uid="{C8E39474-A8E7-4826-9BCD-72CE4AF9AC7F}"/>
    <cellStyle name="Normal 2 4 2 5 5" xfId="1619" xr:uid="{00000000-0005-0000-0000-0000A30F0000}"/>
    <cellStyle name="Normal 2 4 2 5 5 2" xfId="3849" xr:uid="{00000000-0005-0000-0000-0000A40F0000}"/>
    <cellStyle name="Normal 2 4 2 5 5 2 2" xfId="8071" xr:uid="{00000000-0005-0000-0000-0000A50F0000}"/>
    <cellStyle name="Normal 2 4 2 5 5 2 2 2" xfId="24962" xr:uid="{0E5C5E11-08F8-4131-97A0-3F133E068B2A}"/>
    <cellStyle name="Normal 2 4 2 5 5 2 2 3" xfId="16521" xr:uid="{B3179C69-F899-4F55-9A3D-19292ACB3D48}"/>
    <cellStyle name="Normal 2 4 2 5 5 2 3" xfId="20744" xr:uid="{7047642D-3582-4612-873F-15642F6ED39C}"/>
    <cellStyle name="Normal 2 4 2 5 5 2 4" xfId="12303" xr:uid="{61633409-A05D-4E37-B524-26D87695851B}"/>
    <cellStyle name="Normal 2 4 2 5 5 3" xfId="5926" xr:uid="{00000000-0005-0000-0000-0000A60F0000}"/>
    <cellStyle name="Normal 2 4 2 5 5 3 2" xfId="22817" xr:uid="{229BBC09-E6B8-41B1-B187-C2ED514BCE9C}"/>
    <cellStyle name="Normal 2 4 2 5 5 3 3" xfId="14376" xr:uid="{E45E6B93-3F71-46A0-AD8D-BE8141B415EE}"/>
    <cellStyle name="Normal 2 4 2 5 5 4" xfId="18599" xr:uid="{9DB46D88-B966-4A2C-81F0-A4967AF5A4F3}"/>
    <cellStyle name="Normal 2 4 2 5 5 5" xfId="10158" xr:uid="{2BAAA0D3-51E7-4927-943F-1A9170854DF4}"/>
    <cellStyle name="Normal 2 4 2 5 6" xfId="2033" xr:uid="{00000000-0005-0000-0000-0000A70F0000}"/>
    <cellStyle name="Normal 2 4 2 5 6 2" xfId="4262" xr:uid="{00000000-0005-0000-0000-0000A80F0000}"/>
    <cellStyle name="Normal 2 4 2 5 6 2 2" xfId="8484" xr:uid="{00000000-0005-0000-0000-0000A90F0000}"/>
    <cellStyle name="Normal 2 4 2 5 6 2 2 2" xfId="25375" xr:uid="{5A01E1A1-6D16-4226-ABA6-FDFD8D7B590F}"/>
    <cellStyle name="Normal 2 4 2 5 6 2 2 3" xfId="16934" xr:uid="{1058B715-AD00-4CAF-B3F1-3EC668A734FA}"/>
    <cellStyle name="Normal 2 4 2 5 6 2 3" xfId="21157" xr:uid="{E4EE3B8E-45C0-4720-B14A-EEA44B508CB2}"/>
    <cellStyle name="Normal 2 4 2 5 6 2 4" xfId="12716" xr:uid="{98AED9F6-BFAC-458F-BD68-EB93AF30E316}"/>
    <cellStyle name="Normal 2 4 2 5 6 3" xfId="6339" xr:uid="{00000000-0005-0000-0000-0000AA0F0000}"/>
    <cellStyle name="Normal 2 4 2 5 6 3 2" xfId="23230" xr:uid="{D0E2BBC2-41D0-45CA-AB6A-1D83C3E57CF0}"/>
    <cellStyle name="Normal 2 4 2 5 6 3 3" xfId="14789" xr:uid="{3A57C29E-8677-4C3C-A915-0F6CEBE7CA21}"/>
    <cellStyle name="Normal 2 4 2 5 6 4" xfId="19012" xr:uid="{13050D72-ABB6-453B-BDDB-D2F6799038EF}"/>
    <cellStyle name="Normal 2 4 2 5 6 5" xfId="10571" xr:uid="{679AF810-E89B-47B9-935B-B2F82A3963F8}"/>
    <cellStyle name="Normal 2 4 2 5 7" xfId="2469" xr:uid="{00000000-0005-0000-0000-0000AB0F0000}"/>
    <cellStyle name="Normal 2 4 2 5 7 2" xfId="6752" xr:uid="{00000000-0005-0000-0000-0000AC0F0000}"/>
    <cellStyle name="Normal 2 4 2 5 7 2 2" xfId="23643" xr:uid="{34A608BC-FDC9-4A0F-926E-CD808F060B50}"/>
    <cellStyle name="Normal 2 4 2 5 7 2 3" xfId="15202" xr:uid="{314F086E-041B-4C07-A2DA-AA4CA23508B0}"/>
    <cellStyle name="Normal 2 4 2 5 7 3" xfId="19425" xr:uid="{E9702022-0244-4D9D-B8F7-A4A5440B8E4D}"/>
    <cellStyle name="Normal 2 4 2 5 7 4" xfId="10984" xr:uid="{3E1B8C03-DDF1-4BAC-A539-4F1B06CBD485}"/>
    <cellStyle name="Normal 2 4 2 5 8" xfId="4686" xr:uid="{00000000-0005-0000-0000-0000AD0F0000}"/>
    <cellStyle name="Normal 2 4 2 5 8 2" xfId="21577" xr:uid="{92162C4A-ADB9-40B6-95CF-24BF2BEFE3AC}"/>
    <cellStyle name="Normal 2 4 2 5 8 3" xfId="13136" xr:uid="{D6E76154-6EB3-4A66-B734-D05896B2E163}"/>
    <cellStyle name="Normal 2 4 2 5 9" xfId="17359" xr:uid="{66871E0A-813B-451D-92B4-D1111FD75AA1}"/>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2 2 2" xfId="24138" xr:uid="{2F723FEC-20A8-4C05-A3F6-28F18EB420B5}"/>
    <cellStyle name="Normal 2 4 2 6 2 2 2 3" xfId="15697" xr:uid="{1E057EF0-63E1-417E-B9F1-04B99D17CEF2}"/>
    <cellStyle name="Normal 2 4 2 6 2 2 3" xfId="19920" xr:uid="{6C5262AF-C677-4D60-83D4-CB50064542D3}"/>
    <cellStyle name="Normal 2 4 2 6 2 2 4" xfId="11479" xr:uid="{8D6DAA9B-BE28-42C5-B73E-C5980EDB1E29}"/>
    <cellStyle name="Normal 2 4 2 6 2 3" xfId="5102" xr:uid="{00000000-0005-0000-0000-0000B20F0000}"/>
    <cellStyle name="Normal 2 4 2 6 2 3 2" xfId="21993" xr:uid="{1CDD2983-845B-406D-BAE2-BCF96FF9A197}"/>
    <cellStyle name="Normal 2 4 2 6 2 3 3" xfId="13552" xr:uid="{DDC1ED37-D366-4015-9E94-9872725CD4EE}"/>
    <cellStyle name="Normal 2 4 2 6 2 4" xfId="17775" xr:uid="{CE00FE28-BEC1-47D6-8520-F859E3952B3A}"/>
    <cellStyle name="Normal 2 4 2 6 2 5" xfId="9334" xr:uid="{10C4E8EF-AEDE-4559-A3BA-1E036146BA18}"/>
    <cellStyle name="Normal 2 4 2 6 3" xfId="1208" xr:uid="{00000000-0005-0000-0000-0000B30F0000}"/>
    <cellStyle name="Normal 2 4 2 6 3 2" xfId="3438" xr:uid="{00000000-0005-0000-0000-0000B40F0000}"/>
    <cellStyle name="Normal 2 4 2 6 3 2 2" xfId="7660" xr:uid="{00000000-0005-0000-0000-0000B50F0000}"/>
    <cellStyle name="Normal 2 4 2 6 3 2 2 2" xfId="24551" xr:uid="{799D221F-8E9A-42C4-957D-2332E1BA06A8}"/>
    <cellStyle name="Normal 2 4 2 6 3 2 2 3" xfId="16110" xr:uid="{9A6FC17C-D936-4F47-A899-9550F8251F3F}"/>
    <cellStyle name="Normal 2 4 2 6 3 2 3" xfId="20333" xr:uid="{E20505D3-69C4-4D0B-B3D6-BDD6B81D027B}"/>
    <cellStyle name="Normal 2 4 2 6 3 2 4" xfId="11892" xr:uid="{794DE76C-F373-43B5-8D2F-530188BD586D}"/>
    <cellStyle name="Normal 2 4 2 6 3 3" xfId="5515" xr:uid="{00000000-0005-0000-0000-0000B60F0000}"/>
    <cellStyle name="Normal 2 4 2 6 3 3 2" xfId="22406" xr:uid="{229FE9B3-A24F-4212-86C8-69C1ED07752A}"/>
    <cellStyle name="Normal 2 4 2 6 3 3 3" xfId="13965" xr:uid="{741474F6-2E93-4E7B-83CD-55ADD6939A9C}"/>
    <cellStyle name="Normal 2 4 2 6 3 4" xfId="18188" xr:uid="{1BA4C367-DEEC-4F1D-9BAD-72C17E47479A}"/>
    <cellStyle name="Normal 2 4 2 6 3 5" xfId="9747" xr:uid="{819F05D9-5066-42C8-B175-965627A17839}"/>
    <cellStyle name="Normal 2 4 2 6 4" xfId="1621" xr:uid="{00000000-0005-0000-0000-0000B70F0000}"/>
    <cellStyle name="Normal 2 4 2 6 4 2" xfId="3851" xr:uid="{00000000-0005-0000-0000-0000B80F0000}"/>
    <cellStyle name="Normal 2 4 2 6 4 2 2" xfId="8073" xr:uid="{00000000-0005-0000-0000-0000B90F0000}"/>
    <cellStyle name="Normal 2 4 2 6 4 2 2 2" xfId="24964" xr:uid="{CE9D5155-98E6-4C2D-9B7B-1BCE341E6A47}"/>
    <cellStyle name="Normal 2 4 2 6 4 2 2 3" xfId="16523" xr:uid="{C218B9BB-EDC3-4CC9-89C3-892877016181}"/>
    <cellStyle name="Normal 2 4 2 6 4 2 3" xfId="20746" xr:uid="{EB58DBAE-071F-4F49-AB63-F546EC9E7555}"/>
    <cellStyle name="Normal 2 4 2 6 4 2 4" xfId="12305" xr:uid="{7C627F9D-C470-4B48-9C91-58BB6C99B7BE}"/>
    <cellStyle name="Normal 2 4 2 6 4 3" xfId="5928" xr:uid="{00000000-0005-0000-0000-0000BA0F0000}"/>
    <cellStyle name="Normal 2 4 2 6 4 3 2" xfId="22819" xr:uid="{F27D5BAA-7D8E-4062-A008-F8596C0E37F9}"/>
    <cellStyle name="Normal 2 4 2 6 4 3 3" xfId="14378" xr:uid="{F73ACB40-DBAF-4073-BDC2-8C01606E18C6}"/>
    <cellStyle name="Normal 2 4 2 6 4 4" xfId="18601" xr:uid="{2822EBCA-FD84-492A-8614-3292C038E448}"/>
    <cellStyle name="Normal 2 4 2 6 4 5" xfId="10160" xr:uid="{77D39360-9D25-4EFD-B16A-D71A6A7FDBE6}"/>
    <cellStyle name="Normal 2 4 2 6 5" xfId="2035" xr:uid="{00000000-0005-0000-0000-0000BB0F0000}"/>
    <cellStyle name="Normal 2 4 2 6 5 2" xfId="4264" xr:uid="{00000000-0005-0000-0000-0000BC0F0000}"/>
    <cellStyle name="Normal 2 4 2 6 5 2 2" xfId="8486" xr:uid="{00000000-0005-0000-0000-0000BD0F0000}"/>
    <cellStyle name="Normal 2 4 2 6 5 2 2 2" xfId="25377" xr:uid="{FB197324-7B45-4BC3-9878-648BADF9F35D}"/>
    <cellStyle name="Normal 2 4 2 6 5 2 2 3" xfId="16936" xr:uid="{211A7705-907A-4DAD-8E12-D23B825A8407}"/>
    <cellStyle name="Normal 2 4 2 6 5 2 3" xfId="21159" xr:uid="{E9EFA4A0-6197-4EB7-BD72-3A08AC71139D}"/>
    <cellStyle name="Normal 2 4 2 6 5 2 4" xfId="12718" xr:uid="{C273D2C0-9FA8-444A-A701-9A298A7B6587}"/>
    <cellStyle name="Normal 2 4 2 6 5 3" xfId="6341" xr:uid="{00000000-0005-0000-0000-0000BE0F0000}"/>
    <cellStyle name="Normal 2 4 2 6 5 3 2" xfId="23232" xr:uid="{7F4D4078-2939-4CED-A1FE-A4363CDE5CAF}"/>
    <cellStyle name="Normal 2 4 2 6 5 3 3" xfId="14791" xr:uid="{2221E569-23BD-45DC-9F83-A7A64332B639}"/>
    <cellStyle name="Normal 2 4 2 6 5 4" xfId="19014" xr:uid="{FFE553FC-259C-4654-8E49-28390BC2C79B}"/>
    <cellStyle name="Normal 2 4 2 6 5 5" xfId="10573" xr:uid="{44DEADB7-37EE-4002-9FAB-317CCD80C037}"/>
    <cellStyle name="Normal 2 4 2 6 6" xfId="2471" xr:uid="{00000000-0005-0000-0000-0000BF0F0000}"/>
    <cellStyle name="Normal 2 4 2 6 6 2" xfId="6754" xr:uid="{00000000-0005-0000-0000-0000C00F0000}"/>
    <cellStyle name="Normal 2 4 2 6 6 2 2" xfId="23645" xr:uid="{F13F6D14-B859-479F-B5F3-51B01D89E56C}"/>
    <cellStyle name="Normal 2 4 2 6 6 2 3" xfId="15204" xr:uid="{FF9E6D9A-CCEE-43BB-87E6-2D4A59B611DC}"/>
    <cellStyle name="Normal 2 4 2 6 6 3" xfId="19427" xr:uid="{799D3E50-7629-46F4-BDE7-FE6A9C62CFEA}"/>
    <cellStyle name="Normal 2 4 2 6 6 4" xfId="10986" xr:uid="{EDF9C4C3-19A6-4525-B979-472E9D0C6857}"/>
    <cellStyle name="Normal 2 4 2 6 7" xfId="4688" xr:uid="{00000000-0005-0000-0000-0000C10F0000}"/>
    <cellStyle name="Normal 2 4 2 6 7 2" xfId="21579" xr:uid="{42DC5712-1AA8-442B-897B-DE1D99D3BFE8}"/>
    <cellStyle name="Normal 2 4 2 6 7 3" xfId="13138" xr:uid="{F773AC2E-2E1A-4C26-9755-A95E8DAB15AD}"/>
    <cellStyle name="Normal 2 4 2 6 8" xfId="17361" xr:uid="{D4AED862-5150-45EB-97A6-A61465F15C0A}"/>
    <cellStyle name="Normal 2 4 2 6 9" xfId="8920" xr:uid="{5B2DFE16-6C88-4236-860B-8CE2CB2992DE}"/>
    <cellStyle name="Normal 2 4 2 7" xfId="771" xr:uid="{00000000-0005-0000-0000-0000C20F0000}"/>
    <cellStyle name="Normal 2 4 2 7 2" xfId="3010" xr:uid="{00000000-0005-0000-0000-0000C30F0000}"/>
    <cellStyle name="Normal 2 4 2 7 2 2" xfId="7232" xr:uid="{00000000-0005-0000-0000-0000C40F0000}"/>
    <cellStyle name="Normal 2 4 2 7 2 2 2" xfId="24123" xr:uid="{8B2EAF15-882D-49D8-B479-14150CE8CACF}"/>
    <cellStyle name="Normal 2 4 2 7 2 2 3" xfId="15682" xr:uid="{752D3EAB-DDA2-40DD-9271-899EDDE30F95}"/>
    <cellStyle name="Normal 2 4 2 7 2 3" xfId="19905" xr:uid="{89ADE216-BB3D-4093-8B07-59712BDD7DF1}"/>
    <cellStyle name="Normal 2 4 2 7 2 4" xfId="11464" xr:uid="{11FFEB8A-856B-48DD-90B8-A2ABFADA730C}"/>
    <cellStyle name="Normal 2 4 2 7 3" xfId="5087" xr:uid="{00000000-0005-0000-0000-0000C50F0000}"/>
    <cellStyle name="Normal 2 4 2 7 3 2" xfId="21978" xr:uid="{53BCC7D8-7179-4215-B972-190F68CA42FB}"/>
    <cellStyle name="Normal 2 4 2 7 3 3" xfId="13537" xr:uid="{AE74AC15-CE90-4004-8436-F5DE09610F44}"/>
    <cellStyle name="Normal 2 4 2 7 4" xfId="17760" xr:uid="{00D1BBBC-7336-42BE-AC20-DBA7C9E00323}"/>
    <cellStyle name="Normal 2 4 2 7 5" xfId="9319" xr:uid="{7E8C3D7F-36EA-4862-A952-5B2F04C79F32}"/>
    <cellStyle name="Normal 2 4 2 8" xfId="1193" xr:uid="{00000000-0005-0000-0000-0000C60F0000}"/>
    <cellStyle name="Normal 2 4 2 8 2" xfId="3423" xr:uid="{00000000-0005-0000-0000-0000C70F0000}"/>
    <cellStyle name="Normal 2 4 2 8 2 2" xfId="7645" xr:uid="{00000000-0005-0000-0000-0000C80F0000}"/>
    <cellStyle name="Normal 2 4 2 8 2 2 2" xfId="24536" xr:uid="{743261D2-C33F-45A6-9D70-51F2CBB7CDF4}"/>
    <cellStyle name="Normal 2 4 2 8 2 2 3" xfId="16095" xr:uid="{FE63F2B9-A903-4D68-AF2E-65652204CA63}"/>
    <cellStyle name="Normal 2 4 2 8 2 3" xfId="20318" xr:uid="{15ACAB9D-1A6D-4587-AD8C-3F9FD43A7468}"/>
    <cellStyle name="Normal 2 4 2 8 2 4" xfId="11877" xr:uid="{DB073157-B02B-4214-8FAB-C389F3C5FB5C}"/>
    <cellStyle name="Normal 2 4 2 8 3" xfId="5500" xr:uid="{00000000-0005-0000-0000-0000C90F0000}"/>
    <cellStyle name="Normal 2 4 2 8 3 2" xfId="22391" xr:uid="{0237E6B7-A145-4A4C-9FAF-699E0E709A96}"/>
    <cellStyle name="Normal 2 4 2 8 3 3" xfId="13950" xr:uid="{64635410-A368-4852-967C-547521C9A842}"/>
    <cellStyle name="Normal 2 4 2 8 4" xfId="18173" xr:uid="{D5D392D9-4BC8-4837-A248-DE863DA246A3}"/>
    <cellStyle name="Normal 2 4 2 8 5" xfId="9732" xr:uid="{20AF1F15-7AB1-4765-8359-48D97B1F1210}"/>
    <cellStyle name="Normal 2 4 2 9" xfId="1606" xr:uid="{00000000-0005-0000-0000-0000CA0F0000}"/>
    <cellStyle name="Normal 2 4 2 9 2" xfId="3836" xr:uid="{00000000-0005-0000-0000-0000CB0F0000}"/>
    <cellStyle name="Normal 2 4 2 9 2 2" xfId="8058" xr:uid="{00000000-0005-0000-0000-0000CC0F0000}"/>
    <cellStyle name="Normal 2 4 2 9 2 2 2" xfId="24949" xr:uid="{86E8B05C-53B1-497C-8AA0-F2C4DD2E1EA4}"/>
    <cellStyle name="Normal 2 4 2 9 2 2 3" xfId="16508" xr:uid="{F089246E-4F25-4F12-95D8-27B618417308}"/>
    <cellStyle name="Normal 2 4 2 9 2 3" xfId="20731" xr:uid="{5F6768CD-DD93-4A41-9B93-DDB10ADC3CF1}"/>
    <cellStyle name="Normal 2 4 2 9 2 4" xfId="12290" xr:uid="{51D1EEF9-8671-4B7B-A673-8BBE9B12C164}"/>
    <cellStyle name="Normal 2 4 2 9 3" xfId="5913" xr:uid="{00000000-0005-0000-0000-0000CD0F0000}"/>
    <cellStyle name="Normal 2 4 2 9 3 2" xfId="22804" xr:uid="{287D817E-9EC3-40AA-AF0E-BECCA34C34E8}"/>
    <cellStyle name="Normal 2 4 2 9 3 3" xfId="14363" xr:uid="{37902C42-1DF3-4B09-9954-1FAE8BFF02D9}"/>
    <cellStyle name="Normal 2 4 2 9 4" xfId="18586" xr:uid="{B70C4153-2733-4C0B-B5CD-3661E0DCEAA9}"/>
    <cellStyle name="Normal 2 4 2 9 5" xfId="10145" xr:uid="{44B5CD41-A09E-4F74-AED8-2B5D3CCA2AC7}"/>
    <cellStyle name="Normal 2 4 3" xfId="296" xr:uid="{00000000-0005-0000-0000-0000CE0F0000}"/>
    <cellStyle name="Normal 2 4 3 10" xfId="17362" xr:uid="{CFCF8FDA-ACDC-47A6-A197-B7515A8FE086}"/>
    <cellStyle name="Normal 2 4 3 11" xfId="8921" xr:uid="{865C6DC4-DBCA-4008-8D10-ED84E807A033}"/>
    <cellStyle name="Normal 2 4 3 2" xfId="297" xr:uid="{00000000-0005-0000-0000-0000CF0F0000}"/>
    <cellStyle name="Normal 2 4 3 3" xfId="298" xr:uid="{00000000-0005-0000-0000-0000D00F0000}"/>
    <cellStyle name="Normal 2 4 3 3 10" xfId="17363" xr:uid="{788A592F-6832-4159-B175-F90A3F166345}"/>
    <cellStyle name="Normal 2 4 3 3 11" xfId="8922" xr:uid="{75F128C8-786D-4E50-B6B1-6D773967A769}"/>
    <cellStyle name="Normal 2 4 3 3 2" xfId="299" xr:uid="{00000000-0005-0000-0000-0000D10F0000}"/>
    <cellStyle name="Normal 2 4 3 3 2 10" xfId="8923" xr:uid="{A15812F6-97B9-465E-97B0-A0FA779B042A}"/>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2 2 2" xfId="24142" xr:uid="{EFBE67E3-071C-49B9-8CB2-884D4D1342B8}"/>
    <cellStyle name="Normal 2 4 3 3 2 2 2 2 2 3" xfId="15701" xr:uid="{F765CE39-2918-40AC-A73B-1DB5FEB381D1}"/>
    <cellStyle name="Normal 2 4 3 3 2 2 2 2 3" xfId="19924" xr:uid="{79447706-E57A-4210-84F5-8314727F2611}"/>
    <cellStyle name="Normal 2 4 3 3 2 2 2 2 4" xfId="11483" xr:uid="{BA0214B7-6AA7-459C-9BC0-55EB0C9161DD}"/>
    <cellStyle name="Normal 2 4 3 3 2 2 2 3" xfId="5106" xr:uid="{00000000-0005-0000-0000-0000D60F0000}"/>
    <cellStyle name="Normal 2 4 3 3 2 2 2 3 2" xfId="21997" xr:uid="{75A601E2-4B3E-4AF7-AF4D-9F20B4E2D26B}"/>
    <cellStyle name="Normal 2 4 3 3 2 2 2 3 3" xfId="13556" xr:uid="{1226FB43-E9FB-4114-B3E7-D438B8C7811C}"/>
    <cellStyle name="Normal 2 4 3 3 2 2 2 4" xfId="17779" xr:uid="{C80637AF-FF0C-4256-8814-9297F1415DB9}"/>
    <cellStyle name="Normal 2 4 3 3 2 2 2 5" xfId="9338" xr:uid="{67022C97-C1DE-4F27-9998-1AD7362E9B6E}"/>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2 2 2" xfId="24555" xr:uid="{35212D87-F712-476C-B059-6F7331C11FC0}"/>
    <cellStyle name="Normal 2 4 3 3 2 2 3 2 2 3" xfId="16114" xr:uid="{41FB342C-CEC6-4187-A9D1-CBAAD5CF7EC8}"/>
    <cellStyle name="Normal 2 4 3 3 2 2 3 2 3" xfId="20337" xr:uid="{DEE8F1D6-347A-4E5A-9EC3-BB0C9321CD0D}"/>
    <cellStyle name="Normal 2 4 3 3 2 2 3 2 4" xfId="11896" xr:uid="{830C0A4E-FA54-494F-A944-1CE48C42096B}"/>
    <cellStyle name="Normal 2 4 3 3 2 2 3 3" xfId="5519" xr:uid="{00000000-0005-0000-0000-0000DA0F0000}"/>
    <cellStyle name="Normal 2 4 3 3 2 2 3 3 2" xfId="22410" xr:uid="{7976D41B-3FD5-4EB3-865A-928FF66E3649}"/>
    <cellStyle name="Normal 2 4 3 3 2 2 3 3 3" xfId="13969" xr:uid="{217A4F63-1FE9-4254-B627-053764D605C3}"/>
    <cellStyle name="Normal 2 4 3 3 2 2 3 4" xfId="18192" xr:uid="{56DE7D24-7AF1-4670-A476-E24B09893C71}"/>
    <cellStyle name="Normal 2 4 3 3 2 2 3 5" xfId="9751" xr:uid="{15DBCE65-896D-4F1F-BEE2-BE5E547BF01C}"/>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2 2 2" xfId="24968" xr:uid="{EF35A78F-DC49-4F8D-9F9C-4DB179EAF184}"/>
    <cellStyle name="Normal 2 4 3 3 2 2 4 2 2 3" xfId="16527" xr:uid="{F669B907-8FF6-4AD3-B7BB-5A7469487316}"/>
    <cellStyle name="Normal 2 4 3 3 2 2 4 2 3" xfId="20750" xr:uid="{6A5FF8B2-B910-4C65-951A-D995F794FDB3}"/>
    <cellStyle name="Normal 2 4 3 3 2 2 4 2 4" xfId="12309" xr:uid="{305F1F9B-2F11-467D-AD96-3789B225F383}"/>
    <cellStyle name="Normal 2 4 3 3 2 2 4 3" xfId="5932" xr:uid="{00000000-0005-0000-0000-0000DE0F0000}"/>
    <cellStyle name="Normal 2 4 3 3 2 2 4 3 2" xfId="22823" xr:uid="{C4214EC3-2746-485B-9D42-8DCE90A04605}"/>
    <cellStyle name="Normal 2 4 3 3 2 2 4 3 3" xfId="14382" xr:uid="{50999EBB-93C9-4584-B1D9-0E681E399F69}"/>
    <cellStyle name="Normal 2 4 3 3 2 2 4 4" xfId="18605" xr:uid="{ACFC3E4A-5E23-458B-9726-7294D141BEB1}"/>
    <cellStyle name="Normal 2 4 3 3 2 2 4 5" xfId="10164" xr:uid="{46589F1E-93B2-485F-85F9-6EFBFEF27424}"/>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2 2 2" xfId="25381" xr:uid="{9B89AD3A-1EB4-4F21-83C7-C5FEF497D36D}"/>
    <cellStyle name="Normal 2 4 3 3 2 2 5 2 2 3" xfId="16940" xr:uid="{10162AC5-A03B-45DB-AD41-9C12D16707DF}"/>
    <cellStyle name="Normal 2 4 3 3 2 2 5 2 3" xfId="21163" xr:uid="{063FB545-AA8D-41E8-945D-F891C734DE9F}"/>
    <cellStyle name="Normal 2 4 3 3 2 2 5 2 4" xfId="12722" xr:uid="{4882FBB3-6949-40FA-9CB7-F2CED460DE66}"/>
    <cellStyle name="Normal 2 4 3 3 2 2 5 3" xfId="6345" xr:uid="{00000000-0005-0000-0000-0000E20F0000}"/>
    <cellStyle name="Normal 2 4 3 3 2 2 5 3 2" xfId="23236" xr:uid="{ECB9577C-DB65-4AD6-BBCA-87530DEB4F89}"/>
    <cellStyle name="Normal 2 4 3 3 2 2 5 3 3" xfId="14795" xr:uid="{551BFBEF-65CB-4AA6-87BF-DDA8E9EC3E30}"/>
    <cellStyle name="Normal 2 4 3 3 2 2 5 4" xfId="19018" xr:uid="{7BA8726E-DB86-4C06-AEF5-290474875C16}"/>
    <cellStyle name="Normal 2 4 3 3 2 2 5 5" xfId="10577" xr:uid="{E467E5DD-ADA4-4EC0-AD4A-95DBDE876CD9}"/>
    <cellStyle name="Normal 2 4 3 3 2 2 6" xfId="2475" xr:uid="{00000000-0005-0000-0000-0000E30F0000}"/>
    <cellStyle name="Normal 2 4 3 3 2 2 6 2" xfId="6758" xr:uid="{00000000-0005-0000-0000-0000E40F0000}"/>
    <cellStyle name="Normal 2 4 3 3 2 2 6 2 2" xfId="23649" xr:uid="{B0B8A95D-292C-4AAD-9B46-35E70B511D83}"/>
    <cellStyle name="Normal 2 4 3 3 2 2 6 2 3" xfId="15208" xr:uid="{644F4A0F-4706-4CD5-ABE2-8164C25BABF8}"/>
    <cellStyle name="Normal 2 4 3 3 2 2 6 3" xfId="19431" xr:uid="{8EA2E6A0-9DAA-46CF-945F-675BCE42129A}"/>
    <cellStyle name="Normal 2 4 3 3 2 2 6 4" xfId="10990" xr:uid="{98710624-3167-45EA-B771-DFAE9FE86029}"/>
    <cellStyle name="Normal 2 4 3 3 2 2 7" xfId="4692" xr:uid="{00000000-0005-0000-0000-0000E50F0000}"/>
    <cellStyle name="Normal 2 4 3 3 2 2 7 2" xfId="21583" xr:uid="{A3CBB117-E10D-4516-A922-FF03596EF1E4}"/>
    <cellStyle name="Normal 2 4 3 3 2 2 7 3" xfId="13142" xr:uid="{D7883E88-05B5-458A-BFC4-2C7A188FEA6A}"/>
    <cellStyle name="Normal 2 4 3 3 2 2 8" xfId="17365" xr:uid="{3743BBD1-E163-4EDD-82EA-38D8F16B1C93}"/>
    <cellStyle name="Normal 2 4 3 3 2 2 9" xfId="8924" xr:uid="{4532CBE8-C924-4906-A9E9-E1D386217D6C}"/>
    <cellStyle name="Normal 2 4 3 3 2 3" xfId="789" xr:uid="{00000000-0005-0000-0000-0000E60F0000}"/>
    <cellStyle name="Normal 2 4 3 3 2 3 2" xfId="3028" xr:uid="{00000000-0005-0000-0000-0000E70F0000}"/>
    <cellStyle name="Normal 2 4 3 3 2 3 2 2" xfId="7250" xr:uid="{00000000-0005-0000-0000-0000E80F0000}"/>
    <cellStyle name="Normal 2 4 3 3 2 3 2 2 2" xfId="24141" xr:uid="{839650E7-D3E3-41B2-AE8E-699491C8798E}"/>
    <cellStyle name="Normal 2 4 3 3 2 3 2 2 3" xfId="15700" xr:uid="{50FCB191-4D3C-496B-A703-DD06914D99AF}"/>
    <cellStyle name="Normal 2 4 3 3 2 3 2 3" xfId="19923" xr:uid="{9EA1AD29-C55F-4AFE-872E-9EAFF1A55CEF}"/>
    <cellStyle name="Normal 2 4 3 3 2 3 2 4" xfId="11482" xr:uid="{0A951D53-502C-47CA-856C-2F337D3F498E}"/>
    <cellStyle name="Normal 2 4 3 3 2 3 3" xfId="5105" xr:uid="{00000000-0005-0000-0000-0000E90F0000}"/>
    <cellStyle name="Normal 2 4 3 3 2 3 3 2" xfId="21996" xr:uid="{8C59E6DF-50CB-427B-A5E6-D85BE2248963}"/>
    <cellStyle name="Normal 2 4 3 3 2 3 3 3" xfId="13555" xr:uid="{457B657B-4441-4A36-BCA7-75F3423CDD31}"/>
    <cellStyle name="Normal 2 4 3 3 2 3 4" xfId="17778" xr:uid="{6128A080-AE23-4838-96D4-8A1BECEA94E0}"/>
    <cellStyle name="Normal 2 4 3 3 2 3 5" xfId="9337" xr:uid="{0A15382B-996D-4B0F-9542-B49ED9A0098D}"/>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2 2 2" xfId="24554" xr:uid="{E3859C39-BA87-4A3F-947E-A468C0651B54}"/>
    <cellStyle name="Normal 2 4 3 3 2 4 2 2 3" xfId="16113" xr:uid="{0016CEB9-8E18-4E02-B31E-0B4AECC43EE1}"/>
    <cellStyle name="Normal 2 4 3 3 2 4 2 3" xfId="20336" xr:uid="{29A80DBB-7647-4689-8AF7-089F5FE3AB10}"/>
    <cellStyle name="Normal 2 4 3 3 2 4 2 4" xfId="11895" xr:uid="{BF2957D6-E352-49EC-A1D0-F7A61F38108C}"/>
    <cellStyle name="Normal 2 4 3 3 2 4 3" xfId="5518" xr:uid="{00000000-0005-0000-0000-0000ED0F0000}"/>
    <cellStyle name="Normal 2 4 3 3 2 4 3 2" xfId="22409" xr:uid="{F1710D37-3653-4070-9918-A08F107BAE62}"/>
    <cellStyle name="Normal 2 4 3 3 2 4 3 3" xfId="13968" xr:uid="{51AB689C-17ED-4559-AB8D-E326D112B65C}"/>
    <cellStyle name="Normal 2 4 3 3 2 4 4" xfId="18191" xr:uid="{9F7EC585-4681-48BC-8F00-028C9AD62D18}"/>
    <cellStyle name="Normal 2 4 3 3 2 4 5" xfId="9750" xr:uid="{AF4E766B-5F9E-4508-BFB1-DB4E42769CAD}"/>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2 2 2" xfId="24967" xr:uid="{2F3FD093-AEEC-458C-B4A2-7F61E71A9B81}"/>
    <cellStyle name="Normal 2 4 3 3 2 5 2 2 3" xfId="16526" xr:uid="{36FAD688-2B6B-4B54-8A77-61F1082293C7}"/>
    <cellStyle name="Normal 2 4 3 3 2 5 2 3" xfId="20749" xr:uid="{133631CB-FE87-425A-8D78-A87BB9F38A8C}"/>
    <cellStyle name="Normal 2 4 3 3 2 5 2 4" xfId="12308" xr:uid="{8D121E4C-2937-45A3-8E63-4D954C632A19}"/>
    <cellStyle name="Normal 2 4 3 3 2 5 3" xfId="5931" xr:uid="{00000000-0005-0000-0000-0000F10F0000}"/>
    <cellStyle name="Normal 2 4 3 3 2 5 3 2" xfId="22822" xr:uid="{D88C2CA6-D7BC-4943-B7BE-A1E3B1337377}"/>
    <cellStyle name="Normal 2 4 3 3 2 5 3 3" xfId="14381" xr:uid="{262E1622-7886-4140-B10C-D2C4ED0D685C}"/>
    <cellStyle name="Normal 2 4 3 3 2 5 4" xfId="18604" xr:uid="{7E0B4D3D-7B2E-4308-A7AC-C63583044374}"/>
    <cellStyle name="Normal 2 4 3 3 2 5 5" xfId="10163" xr:uid="{D87AF540-0536-478C-8DDA-20BEE0A54F7A}"/>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2 2 2" xfId="25380" xr:uid="{8170AFEC-75A8-49CB-98D5-E9B82EA5D876}"/>
    <cellStyle name="Normal 2 4 3 3 2 6 2 2 3" xfId="16939" xr:uid="{8543067D-D539-4D30-B5F3-92B02F2BE7F3}"/>
    <cellStyle name="Normal 2 4 3 3 2 6 2 3" xfId="21162" xr:uid="{03AD0FD0-9950-4065-9652-B0DEBEB3B650}"/>
    <cellStyle name="Normal 2 4 3 3 2 6 2 4" xfId="12721" xr:uid="{D27796E1-BF7E-4157-9CBE-9B53DF4B6CA7}"/>
    <cellStyle name="Normal 2 4 3 3 2 6 3" xfId="6344" xr:uid="{00000000-0005-0000-0000-0000F50F0000}"/>
    <cellStyle name="Normal 2 4 3 3 2 6 3 2" xfId="23235" xr:uid="{FE4E8BE7-EAA0-4E4D-8E10-1620D3579564}"/>
    <cellStyle name="Normal 2 4 3 3 2 6 3 3" xfId="14794" xr:uid="{3C1E9508-4B6A-42D1-AFAF-C6399B21EE73}"/>
    <cellStyle name="Normal 2 4 3 3 2 6 4" xfId="19017" xr:uid="{5BBF7957-A9BD-47E4-B02C-8F17F28AAB0B}"/>
    <cellStyle name="Normal 2 4 3 3 2 6 5" xfId="10576" xr:uid="{DE69AF1A-345B-4238-8414-476BFDC7D889}"/>
    <cellStyle name="Normal 2 4 3 3 2 7" xfId="2474" xr:uid="{00000000-0005-0000-0000-0000F60F0000}"/>
    <cellStyle name="Normal 2 4 3 3 2 7 2" xfId="6757" xr:uid="{00000000-0005-0000-0000-0000F70F0000}"/>
    <cellStyle name="Normal 2 4 3 3 2 7 2 2" xfId="23648" xr:uid="{815F7476-5C85-4D7E-B2B2-C4A98A243635}"/>
    <cellStyle name="Normal 2 4 3 3 2 7 2 3" xfId="15207" xr:uid="{49455A6F-68E7-417C-A131-7AB8C9261FA9}"/>
    <cellStyle name="Normal 2 4 3 3 2 7 3" xfId="19430" xr:uid="{96D5481E-E8A0-4382-9661-0868BFDB17B5}"/>
    <cellStyle name="Normal 2 4 3 3 2 7 4" xfId="10989" xr:uid="{87AD27F9-714B-4269-9042-982288466C33}"/>
    <cellStyle name="Normal 2 4 3 3 2 8" xfId="4691" xr:uid="{00000000-0005-0000-0000-0000F80F0000}"/>
    <cellStyle name="Normal 2 4 3 3 2 8 2" xfId="21582" xr:uid="{D1713B4A-25C7-475C-A773-8069EC4C9F4B}"/>
    <cellStyle name="Normal 2 4 3 3 2 8 3" xfId="13141" xr:uid="{81B6FF31-B7D3-435E-8FD7-2B526CB2F573}"/>
    <cellStyle name="Normal 2 4 3 3 2 9" xfId="17364" xr:uid="{95354F2D-7DD1-491C-8383-90619EF1506B}"/>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2 2 2" xfId="24143" xr:uid="{F4D1F784-FA0F-4B77-A295-A292A9EDE512}"/>
    <cellStyle name="Normal 2 4 3 3 3 2 2 2 3" xfId="15702" xr:uid="{592FD881-94DA-48C7-A334-3968B1D6143C}"/>
    <cellStyle name="Normal 2 4 3 3 3 2 2 3" xfId="19925" xr:uid="{FE1EF672-7F2F-4EB3-BBEA-2AA2A038F1F2}"/>
    <cellStyle name="Normal 2 4 3 3 3 2 2 4" xfId="11484" xr:uid="{5E6F274D-C2E1-4C32-ABD8-9AF42B134414}"/>
    <cellStyle name="Normal 2 4 3 3 3 2 3" xfId="5107" xr:uid="{00000000-0005-0000-0000-0000FD0F0000}"/>
    <cellStyle name="Normal 2 4 3 3 3 2 3 2" xfId="21998" xr:uid="{49476591-1416-4570-9305-A354BF6577BD}"/>
    <cellStyle name="Normal 2 4 3 3 3 2 3 3" xfId="13557" xr:uid="{4616AE86-C7F8-4BD9-9874-6C96449777D5}"/>
    <cellStyle name="Normal 2 4 3 3 3 2 4" xfId="17780" xr:uid="{535F62D0-98CF-4595-A600-B9246FFA66E3}"/>
    <cellStyle name="Normal 2 4 3 3 3 2 5" xfId="9339" xr:uid="{C930D208-98BC-4814-8CA5-270C33BBDF49}"/>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2 2 2" xfId="24556" xr:uid="{C868B96B-F25A-4834-99D2-763DA9EE5BEA}"/>
    <cellStyle name="Normal 2 4 3 3 3 3 2 2 3" xfId="16115" xr:uid="{0A93E039-2D1F-4270-AADD-15956709CBE8}"/>
    <cellStyle name="Normal 2 4 3 3 3 3 2 3" xfId="20338" xr:uid="{00DDE56D-D8B1-4ACA-9FF4-F8B06678067D}"/>
    <cellStyle name="Normal 2 4 3 3 3 3 2 4" xfId="11897" xr:uid="{AD2BA9F2-444F-4607-9B02-0DE952537C57}"/>
    <cellStyle name="Normal 2 4 3 3 3 3 3" xfId="5520" xr:uid="{00000000-0005-0000-0000-000001100000}"/>
    <cellStyle name="Normal 2 4 3 3 3 3 3 2" xfId="22411" xr:uid="{DE03A1C4-426F-48C2-8333-405C6A85D67A}"/>
    <cellStyle name="Normal 2 4 3 3 3 3 3 3" xfId="13970" xr:uid="{FC0119EB-07B8-455F-84F2-75FB93C3FECD}"/>
    <cellStyle name="Normal 2 4 3 3 3 3 4" xfId="18193" xr:uid="{8DF35C08-6821-49CD-BA02-F1D0B6ED5D04}"/>
    <cellStyle name="Normal 2 4 3 3 3 3 5" xfId="9752" xr:uid="{D184B35D-D777-411F-A3E6-BE679A70AF19}"/>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2 2 2" xfId="24969" xr:uid="{8AA15FDE-3B08-4979-848E-0CBFCDBC18EB}"/>
    <cellStyle name="Normal 2 4 3 3 3 4 2 2 3" xfId="16528" xr:uid="{1F81CC26-B23F-4B03-B95C-B8E92E0DC453}"/>
    <cellStyle name="Normal 2 4 3 3 3 4 2 3" xfId="20751" xr:uid="{9F50A280-7B40-4B06-8971-F14F4704ACE8}"/>
    <cellStyle name="Normal 2 4 3 3 3 4 2 4" xfId="12310" xr:uid="{96ED5CB6-9D83-451B-9655-3B553B07BF6C}"/>
    <cellStyle name="Normal 2 4 3 3 3 4 3" xfId="5933" xr:uid="{00000000-0005-0000-0000-000005100000}"/>
    <cellStyle name="Normal 2 4 3 3 3 4 3 2" xfId="22824" xr:uid="{E142E956-8E82-414C-BA5C-976F7CC994DA}"/>
    <cellStyle name="Normal 2 4 3 3 3 4 3 3" xfId="14383" xr:uid="{60FC797D-5950-4756-A881-4AB965E66D5B}"/>
    <cellStyle name="Normal 2 4 3 3 3 4 4" xfId="18606" xr:uid="{C4EDAEB0-5EC2-41CC-910E-94526EC6C6B3}"/>
    <cellStyle name="Normal 2 4 3 3 3 4 5" xfId="10165" xr:uid="{E8FF43B6-FCCC-4E60-977C-983D4898C182}"/>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2 2 2" xfId="25382" xr:uid="{24A33989-E199-4846-979A-765DFD7423A6}"/>
    <cellStyle name="Normal 2 4 3 3 3 5 2 2 3" xfId="16941" xr:uid="{2AB81A96-E5B6-4833-A697-6A72A961183D}"/>
    <cellStyle name="Normal 2 4 3 3 3 5 2 3" xfId="21164" xr:uid="{0F23C4CA-1E40-40F0-B21C-664AF67E8D73}"/>
    <cellStyle name="Normal 2 4 3 3 3 5 2 4" xfId="12723" xr:uid="{B5D4EB04-0D63-43AF-9607-1310A7519D3D}"/>
    <cellStyle name="Normal 2 4 3 3 3 5 3" xfId="6346" xr:uid="{00000000-0005-0000-0000-000009100000}"/>
    <cellStyle name="Normal 2 4 3 3 3 5 3 2" xfId="23237" xr:uid="{82BA490D-C36D-4B7C-B259-C67972304489}"/>
    <cellStyle name="Normal 2 4 3 3 3 5 3 3" xfId="14796" xr:uid="{98114A3D-E5AF-4443-9865-3A22C2C33D98}"/>
    <cellStyle name="Normal 2 4 3 3 3 5 4" xfId="19019" xr:uid="{D361164E-3895-434B-89D6-5F611FF6CA52}"/>
    <cellStyle name="Normal 2 4 3 3 3 5 5" xfId="10578" xr:uid="{50644522-6810-4491-9166-4847CF0CEE8F}"/>
    <cellStyle name="Normal 2 4 3 3 3 6" xfId="2476" xr:uid="{00000000-0005-0000-0000-00000A100000}"/>
    <cellStyle name="Normal 2 4 3 3 3 6 2" xfId="6759" xr:uid="{00000000-0005-0000-0000-00000B100000}"/>
    <cellStyle name="Normal 2 4 3 3 3 6 2 2" xfId="23650" xr:uid="{3D92EC2D-759A-4C0B-83DC-A5B271578266}"/>
    <cellStyle name="Normal 2 4 3 3 3 6 2 3" xfId="15209" xr:uid="{9CDB53DA-22DC-4C8B-B020-E24930DC26D0}"/>
    <cellStyle name="Normal 2 4 3 3 3 6 3" xfId="19432" xr:uid="{586E8D60-E73B-44A1-AB9F-8E6E4AC8452E}"/>
    <cellStyle name="Normal 2 4 3 3 3 6 4" xfId="10991" xr:uid="{845F31CB-41EA-465C-9E7E-9F2701AD1DB8}"/>
    <cellStyle name="Normal 2 4 3 3 3 7" xfId="4693" xr:uid="{00000000-0005-0000-0000-00000C100000}"/>
    <cellStyle name="Normal 2 4 3 3 3 7 2" xfId="21584" xr:uid="{74725F50-43A3-41F6-9CFE-DCB1AC6171CA}"/>
    <cellStyle name="Normal 2 4 3 3 3 7 3" xfId="13143" xr:uid="{53B3653A-29AD-4792-AEB2-C63134B85072}"/>
    <cellStyle name="Normal 2 4 3 3 3 8" xfId="17366" xr:uid="{2EEA54A6-7FF8-4BD6-AE37-D53F76A42480}"/>
    <cellStyle name="Normal 2 4 3 3 3 9" xfId="8925" xr:uid="{9589E17E-CBAF-4DD1-A22E-11CF91FEF5B2}"/>
    <cellStyle name="Normal 2 4 3 3 4" xfId="788" xr:uid="{00000000-0005-0000-0000-00000D100000}"/>
    <cellStyle name="Normal 2 4 3 3 4 2" xfId="3027" xr:uid="{00000000-0005-0000-0000-00000E100000}"/>
    <cellStyle name="Normal 2 4 3 3 4 2 2" xfId="7249" xr:uid="{00000000-0005-0000-0000-00000F100000}"/>
    <cellStyle name="Normal 2 4 3 3 4 2 2 2" xfId="24140" xr:uid="{EC9FE8EA-C8F8-4D7B-B331-C54A59E0B280}"/>
    <cellStyle name="Normal 2 4 3 3 4 2 2 3" xfId="15699" xr:uid="{8F3E5FB2-8A22-4FF6-87D1-619935B6E618}"/>
    <cellStyle name="Normal 2 4 3 3 4 2 3" xfId="19922" xr:uid="{8B0D296D-E9DE-44C8-8339-C496B7204265}"/>
    <cellStyle name="Normal 2 4 3 3 4 2 4" xfId="11481" xr:uid="{5D8A221D-BE7B-4FFA-8C56-8550F878F623}"/>
    <cellStyle name="Normal 2 4 3 3 4 3" xfId="5104" xr:uid="{00000000-0005-0000-0000-000010100000}"/>
    <cellStyle name="Normal 2 4 3 3 4 3 2" xfId="21995" xr:uid="{367A6650-0564-4109-AE7A-B9C51210F8C5}"/>
    <cellStyle name="Normal 2 4 3 3 4 3 3" xfId="13554" xr:uid="{1294F205-5B07-44EB-884B-1F30C5D300DC}"/>
    <cellStyle name="Normal 2 4 3 3 4 4" xfId="17777" xr:uid="{94B054D7-7A22-41EE-80E8-F3D5750EADE1}"/>
    <cellStyle name="Normal 2 4 3 3 4 5" xfId="9336" xr:uid="{679C3070-8B19-4D0B-BC56-D21D4F11FB22}"/>
    <cellStyle name="Normal 2 4 3 3 5" xfId="1210" xr:uid="{00000000-0005-0000-0000-000011100000}"/>
    <cellStyle name="Normal 2 4 3 3 5 2" xfId="3440" xr:uid="{00000000-0005-0000-0000-000012100000}"/>
    <cellStyle name="Normal 2 4 3 3 5 2 2" xfId="7662" xr:uid="{00000000-0005-0000-0000-000013100000}"/>
    <cellStyle name="Normal 2 4 3 3 5 2 2 2" xfId="24553" xr:uid="{8DF1D890-C23F-41AB-B4D6-E76186441872}"/>
    <cellStyle name="Normal 2 4 3 3 5 2 2 3" xfId="16112" xr:uid="{49D492CA-BA08-4456-93BD-2269853ACA02}"/>
    <cellStyle name="Normal 2 4 3 3 5 2 3" xfId="20335" xr:uid="{DB3FAB56-C2B8-4273-9416-20F024289DD0}"/>
    <cellStyle name="Normal 2 4 3 3 5 2 4" xfId="11894" xr:uid="{71A21C76-35B4-4CF4-A439-C3DB90FF0733}"/>
    <cellStyle name="Normal 2 4 3 3 5 3" xfId="5517" xr:uid="{00000000-0005-0000-0000-000014100000}"/>
    <cellStyle name="Normal 2 4 3 3 5 3 2" xfId="22408" xr:uid="{E17267AA-3D57-4717-A987-452EF385386D}"/>
    <cellStyle name="Normal 2 4 3 3 5 3 3" xfId="13967" xr:uid="{FE2D2594-5148-4362-A778-F4045857909D}"/>
    <cellStyle name="Normal 2 4 3 3 5 4" xfId="18190" xr:uid="{0950703F-CB16-4DD3-AEC8-B49DA3A774F8}"/>
    <cellStyle name="Normal 2 4 3 3 5 5" xfId="9749" xr:uid="{D707859B-FE10-481C-A59C-7EBC6392B5B1}"/>
    <cellStyle name="Normal 2 4 3 3 6" xfId="1623" xr:uid="{00000000-0005-0000-0000-000015100000}"/>
    <cellStyle name="Normal 2 4 3 3 6 2" xfId="3853" xr:uid="{00000000-0005-0000-0000-000016100000}"/>
    <cellStyle name="Normal 2 4 3 3 6 2 2" xfId="8075" xr:uid="{00000000-0005-0000-0000-000017100000}"/>
    <cellStyle name="Normal 2 4 3 3 6 2 2 2" xfId="24966" xr:uid="{28527530-0BC1-454D-A131-8D6B7EBF9ABE}"/>
    <cellStyle name="Normal 2 4 3 3 6 2 2 3" xfId="16525" xr:uid="{8D0BD11B-87C1-482B-BBCA-CDC7642672B7}"/>
    <cellStyle name="Normal 2 4 3 3 6 2 3" xfId="20748" xr:uid="{FA679B7C-5FD0-445C-9DBD-71A4C5A7D969}"/>
    <cellStyle name="Normal 2 4 3 3 6 2 4" xfId="12307" xr:uid="{0B3C8F36-BA61-4F60-83BC-BAC6E0C0EA06}"/>
    <cellStyle name="Normal 2 4 3 3 6 3" xfId="5930" xr:uid="{00000000-0005-0000-0000-000018100000}"/>
    <cellStyle name="Normal 2 4 3 3 6 3 2" xfId="22821" xr:uid="{544F34E2-5988-430F-8899-21AB6C917480}"/>
    <cellStyle name="Normal 2 4 3 3 6 3 3" xfId="14380" xr:uid="{5070EE99-3B66-4866-9D38-B9C85DA26649}"/>
    <cellStyle name="Normal 2 4 3 3 6 4" xfId="18603" xr:uid="{A856DD00-CBE4-48BC-8BE9-548577DF27D4}"/>
    <cellStyle name="Normal 2 4 3 3 6 5" xfId="10162" xr:uid="{6481A611-45A2-4E4B-BD59-0D62E45C4736}"/>
    <cellStyle name="Normal 2 4 3 3 7" xfId="2037" xr:uid="{00000000-0005-0000-0000-000019100000}"/>
    <cellStyle name="Normal 2 4 3 3 7 2" xfId="4266" xr:uid="{00000000-0005-0000-0000-00001A100000}"/>
    <cellStyle name="Normal 2 4 3 3 7 2 2" xfId="8488" xr:uid="{00000000-0005-0000-0000-00001B100000}"/>
    <cellStyle name="Normal 2 4 3 3 7 2 2 2" xfId="25379" xr:uid="{10E4DBED-1B86-4EF0-A2DB-94B1EE2C0C6B}"/>
    <cellStyle name="Normal 2 4 3 3 7 2 2 3" xfId="16938" xr:uid="{B3F5E8E7-53C6-4F51-8E19-8BCFA50DE32B}"/>
    <cellStyle name="Normal 2 4 3 3 7 2 3" xfId="21161" xr:uid="{AB092ADB-43DC-48E0-ACBB-DE7BCE1AA194}"/>
    <cellStyle name="Normal 2 4 3 3 7 2 4" xfId="12720" xr:uid="{CDD5DD44-A227-4467-AA6D-37BC49C80934}"/>
    <cellStyle name="Normal 2 4 3 3 7 3" xfId="6343" xr:uid="{00000000-0005-0000-0000-00001C100000}"/>
    <cellStyle name="Normal 2 4 3 3 7 3 2" xfId="23234" xr:uid="{4EDF0123-9D00-41A5-9530-610F7DA8C4E9}"/>
    <cellStyle name="Normal 2 4 3 3 7 3 3" xfId="14793" xr:uid="{409B2B53-7EF3-4C23-8E11-CF1AD8E1CE07}"/>
    <cellStyle name="Normal 2 4 3 3 7 4" xfId="19016" xr:uid="{B56136EA-A765-4C03-9B0E-BA79C46F6487}"/>
    <cellStyle name="Normal 2 4 3 3 7 5" xfId="10575" xr:uid="{78F6A72C-90B9-4312-AB28-BFCCBB253F1F}"/>
    <cellStyle name="Normal 2 4 3 3 8" xfId="2473" xr:uid="{00000000-0005-0000-0000-00001D100000}"/>
    <cellStyle name="Normal 2 4 3 3 8 2" xfId="6756" xr:uid="{00000000-0005-0000-0000-00001E100000}"/>
    <cellStyle name="Normal 2 4 3 3 8 2 2" xfId="23647" xr:uid="{4F9EE858-0E15-418D-9AB2-F49436E1A972}"/>
    <cellStyle name="Normal 2 4 3 3 8 2 3" xfId="15206" xr:uid="{8EFA6DAD-19A5-4C63-8E3E-597C012DF684}"/>
    <cellStyle name="Normal 2 4 3 3 8 3" xfId="19429" xr:uid="{FB87DAC5-04D5-4277-B54C-B31C823A5C5C}"/>
    <cellStyle name="Normal 2 4 3 3 8 4" xfId="10988" xr:uid="{AD5A3264-B56C-460D-9604-B264D3043CAE}"/>
    <cellStyle name="Normal 2 4 3 3 9" xfId="4690" xr:uid="{00000000-0005-0000-0000-00001F100000}"/>
    <cellStyle name="Normal 2 4 3 3 9 2" xfId="21581" xr:uid="{6BF4DC8A-B08F-4062-9B64-F8817403CCC7}"/>
    <cellStyle name="Normal 2 4 3 3 9 3" xfId="13140" xr:uid="{0D237990-346E-4ED5-9D91-BA0435E6C83C}"/>
    <cellStyle name="Normal 2 4 3 4" xfId="787" xr:uid="{00000000-0005-0000-0000-000020100000}"/>
    <cellStyle name="Normal 2 4 3 4 2" xfId="3026" xr:uid="{00000000-0005-0000-0000-000021100000}"/>
    <cellStyle name="Normal 2 4 3 4 2 2" xfId="7248" xr:uid="{00000000-0005-0000-0000-000022100000}"/>
    <cellStyle name="Normal 2 4 3 4 2 2 2" xfId="24139" xr:uid="{2176DA23-5241-4675-B63F-A145062F48E2}"/>
    <cellStyle name="Normal 2 4 3 4 2 2 3" xfId="15698" xr:uid="{1018688C-5782-42D5-AED7-D082FC7C5784}"/>
    <cellStyle name="Normal 2 4 3 4 2 3" xfId="19921" xr:uid="{98A45475-CCE3-491A-9201-4388C45C3043}"/>
    <cellStyle name="Normal 2 4 3 4 2 4" xfId="11480" xr:uid="{DB541EAD-8A9B-4906-B81B-6C0643352EF3}"/>
    <cellStyle name="Normal 2 4 3 4 3" xfId="5103" xr:uid="{00000000-0005-0000-0000-000023100000}"/>
    <cellStyle name="Normal 2 4 3 4 3 2" xfId="21994" xr:uid="{F4D4AFD2-456D-49F0-960E-D80F7A8E81F0}"/>
    <cellStyle name="Normal 2 4 3 4 3 3" xfId="13553" xr:uid="{BBBA1637-4300-4D2C-B3F6-9B53F6A5DAF0}"/>
    <cellStyle name="Normal 2 4 3 4 4" xfId="17776" xr:uid="{009D20E1-CB02-41EF-A200-8D918B21E7B9}"/>
    <cellStyle name="Normal 2 4 3 4 5" xfId="9335" xr:uid="{9FEDEAA7-B2DE-4961-BAD5-ACCB0699541E}"/>
    <cellStyle name="Normal 2 4 3 5" xfId="1209" xr:uid="{00000000-0005-0000-0000-000024100000}"/>
    <cellStyle name="Normal 2 4 3 5 2" xfId="3439" xr:uid="{00000000-0005-0000-0000-000025100000}"/>
    <cellStyle name="Normal 2 4 3 5 2 2" xfId="7661" xr:uid="{00000000-0005-0000-0000-000026100000}"/>
    <cellStyle name="Normal 2 4 3 5 2 2 2" xfId="24552" xr:uid="{FA1421AC-37A6-4550-970B-C28D7E9305F7}"/>
    <cellStyle name="Normal 2 4 3 5 2 2 3" xfId="16111" xr:uid="{164C792D-9BC0-4313-B37A-D75E0241C2DF}"/>
    <cellStyle name="Normal 2 4 3 5 2 3" xfId="20334" xr:uid="{3FF22D45-FC0B-4E0E-BCF3-835ACE16911E}"/>
    <cellStyle name="Normal 2 4 3 5 2 4" xfId="11893" xr:uid="{E4E846DA-6395-4563-A1DB-BE7C11D4C063}"/>
    <cellStyle name="Normal 2 4 3 5 3" xfId="5516" xr:uid="{00000000-0005-0000-0000-000027100000}"/>
    <cellStyle name="Normal 2 4 3 5 3 2" xfId="22407" xr:uid="{B6638B9A-0FF8-4857-9EA5-25BE6D41FCDC}"/>
    <cellStyle name="Normal 2 4 3 5 3 3" xfId="13966" xr:uid="{41231199-E5A7-49C6-87D7-551550A1AAAE}"/>
    <cellStyle name="Normal 2 4 3 5 4" xfId="18189" xr:uid="{B2D18CA5-8EEB-40B3-A742-A466C9E62C1A}"/>
    <cellStyle name="Normal 2 4 3 5 5" xfId="9748" xr:uid="{D7F9312F-CA9D-4D97-8EE1-1904034BD08E}"/>
    <cellStyle name="Normal 2 4 3 6" xfId="1622" xr:uid="{00000000-0005-0000-0000-000028100000}"/>
    <cellStyle name="Normal 2 4 3 6 2" xfId="3852" xr:uid="{00000000-0005-0000-0000-000029100000}"/>
    <cellStyle name="Normal 2 4 3 6 2 2" xfId="8074" xr:uid="{00000000-0005-0000-0000-00002A100000}"/>
    <cellStyle name="Normal 2 4 3 6 2 2 2" xfId="24965" xr:uid="{17045F19-19C4-4ED2-B02C-6CD31B971322}"/>
    <cellStyle name="Normal 2 4 3 6 2 2 3" xfId="16524" xr:uid="{6B22344E-26FE-432D-BB67-E3A28E933FCD}"/>
    <cellStyle name="Normal 2 4 3 6 2 3" xfId="20747" xr:uid="{677688E3-5DF7-4587-A377-3A833959DA55}"/>
    <cellStyle name="Normal 2 4 3 6 2 4" xfId="12306" xr:uid="{B6133CBE-3C40-4EA7-BE4D-2BF1BFCC162C}"/>
    <cellStyle name="Normal 2 4 3 6 3" xfId="5929" xr:uid="{00000000-0005-0000-0000-00002B100000}"/>
    <cellStyle name="Normal 2 4 3 6 3 2" xfId="22820" xr:uid="{D95E857C-149D-478F-9A85-D22FC7D6BBB8}"/>
    <cellStyle name="Normal 2 4 3 6 3 3" xfId="14379" xr:uid="{2C79CE21-5C69-42A6-85BC-64DE01DD54B8}"/>
    <cellStyle name="Normal 2 4 3 6 4" xfId="18602" xr:uid="{9C8AE842-FF7A-4E29-9F6B-A70F383C4189}"/>
    <cellStyle name="Normal 2 4 3 6 5" xfId="10161" xr:uid="{8B2C1DC8-8963-4995-BC12-3EE602E2AAFA}"/>
    <cellStyle name="Normal 2 4 3 7" xfId="2036" xr:uid="{00000000-0005-0000-0000-00002C100000}"/>
    <cellStyle name="Normal 2 4 3 7 2" xfId="4265" xr:uid="{00000000-0005-0000-0000-00002D100000}"/>
    <cellStyle name="Normal 2 4 3 7 2 2" xfId="8487" xr:uid="{00000000-0005-0000-0000-00002E100000}"/>
    <cellStyle name="Normal 2 4 3 7 2 2 2" xfId="25378" xr:uid="{8E78454C-387B-46EB-8A69-63CC255A3059}"/>
    <cellStyle name="Normal 2 4 3 7 2 2 3" xfId="16937" xr:uid="{A778E005-B04D-47E1-84D1-44A3C3A559F1}"/>
    <cellStyle name="Normal 2 4 3 7 2 3" xfId="21160" xr:uid="{5E2488E1-45A5-47D9-B3E5-04BE5E8FD97C}"/>
    <cellStyle name="Normal 2 4 3 7 2 4" xfId="12719" xr:uid="{A56BE6E0-088C-4BA0-8E19-9647048023C5}"/>
    <cellStyle name="Normal 2 4 3 7 3" xfId="6342" xr:uid="{00000000-0005-0000-0000-00002F100000}"/>
    <cellStyle name="Normal 2 4 3 7 3 2" xfId="23233" xr:uid="{8D905147-2847-49AB-A02E-A59114EFD4BB}"/>
    <cellStyle name="Normal 2 4 3 7 3 3" xfId="14792" xr:uid="{D15A6F3B-BAD0-4D29-B876-A9EE3D226542}"/>
    <cellStyle name="Normal 2 4 3 7 4" xfId="19015" xr:uid="{7F064F51-076F-46AE-B901-6409B128F209}"/>
    <cellStyle name="Normal 2 4 3 7 5" xfId="10574" xr:uid="{0E922BBB-CD70-4921-8E16-B09FC55DB3C9}"/>
    <cellStyle name="Normal 2 4 3 8" xfId="2472" xr:uid="{00000000-0005-0000-0000-000030100000}"/>
    <cellStyle name="Normal 2 4 3 8 2" xfId="6755" xr:uid="{00000000-0005-0000-0000-000031100000}"/>
    <cellStyle name="Normal 2 4 3 8 2 2" xfId="23646" xr:uid="{40839F78-D27B-44FE-B27F-086217DDC14F}"/>
    <cellStyle name="Normal 2 4 3 8 2 3" xfId="15205" xr:uid="{4487D387-5E1B-4E37-BD93-95C868AD1AA3}"/>
    <cellStyle name="Normal 2 4 3 8 3" xfId="19428" xr:uid="{E59DD8A8-E574-4894-992F-CCE9E00D96A3}"/>
    <cellStyle name="Normal 2 4 3 8 4" xfId="10987" xr:uid="{326A495C-3E77-42E2-8B67-AD6485BCE735}"/>
    <cellStyle name="Normal 2 4 3 9" xfId="4689" xr:uid="{00000000-0005-0000-0000-000032100000}"/>
    <cellStyle name="Normal 2 4 3 9 2" xfId="21580" xr:uid="{BA15B2AA-BBCC-4FE4-A871-3F6EA57ACAB8}"/>
    <cellStyle name="Normal 2 4 3 9 3" xfId="13139" xr:uid="{E8FECAFF-058F-4892-8B08-8408B0457B47}"/>
    <cellStyle name="Normal 2 4 4" xfId="302" xr:uid="{00000000-0005-0000-0000-000033100000}"/>
    <cellStyle name="Normal 2 4 5" xfId="303" xr:uid="{00000000-0005-0000-0000-000034100000}"/>
    <cellStyle name="Normal 2 4 5 10" xfId="4694" xr:uid="{00000000-0005-0000-0000-000035100000}"/>
    <cellStyle name="Normal 2 4 5 10 2" xfId="21585" xr:uid="{A2D177FC-FE7B-4D4B-BB9A-08DF8523D05B}"/>
    <cellStyle name="Normal 2 4 5 10 3" xfId="13144" xr:uid="{04CEDE93-76A8-4EE7-B640-3EDD14819106}"/>
    <cellStyle name="Normal 2 4 5 11" xfId="17367" xr:uid="{75FD1E66-1C55-4759-92AD-E7257C931139}"/>
    <cellStyle name="Normal 2 4 5 12" xfId="8926" xr:uid="{F24479FB-9BB1-4AAC-A580-22549CAB0FCA}"/>
    <cellStyle name="Normal 2 4 5 2" xfId="304" xr:uid="{00000000-0005-0000-0000-000036100000}"/>
    <cellStyle name="Normal 2 4 5 2 10" xfId="17368" xr:uid="{E10987A0-A8F5-4264-B9DC-C8DC1BAF3A34}"/>
    <cellStyle name="Normal 2 4 5 2 11" xfId="8927" xr:uid="{40CF3EAC-81C7-4071-8F7D-8BE7FC376270}"/>
    <cellStyle name="Normal 2 4 5 2 2" xfId="305" xr:uid="{00000000-0005-0000-0000-000037100000}"/>
    <cellStyle name="Normal 2 4 5 2 2 10" xfId="8928" xr:uid="{7CAE9889-90CF-4893-81BD-5AF7B5BEE83C}"/>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2 2 2" xfId="24147" xr:uid="{A619B1A8-A4C0-43E8-8D22-C102306FC76E}"/>
    <cellStyle name="Normal 2 4 5 2 2 2 2 2 2 3" xfId="15706" xr:uid="{709F3D77-D951-4CFB-96A1-87F04587C1FF}"/>
    <cellStyle name="Normal 2 4 5 2 2 2 2 2 3" xfId="19929" xr:uid="{70B1680B-D2D2-441A-8888-8C30DFEF6040}"/>
    <cellStyle name="Normal 2 4 5 2 2 2 2 2 4" xfId="11488" xr:uid="{74CD007E-C509-47AB-B9C2-7DEF4D83EECB}"/>
    <cellStyle name="Normal 2 4 5 2 2 2 2 3" xfId="5111" xr:uid="{00000000-0005-0000-0000-00003C100000}"/>
    <cellStyle name="Normal 2 4 5 2 2 2 2 3 2" xfId="22002" xr:uid="{40EB65C1-0F79-4E6B-8A0B-2B8BFC1489C1}"/>
    <cellStyle name="Normal 2 4 5 2 2 2 2 3 3" xfId="13561" xr:uid="{3DC42A23-DFF0-410A-8F8D-CA18CB306EAA}"/>
    <cellStyle name="Normal 2 4 5 2 2 2 2 4" xfId="17784" xr:uid="{9DE49479-2074-4448-AA2F-3E59EA787721}"/>
    <cellStyle name="Normal 2 4 5 2 2 2 2 5" xfId="9343" xr:uid="{FFA2536C-D3DC-44EC-BF48-87095F6F08BD}"/>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2 2 2" xfId="24560" xr:uid="{23B57EE8-336D-43D0-A827-878A0D237934}"/>
    <cellStyle name="Normal 2 4 5 2 2 2 3 2 2 3" xfId="16119" xr:uid="{D701DDF3-31BE-4596-963D-901082083CBD}"/>
    <cellStyle name="Normal 2 4 5 2 2 2 3 2 3" xfId="20342" xr:uid="{D6D7FF6D-FCC7-4E3E-B81D-374873A7DE62}"/>
    <cellStyle name="Normal 2 4 5 2 2 2 3 2 4" xfId="11901" xr:uid="{E48889CB-6173-4F51-8101-149CE42F5DD9}"/>
    <cellStyle name="Normal 2 4 5 2 2 2 3 3" xfId="5524" xr:uid="{00000000-0005-0000-0000-000040100000}"/>
    <cellStyle name="Normal 2 4 5 2 2 2 3 3 2" xfId="22415" xr:uid="{A9B06483-FE5C-4F86-9122-C640D9D220D7}"/>
    <cellStyle name="Normal 2 4 5 2 2 2 3 3 3" xfId="13974" xr:uid="{C9766886-75A5-4BAA-9015-4A5B3919A2FA}"/>
    <cellStyle name="Normal 2 4 5 2 2 2 3 4" xfId="18197" xr:uid="{895CD7A2-53DD-40A5-B5C5-1A03B3B7E817}"/>
    <cellStyle name="Normal 2 4 5 2 2 2 3 5" xfId="9756" xr:uid="{50611F25-84CD-45A8-8D7C-B6F37F574C14}"/>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2 2 2" xfId="24973" xr:uid="{EAD06F06-C3E2-449E-A79B-A9B59F5C9FCB}"/>
    <cellStyle name="Normal 2 4 5 2 2 2 4 2 2 3" xfId="16532" xr:uid="{C456A9A2-0FAB-442C-BB87-5785A3C49FC5}"/>
    <cellStyle name="Normal 2 4 5 2 2 2 4 2 3" xfId="20755" xr:uid="{5E66A876-843D-4F8F-9BAF-8DB3D6D58E54}"/>
    <cellStyle name="Normal 2 4 5 2 2 2 4 2 4" xfId="12314" xr:uid="{87DE666C-AC02-43D7-A797-856401D22047}"/>
    <cellStyle name="Normal 2 4 5 2 2 2 4 3" xfId="5937" xr:uid="{00000000-0005-0000-0000-000044100000}"/>
    <cellStyle name="Normal 2 4 5 2 2 2 4 3 2" xfId="22828" xr:uid="{354097CA-BA47-41FB-9CA7-2FCB26005490}"/>
    <cellStyle name="Normal 2 4 5 2 2 2 4 3 3" xfId="14387" xr:uid="{EADCD526-6D41-412D-92AA-6F19CC4E2555}"/>
    <cellStyle name="Normal 2 4 5 2 2 2 4 4" xfId="18610" xr:uid="{DC8857AD-B103-4D49-97F2-149117072E2B}"/>
    <cellStyle name="Normal 2 4 5 2 2 2 4 5" xfId="10169" xr:uid="{84714EA9-332D-4821-B95A-A0EF392F276C}"/>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2 2 2" xfId="25386" xr:uid="{F679DF86-70FA-4047-B711-C6E3D4F90887}"/>
    <cellStyle name="Normal 2 4 5 2 2 2 5 2 2 3" xfId="16945" xr:uid="{FEEA64E9-B554-4696-BF95-40D9D9868083}"/>
    <cellStyle name="Normal 2 4 5 2 2 2 5 2 3" xfId="21168" xr:uid="{9997D8F0-6C90-49C4-93FD-D3111921FCB2}"/>
    <cellStyle name="Normal 2 4 5 2 2 2 5 2 4" xfId="12727" xr:uid="{8164D5FC-20CE-43CC-95E3-973E0160A90A}"/>
    <cellStyle name="Normal 2 4 5 2 2 2 5 3" xfId="6350" xr:uid="{00000000-0005-0000-0000-000048100000}"/>
    <cellStyle name="Normal 2 4 5 2 2 2 5 3 2" xfId="23241" xr:uid="{92E18AF0-F3EE-44D2-AC9B-2D3973F2122D}"/>
    <cellStyle name="Normal 2 4 5 2 2 2 5 3 3" xfId="14800" xr:uid="{2B918B2E-4225-484F-92A4-858B85C71C77}"/>
    <cellStyle name="Normal 2 4 5 2 2 2 5 4" xfId="19023" xr:uid="{A6657282-B97C-4915-AA0C-4B0ED6045172}"/>
    <cellStyle name="Normal 2 4 5 2 2 2 5 5" xfId="10582" xr:uid="{680874B5-FB23-4736-862E-9971A535A5D3}"/>
    <cellStyle name="Normal 2 4 5 2 2 2 6" xfId="2480" xr:uid="{00000000-0005-0000-0000-000049100000}"/>
    <cellStyle name="Normal 2 4 5 2 2 2 6 2" xfId="6763" xr:uid="{00000000-0005-0000-0000-00004A100000}"/>
    <cellStyle name="Normal 2 4 5 2 2 2 6 2 2" xfId="23654" xr:uid="{8E1FE72E-EB6D-4FB8-A991-C89F7A8502E1}"/>
    <cellStyle name="Normal 2 4 5 2 2 2 6 2 3" xfId="15213" xr:uid="{3733831A-FF43-4492-9EB4-629C1C2DACB5}"/>
    <cellStyle name="Normal 2 4 5 2 2 2 6 3" xfId="19436" xr:uid="{FF77BEF8-6A24-446F-BBEA-5BE1AA1FCA14}"/>
    <cellStyle name="Normal 2 4 5 2 2 2 6 4" xfId="10995" xr:uid="{23CD2628-0804-4051-BEC7-745248632911}"/>
    <cellStyle name="Normal 2 4 5 2 2 2 7" xfId="4697" xr:uid="{00000000-0005-0000-0000-00004B100000}"/>
    <cellStyle name="Normal 2 4 5 2 2 2 7 2" xfId="21588" xr:uid="{54B22C49-1C57-4177-A9DF-C4687A085046}"/>
    <cellStyle name="Normal 2 4 5 2 2 2 7 3" xfId="13147" xr:uid="{F9F365A7-C6D6-4A21-AFA7-19667AB40B21}"/>
    <cellStyle name="Normal 2 4 5 2 2 2 8" xfId="17370" xr:uid="{4C6B7545-50CB-4C1C-AEF0-BBC36B117F9C}"/>
    <cellStyle name="Normal 2 4 5 2 2 2 9" xfId="8929" xr:uid="{5F709BDF-193E-4C55-AB0A-5DEDFBD6420B}"/>
    <cellStyle name="Normal 2 4 5 2 2 3" xfId="794" xr:uid="{00000000-0005-0000-0000-00004C100000}"/>
    <cellStyle name="Normal 2 4 5 2 2 3 2" xfId="3033" xr:uid="{00000000-0005-0000-0000-00004D100000}"/>
    <cellStyle name="Normal 2 4 5 2 2 3 2 2" xfId="7255" xr:uid="{00000000-0005-0000-0000-00004E100000}"/>
    <cellStyle name="Normal 2 4 5 2 2 3 2 2 2" xfId="24146" xr:uid="{220C38C2-86E1-42BF-9A05-A86FB50EE6E2}"/>
    <cellStyle name="Normal 2 4 5 2 2 3 2 2 3" xfId="15705" xr:uid="{B392DED4-5E61-44F8-8CB4-2AEB0112B8B5}"/>
    <cellStyle name="Normal 2 4 5 2 2 3 2 3" xfId="19928" xr:uid="{B14B0E94-C591-47C2-8405-BC9A40B9A6F9}"/>
    <cellStyle name="Normal 2 4 5 2 2 3 2 4" xfId="11487" xr:uid="{370DCD1A-6D26-453F-BCE9-20B267DD3F24}"/>
    <cellStyle name="Normal 2 4 5 2 2 3 3" xfId="5110" xr:uid="{00000000-0005-0000-0000-00004F100000}"/>
    <cellStyle name="Normal 2 4 5 2 2 3 3 2" xfId="22001" xr:uid="{33D6518C-4112-4133-ACBE-9ED0E7078F72}"/>
    <cellStyle name="Normal 2 4 5 2 2 3 3 3" xfId="13560" xr:uid="{25F5A7AE-AD75-4889-8EF6-D628BE03B09F}"/>
    <cellStyle name="Normal 2 4 5 2 2 3 4" xfId="17783" xr:uid="{C657227B-0DB0-4C63-858E-5E71966BAE96}"/>
    <cellStyle name="Normal 2 4 5 2 2 3 5" xfId="9342" xr:uid="{5258617F-7E4F-4480-9F0B-96DDA00281DF}"/>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2 2 2" xfId="24559" xr:uid="{E37D9D2F-AD24-4822-A8E2-88104D95675E}"/>
    <cellStyle name="Normal 2 4 5 2 2 4 2 2 3" xfId="16118" xr:uid="{23DF7060-27F9-4C0E-89E2-DC747FBF07AB}"/>
    <cellStyle name="Normal 2 4 5 2 2 4 2 3" xfId="20341" xr:uid="{1B0E4ED3-B2E4-4A5F-9CD1-1B69D2FC1777}"/>
    <cellStyle name="Normal 2 4 5 2 2 4 2 4" xfId="11900" xr:uid="{BE12E567-E088-4443-AC77-2D7CCA2F03B5}"/>
    <cellStyle name="Normal 2 4 5 2 2 4 3" xfId="5523" xr:uid="{00000000-0005-0000-0000-000053100000}"/>
    <cellStyle name="Normal 2 4 5 2 2 4 3 2" xfId="22414" xr:uid="{DE653F07-D08A-431F-8793-02D749AB8C68}"/>
    <cellStyle name="Normal 2 4 5 2 2 4 3 3" xfId="13973" xr:uid="{0EC82D77-8DA0-49B0-B54F-EB65E3D381BF}"/>
    <cellStyle name="Normal 2 4 5 2 2 4 4" xfId="18196" xr:uid="{D60A4FBB-CF28-4E9E-9D0C-DF3396E4939D}"/>
    <cellStyle name="Normal 2 4 5 2 2 4 5" xfId="9755" xr:uid="{85F400D6-3959-46AB-AF0F-0EE0C69745CA}"/>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2 2 2" xfId="24972" xr:uid="{A3BB74E3-52B2-4446-A716-FB7C72085618}"/>
    <cellStyle name="Normal 2 4 5 2 2 5 2 2 3" xfId="16531" xr:uid="{747F2D52-4ED1-40C6-9B27-890CBCBD8D63}"/>
    <cellStyle name="Normal 2 4 5 2 2 5 2 3" xfId="20754" xr:uid="{9A47E7D3-8A11-474F-B839-7EB0D1C9CDF5}"/>
    <cellStyle name="Normal 2 4 5 2 2 5 2 4" xfId="12313" xr:uid="{D28F0C73-E074-46B0-8CEB-6935F23DAFEE}"/>
    <cellStyle name="Normal 2 4 5 2 2 5 3" xfId="5936" xr:uid="{00000000-0005-0000-0000-000057100000}"/>
    <cellStyle name="Normal 2 4 5 2 2 5 3 2" xfId="22827" xr:uid="{F4957637-F275-44C6-87A1-90C904A58A79}"/>
    <cellStyle name="Normal 2 4 5 2 2 5 3 3" xfId="14386" xr:uid="{AAD2D871-12B8-4485-9425-F5952A81A888}"/>
    <cellStyle name="Normal 2 4 5 2 2 5 4" xfId="18609" xr:uid="{F8520BA1-998D-497E-B9DC-C06A7AC8053A}"/>
    <cellStyle name="Normal 2 4 5 2 2 5 5" xfId="10168" xr:uid="{C67B88B0-044F-4EFB-8AA2-A3C1E7FDB65F}"/>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2 2 2" xfId="25385" xr:uid="{6AB86ADC-CBF5-402E-80EC-6A9C183009D8}"/>
    <cellStyle name="Normal 2 4 5 2 2 6 2 2 3" xfId="16944" xr:uid="{7A724A34-D922-460B-BDE8-83DC5EE67729}"/>
    <cellStyle name="Normal 2 4 5 2 2 6 2 3" xfId="21167" xr:uid="{3C2CED04-4383-4297-B2EB-B68DEBF48A52}"/>
    <cellStyle name="Normal 2 4 5 2 2 6 2 4" xfId="12726" xr:uid="{4DF75A94-8496-4E33-8F1E-241801336AF8}"/>
    <cellStyle name="Normal 2 4 5 2 2 6 3" xfId="6349" xr:uid="{00000000-0005-0000-0000-00005B100000}"/>
    <cellStyle name="Normal 2 4 5 2 2 6 3 2" xfId="23240" xr:uid="{C4B670F5-341C-459D-911E-9BA700D6E9CC}"/>
    <cellStyle name="Normal 2 4 5 2 2 6 3 3" xfId="14799" xr:uid="{BA5E6AFA-19AB-4737-8902-C0504AF31AE1}"/>
    <cellStyle name="Normal 2 4 5 2 2 6 4" xfId="19022" xr:uid="{1A2B13D7-63F2-4D18-9A37-2D19A480F4A8}"/>
    <cellStyle name="Normal 2 4 5 2 2 6 5" xfId="10581" xr:uid="{D4C060D3-2AFB-483B-8553-16B31AA0B6EE}"/>
    <cellStyle name="Normal 2 4 5 2 2 7" xfId="2479" xr:uid="{00000000-0005-0000-0000-00005C100000}"/>
    <cellStyle name="Normal 2 4 5 2 2 7 2" xfId="6762" xr:uid="{00000000-0005-0000-0000-00005D100000}"/>
    <cellStyle name="Normal 2 4 5 2 2 7 2 2" xfId="23653" xr:uid="{EEFFAEF8-9EC8-4F9E-8953-9963DA0CEB83}"/>
    <cellStyle name="Normal 2 4 5 2 2 7 2 3" xfId="15212" xr:uid="{A2357255-D83F-4D76-AEAE-AF594B10211A}"/>
    <cellStyle name="Normal 2 4 5 2 2 7 3" xfId="19435" xr:uid="{EE6A6BF8-278E-4E13-BF44-1994E74EA149}"/>
    <cellStyle name="Normal 2 4 5 2 2 7 4" xfId="10994" xr:uid="{096C08C3-9F44-4DEB-84EB-FBFBBFC8F889}"/>
    <cellStyle name="Normal 2 4 5 2 2 8" xfId="4696" xr:uid="{00000000-0005-0000-0000-00005E100000}"/>
    <cellStyle name="Normal 2 4 5 2 2 8 2" xfId="21587" xr:uid="{D5662457-F3AB-4E08-8A08-FBC5E6253E36}"/>
    <cellStyle name="Normal 2 4 5 2 2 8 3" xfId="13146" xr:uid="{96BA4732-0FD7-40B1-AFF4-F5F499693229}"/>
    <cellStyle name="Normal 2 4 5 2 2 9" xfId="17369" xr:uid="{77DDE15C-6127-47C6-A555-A8EE71268885}"/>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2 2 2" xfId="24148" xr:uid="{D668141A-D42C-475E-9F62-E1F022036857}"/>
    <cellStyle name="Normal 2 4 5 2 3 2 2 2 3" xfId="15707" xr:uid="{89699766-31A9-47A2-9A14-7B035115B9D4}"/>
    <cellStyle name="Normal 2 4 5 2 3 2 2 3" xfId="19930" xr:uid="{E027E1DD-F1A0-454D-9E0E-53D630B10585}"/>
    <cellStyle name="Normal 2 4 5 2 3 2 2 4" xfId="11489" xr:uid="{18621D9D-71E7-4AD9-A092-37BE7AC8FDA5}"/>
    <cellStyle name="Normal 2 4 5 2 3 2 3" xfId="5112" xr:uid="{00000000-0005-0000-0000-000063100000}"/>
    <cellStyle name="Normal 2 4 5 2 3 2 3 2" xfId="22003" xr:uid="{A0A5134B-8375-4F6F-A547-27D3C31B243B}"/>
    <cellStyle name="Normal 2 4 5 2 3 2 3 3" xfId="13562" xr:uid="{EA67EA9D-E013-4D36-B3F1-8AFBCA37B5D7}"/>
    <cellStyle name="Normal 2 4 5 2 3 2 4" xfId="17785" xr:uid="{578E489A-1E6E-44F1-B3F2-AB1C773AE205}"/>
    <cellStyle name="Normal 2 4 5 2 3 2 5" xfId="9344" xr:uid="{A28D45CD-B49B-4586-ADD9-6139A4F37819}"/>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2 2 2" xfId="24561" xr:uid="{FA043742-64ED-40AB-96A9-271998AF3544}"/>
    <cellStyle name="Normal 2 4 5 2 3 3 2 2 3" xfId="16120" xr:uid="{D723DC64-786D-4E0D-9DCE-E71EEAD8B1E7}"/>
    <cellStyle name="Normal 2 4 5 2 3 3 2 3" xfId="20343" xr:uid="{3441A0F2-B841-430F-8104-3A71E9100E4C}"/>
    <cellStyle name="Normal 2 4 5 2 3 3 2 4" xfId="11902" xr:uid="{CBDD0461-4225-444A-835A-3FDDC1AFB604}"/>
    <cellStyle name="Normal 2 4 5 2 3 3 3" xfId="5525" xr:uid="{00000000-0005-0000-0000-000067100000}"/>
    <cellStyle name="Normal 2 4 5 2 3 3 3 2" xfId="22416" xr:uid="{5A704BC0-327D-451D-AD5A-C7CDCD7C5819}"/>
    <cellStyle name="Normal 2 4 5 2 3 3 3 3" xfId="13975" xr:uid="{9534E78B-9C26-41BA-B06D-5EDDEB82CA4A}"/>
    <cellStyle name="Normal 2 4 5 2 3 3 4" xfId="18198" xr:uid="{D3955E73-A887-4ECF-A779-147BCC34A9E7}"/>
    <cellStyle name="Normal 2 4 5 2 3 3 5" xfId="9757" xr:uid="{FC2D5715-4F88-4C17-836A-65648FBD5A66}"/>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2 2 2" xfId="24974" xr:uid="{34DCB2F4-E637-461E-B282-6E224D074602}"/>
    <cellStyle name="Normal 2 4 5 2 3 4 2 2 3" xfId="16533" xr:uid="{ED9E294E-5FDD-4B45-9065-ADCE58F25E31}"/>
    <cellStyle name="Normal 2 4 5 2 3 4 2 3" xfId="20756" xr:uid="{068EFF46-C9A2-4ED2-BC7E-ACDA5524F33B}"/>
    <cellStyle name="Normal 2 4 5 2 3 4 2 4" xfId="12315" xr:uid="{9166D442-8203-4CE1-B5F8-ED96CA1CB8D3}"/>
    <cellStyle name="Normal 2 4 5 2 3 4 3" xfId="5938" xr:uid="{00000000-0005-0000-0000-00006B100000}"/>
    <cellStyle name="Normal 2 4 5 2 3 4 3 2" xfId="22829" xr:uid="{82EC8384-918B-4F6F-9BB0-9485719BD536}"/>
    <cellStyle name="Normal 2 4 5 2 3 4 3 3" xfId="14388" xr:uid="{12273738-05B4-4FF2-9104-1AB17FEF08F9}"/>
    <cellStyle name="Normal 2 4 5 2 3 4 4" xfId="18611" xr:uid="{7632723D-D652-4DD0-AFDA-800ADC8D1CE5}"/>
    <cellStyle name="Normal 2 4 5 2 3 4 5" xfId="10170" xr:uid="{0C68AF09-BD66-4A79-AAE3-F57BCFBCD621}"/>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2 2 2" xfId="25387" xr:uid="{CACF4F45-5924-49D0-9181-3E0D5A662320}"/>
    <cellStyle name="Normal 2 4 5 2 3 5 2 2 3" xfId="16946" xr:uid="{2098DFB7-DBD1-4BD5-A380-ECC9C2E2856B}"/>
    <cellStyle name="Normal 2 4 5 2 3 5 2 3" xfId="21169" xr:uid="{5EA5F783-F150-42F6-A1FA-295D52D2813C}"/>
    <cellStyle name="Normal 2 4 5 2 3 5 2 4" xfId="12728" xr:uid="{711EB2F5-E757-4CF1-9C3B-FFBD8D7ECF0E}"/>
    <cellStyle name="Normal 2 4 5 2 3 5 3" xfId="6351" xr:uid="{00000000-0005-0000-0000-00006F100000}"/>
    <cellStyle name="Normal 2 4 5 2 3 5 3 2" xfId="23242" xr:uid="{C27B6B3D-D74C-4C2E-9999-E0A7325B194D}"/>
    <cellStyle name="Normal 2 4 5 2 3 5 3 3" xfId="14801" xr:uid="{C95CFE7D-F97B-4598-9121-21EE00FDCC2C}"/>
    <cellStyle name="Normal 2 4 5 2 3 5 4" xfId="19024" xr:uid="{905AFF94-6524-4926-BCCA-CA243C2054E7}"/>
    <cellStyle name="Normal 2 4 5 2 3 5 5" xfId="10583" xr:uid="{3725927F-6A6C-4878-A53C-B1FDAC71BF2F}"/>
    <cellStyle name="Normal 2 4 5 2 3 6" xfId="2481" xr:uid="{00000000-0005-0000-0000-000070100000}"/>
    <cellStyle name="Normal 2 4 5 2 3 6 2" xfId="6764" xr:uid="{00000000-0005-0000-0000-000071100000}"/>
    <cellStyle name="Normal 2 4 5 2 3 6 2 2" xfId="23655" xr:uid="{BA762686-2CB2-4FEB-8586-4BC9DF7064CC}"/>
    <cellStyle name="Normal 2 4 5 2 3 6 2 3" xfId="15214" xr:uid="{87181194-6AFA-4D7D-BF6F-B2F1E76A6D85}"/>
    <cellStyle name="Normal 2 4 5 2 3 6 3" xfId="19437" xr:uid="{DD1A4C2C-8D70-44DB-B326-E8B6705CD73B}"/>
    <cellStyle name="Normal 2 4 5 2 3 6 4" xfId="10996" xr:uid="{1BC079C1-9D01-438C-A089-15AE29DC5764}"/>
    <cellStyle name="Normal 2 4 5 2 3 7" xfId="4698" xr:uid="{00000000-0005-0000-0000-000072100000}"/>
    <cellStyle name="Normal 2 4 5 2 3 7 2" xfId="21589" xr:uid="{040B45EB-0BC9-491C-BCA7-A99B6CDBE28F}"/>
    <cellStyle name="Normal 2 4 5 2 3 7 3" xfId="13148" xr:uid="{3DC80F34-56B5-46E5-B95C-389287319015}"/>
    <cellStyle name="Normal 2 4 5 2 3 8" xfId="17371" xr:uid="{13CE1BBB-A3B5-44A4-8B2C-67A493AA180A}"/>
    <cellStyle name="Normal 2 4 5 2 3 9" xfId="8930" xr:uid="{39DEA845-82B9-4056-A6F5-E40C352A191E}"/>
    <cellStyle name="Normal 2 4 5 2 4" xfId="793" xr:uid="{00000000-0005-0000-0000-000073100000}"/>
    <cellStyle name="Normal 2 4 5 2 4 2" xfId="3032" xr:uid="{00000000-0005-0000-0000-000074100000}"/>
    <cellStyle name="Normal 2 4 5 2 4 2 2" xfId="7254" xr:uid="{00000000-0005-0000-0000-000075100000}"/>
    <cellStyle name="Normal 2 4 5 2 4 2 2 2" xfId="24145" xr:uid="{1D495F13-637A-4E4C-A19A-E63AA05D6A0A}"/>
    <cellStyle name="Normal 2 4 5 2 4 2 2 3" xfId="15704" xr:uid="{40AA7A88-255B-44F4-AD08-89153C2978B3}"/>
    <cellStyle name="Normal 2 4 5 2 4 2 3" xfId="19927" xr:uid="{FD1E6C6F-BE35-49A8-BE85-E6458D594A17}"/>
    <cellStyle name="Normal 2 4 5 2 4 2 4" xfId="11486" xr:uid="{AC7E03B6-ECC6-4C4D-94FB-DEFAD2547287}"/>
    <cellStyle name="Normal 2 4 5 2 4 3" xfId="5109" xr:uid="{00000000-0005-0000-0000-000076100000}"/>
    <cellStyle name="Normal 2 4 5 2 4 3 2" xfId="22000" xr:uid="{DE33410F-077C-4874-AE12-31607EFAB4D7}"/>
    <cellStyle name="Normal 2 4 5 2 4 3 3" xfId="13559" xr:uid="{A477D8C0-C266-4292-9996-0A4AAFAAFB8F}"/>
    <cellStyle name="Normal 2 4 5 2 4 4" xfId="17782" xr:uid="{22F4E1B3-E528-4CAE-80DE-01EBFA789DE8}"/>
    <cellStyle name="Normal 2 4 5 2 4 5" xfId="9341" xr:uid="{0E4DBA49-D508-4396-81CC-C1CB617EC364}"/>
    <cellStyle name="Normal 2 4 5 2 5" xfId="1215" xr:uid="{00000000-0005-0000-0000-000077100000}"/>
    <cellStyle name="Normal 2 4 5 2 5 2" xfId="3445" xr:uid="{00000000-0005-0000-0000-000078100000}"/>
    <cellStyle name="Normal 2 4 5 2 5 2 2" xfId="7667" xr:uid="{00000000-0005-0000-0000-000079100000}"/>
    <cellStyle name="Normal 2 4 5 2 5 2 2 2" xfId="24558" xr:uid="{9F9B4214-3268-4228-A0BE-91D742C75E85}"/>
    <cellStyle name="Normal 2 4 5 2 5 2 2 3" xfId="16117" xr:uid="{085A812F-0BFE-4441-86D4-AE4E1796CE5D}"/>
    <cellStyle name="Normal 2 4 5 2 5 2 3" xfId="20340" xr:uid="{F8A9450F-D1E9-40F9-B42E-2A593FD27855}"/>
    <cellStyle name="Normal 2 4 5 2 5 2 4" xfId="11899" xr:uid="{FEF0EF19-F608-47B2-A93B-1798D5F7078F}"/>
    <cellStyle name="Normal 2 4 5 2 5 3" xfId="5522" xr:uid="{00000000-0005-0000-0000-00007A100000}"/>
    <cellStyle name="Normal 2 4 5 2 5 3 2" xfId="22413" xr:uid="{599FBD6C-2C9F-42B4-8A86-E6E1DD434CED}"/>
    <cellStyle name="Normal 2 4 5 2 5 3 3" xfId="13972" xr:uid="{F7ED79BB-251A-4594-88B2-4113C9C4A3CB}"/>
    <cellStyle name="Normal 2 4 5 2 5 4" xfId="18195" xr:uid="{E59C8814-6F2B-47C7-86F3-EBA5B993E964}"/>
    <cellStyle name="Normal 2 4 5 2 5 5" xfId="9754" xr:uid="{0ECA5C20-B1D6-4F25-BCD7-8B28BE58A9CF}"/>
    <cellStyle name="Normal 2 4 5 2 6" xfId="1628" xr:uid="{00000000-0005-0000-0000-00007B100000}"/>
    <cellStyle name="Normal 2 4 5 2 6 2" xfId="3858" xr:uid="{00000000-0005-0000-0000-00007C100000}"/>
    <cellStyle name="Normal 2 4 5 2 6 2 2" xfId="8080" xr:uid="{00000000-0005-0000-0000-00007D100000}"/>
    <cellStyle name="Normal 2 4 5 2 6 2 2 2" xfId="24971" xr:uid="{41E51FBF-C69B-4BF9-9C89-4981E3B93332}"/>
    <cellStyle name="Normal 2 4 5 2 6 2 2 3" xfId="16530" xr:uid="{75738388-7920-461E-BCF7-DE70F7456EC4}"/>
    <cellStyle name="Normal 2 4 5 2 6 2 3" xfId="20753" xr:uid="{E5100F1A-ABAB-4795-B12B-6BA0DFDDB8A7}"/>
    <cellStyle name="Normal 2 4 5 2 6 2 4" xfId="12312" xr:uid="{3392648B-6361-42F5-9B59-ED2D0B62536C}"/>
    <cellStyle name="Normal 2 4 5 2 6 3" xfId="5935" xr:uid="{00000000-0005-0000-0000-00007E100000}"/>
    <cellStyle name="Normal 2 4 5 2 6 3 2" xfId="22826" xr:uid="{39E1039D-7D85-4444-AB5E-4D2CC0ED98FB}"/>
    <cellStyle name="Normal 2 4 5 2 6 3 3" xfId="14385" xr:uid="{22FE8856-D188-478F-B2F7-B65ED0D677FC}"/>
    <cellStyle name="Normal 2 4 5 2 6 4" xfId="18608" xr:uid="{6E484E8E-F34E-4D0D-99EB-7737BE9652C8}"/>
    <cellStyle name="Normal 2 4 5 2 6 5" xfId="10167" xr:uid="{D8F08F25-3AC9-41CD-A6E6-260C6C59A152}"/>
    <cellStyle name="Normal 2 4 5 2 7" xfId="2042" xr:uid="{00000000-0005-0000-0000-00007F100000}"/>
    <cellStyle name="Normal 2 4 5 2 7 2" xfId="4271" xr:uid="{00000000-0005-0000-0000-000080100000}"/>
    <cellStyle name="Normal 2 4 5 2 7 2 2" xfId="8493" xr:uid="{00000000-0005-0000-0000-000081100000}"/>
    <cellStyle name="Normal 2 4 5 2 7 2 2 2" xfId="25384" xr:uid="{80DAB848-68D2-436A-9FEE-773723F10FFD}"/>
    <cellStyle name="Normal 2 4 5 2 7 2 2 3" xfId="16943" xr:uid="{0A06F106-CC8C-42AD-8F71-31CAA5FE8AB9}"/>
    <cellStyle name="Normal 2 4 5 2 7 2 3" xfId="21166" xr:uid="{043CFA47-8F17-4700-BFD0-38D241891E44}"/>
    <cellStyle name="Normal 2 4 5 2 7 2 4" xfId="12725" xr:uid="{3A98EB1A-61F7-49FE-97D1-E45857BD7EB6}"/>
    <cellStyle name="Normal 2 4 5 2 7 3" xfId="6348" xr:uid="{00000000-0005-0000-0000-000082100000}"/>
    <cellStyle name="Normal 2 4 5 2 7 3 2" xfId="23239" xr:uid="{E3C3623B-7902-4BA0-8B5F-26034ADDB14D}"/>
    <cellStyle name="Normal 2 4 5 2 7 3 3" xfId="14798" xr:uid="{8C4AE7B0-11B3-49B4-87DE-9E677DD616C8}"/>
    <cellStyle name="Normal 2 4 5 2 7 4" xfId="19021" xr:uid="{950F5004-B694-4DFF-B7C9-40ECEAE57803}"/>
    <cellStyle name="Normal 2 4 5 2 7 5" xfId="10580" xr:uid="{8B403281-4614-4D0E-8BB9-192934E8F06A}"/>
    <cellStyle name="Normal 2 4 5 2 8" xfId="2478" xr:uid="{00000000-0005-0000-0000-000083100000}"/>
    <cellStyle name="Normal 2 4 5 2 8 2" xfId="6761" xr:uid="{00000000-0005-0000-0000-000084100000}"/>
    <cellStyle name="Normal 2 4 5 2 8 2 2" xfId="23652" xr:uid="{C52D697B-3680-4335-B59F-0FF5EBC86191}"/>
    <cellStyle name="Normal 2 4 5 2 8 2 3" xfId="15211" xr:uid="{234762F3-65ED-4894-A39D-4E758EFEBB7D}"/>
    <cellStyle name="Normal 2 4 5 2 8 3" xfId="19434" xr:uid="{E95675D6-C561-4113-AE37-766FB63EE738}"/>
    <cellStyle name="Normal 2 4 5 2 8 4" xfId="10993" xr:uid="{B1B4C475-D12B-4B38-8B10-DA9538EF71E6}"/>
    <cellStyle name="Normal 2 4 5 2 9" xfId="4695" xr:uid="{00000000-0005-0000-0000-000085100000}"/>
    <cellStyle name="Normal 2 4 5 2 9 2" xfId="21586" xr:uid="{F042C174-0AA4-49B7-99B2-C557EF798322}"/>
    <cellStyle name="Normal 2 4 5 2 9 3" xfId="13145" xr:uid="{BCFA5868-2C13-402C-9B6C-2B020DE5317E}"/>
    <cellStyle name="Normal 2 4 5 3" xfId="308" xr:uid="{00000000-0005-0000-0000-000086100000}"/>
    <cellStyle name="Normal 2 4 5 3 10" xfId="8931" xr:uid="{F55D29F3-3A0C-49E7-BC94-C6BBBD8255E2}"/>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2 2 2" xfId="24150" xr:uid="{CE82B255-ABB2-465B-8F86-300307A7824B}"/>
    <cellStyle name="Normal 2 4 5 3 2 2 2 2 3" xfId="15709" xr:uid="{2E326D75-FD47-4C13-B332-E8832FC71785}"/>
    <cellStyle name="Normal 2 4 5 3 2 2 2 3" xfId="19932" xr:uid="{8BBA9428-720B-4FFA-A27F-BBCC039F61C6}"/>
    <cellStyle name="Normal 2 4 5 3 2 2 2 4" xfId="11491" xr:uid="{8C5F1683-6F36-482D-891D-1DF95B6D994F}"/>
    <cellStyle name="Normal 2 4 5 3 2 2 3" xfId="5114" xr:uid="{00000000-0005-0000-0000-00008B100000}"/>
    <cellStyle name="Normal 2 4 5 3 2 2 3 2" xfId="22005" xr:uid="{04590510-D7CC-4CBB-92DB-C2625A92C84E}"/>
    <cellStyle name="Normal 2 4 5 3 2 2 3 3" xfId="13564" xr:uid="{D93B3F10-1E56-4BB2-A044-393018A44F26}"/>
    <cellStyle name="Normal 2 4 5 3 2 2 4" xfId="17787" xr:uid="{B5242229-9E8F-4EE5-A461-23268191D0C8}"/>
    <cellStyle name="Normal 2 4 5 3 2 2 5" xfId="9346" xr:uid="{CF965E6F-00A5-4F21-B9DE-77F50B5EEA55}"/>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2 2 2" xfId="24563" xr:uid="{7236C1C8-9506-4004-9EBF-918C89CA7E39}"/>
    <cellStyle name="Normal 2 4 5 3 2 3 2 2 3" xfId="16122" xr:uid="{57291E0E-2AE9-49D3-812E-86BACF4C7E1F}"/>
    <cellStyle name="Normal 2 4 5 3 2 3 2 3" xfId="20345" xr:uid="{331858C5-FB2B-4D86-9A2E-049BB5A7ADA8}"/>
    <cellStyle name="Normal 2 4 5 3 2 3 2 4" xfId="11904" xr:uid="{E8EFDFB6-8325-4064-ACBA-19758379B330}"/>
    <cellStyle name="Normal 2 4 5 3 2 3 3" xfId="5527" xr:uid="{00000000-0005-0000-0000-00008F100000}"/>
    <cellStyle name="Normal 2 4 5 3 2 3 3 2" xfId="22418" xr:uid="{2EFDFA2E-994F-47A1-9F50-58477ABABC0C}"/>
    <cellStyle name="Normal 2 4 5 3 2 3 3 3" xfId="13977" xr:uid="{78E82223-BC41-445D-A2AB-92A8A3B855AF}"/>
    <cellStyle name="Normal 2 4 5 3 2 3 4" xfId="18200" xr:uid="{B3FBE605-BB8A-41A9-8CA9-E0772B489677}"/>
    <cellStyle name="Normal 2 4 5 3 2 3 5" xfId="9759" xr:uid="{28DB05A1-50B2-41C6-A2BD-CAE2C8D80F4D}"/>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2 2 2" xfId="24976" xr:uid="{B2CC8482-46FA-45A3-B86D-11752D6273FE}"/>
    <cellStyle name="Normal 2 4 5 3 2 4 2 2 3" xfId="16535" xr:uid="{8C9B4736-6C16-40D5-801F-DF68AC9ABDAE}"/>
    <cellStyle name="Normal 2 4 5 3 2 4 2 3" xfId="20758" xr:uid="{EEC1E8CA-A971-49D3-A2A4-0EF4DD6350EB}"/>
    <cellStyle name="Normal 2 4 5 3 2 4 2 4" xfId="12317" xr:uid="{FE024305-18BF-4C14-9AC8-445F2B6DB925}"/>
    <cellStyle name="Normal 2 4 5 3 2 4 3" xfId="5940" xr:uid="{00000000-0005-0000-0000-000093100000}"/>
    <cellStyle name="Normal 2 4 5 3 2 4 3 2" xfId="22831" xr:uid="{6360E201-E429-4918-BA0F-F9C1A835663E}"/>
    <cellStyle name="Normal 2 4 5 3 2 4 3 3" xfId="14390" xr:uid="{5824E537-56DE-4A8E-BE83-477E38C97ADD}"/>
    <cellStyle name="Normal 2 4 5 3 2 4 4" xfId="18613" xr:uid="{1DD7ADC1-5724-43ED-9E46-B8E05793127A}"/>
    <cellStyle name="Normal 2 4 5 3 2 4 5" xfId="10172" xr:uid="{D5203982-9E59-4313-AA33-0FDF8C337CDF}"/>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2 2 2" xfId="25389" xr:uid="{929AD6E6-3B98-4DE1-BD4D-4FDC277E9ACE}"/>
    <cellStyle name="Normal 2 4 5 3 2 5 2 2 3" xfId="16948" xr:uid="{AE8980B2-7179-4CCC-8D0D-C9FAEF9D2E22}"/>
    <cellStyle name="Normal 2 4 5 3 2 5 2 3" xfId="21171" xr:uid="{5F373386-BB61-42AC-AF78-6867F91A8448}"/>
    <cellStyle name="Normal 2 4 5 3 2 5 2 4" xfId="12730" xr:uid="{488C2A1B-5BB5-4A03-8992-0EF624C2D245}"/>
    <cellStyle name="Normal 2 4 5 3 2 5 3" xfId="6353" xr:uid="{00000000-0005-0000-0000-000097100000}"/>
    <cellStyle name="Normal 2 4 5 3 2 5 3 2" xfId="23244" xr:uid="{F1A062CE-7E51-4C4C-AA97-79C2873C88B0}"/>
    <cellStyle name="Normal 2 4 5 3 2 5 3 3" xfId="14803" xr:uid="{642E97EF-EA07-44E0-B06F-D5811CD78587}"/>
    <cellStyle name="Normal 2 4 5 3 2 5 4" xfId="19026" xr:uid="{69748E1E-632C-4FAD-BA62-B48A16DAB460}"/>
    <cellStyle name="Normal 2 4 5 3 2 5 5" xfId="10585" xr:uid="{FC4EC191-7A92-4034-9ADD-B4569CF3E60C}"/>
    <cellStyle name="Normal 2 4 5 3 2 6" xfId="2483" xr:uid="{00000000-0005-0000-0000-000098100000}"/>
    <cellStyle name="Normal 2 4 5 3 2 6 2" xfId="6766" xr:uid="{00000000-0005-0000-0000-000099100000}"/>
    <cellStyle name="Normal 2 4 5 3 2 6 2 2" xfId="23657" xr:uid="{918EACF9-011B-4D3D-8B9D-170861D045B1}"/>
    <cellStyle name="Normal 2 4 5 3 2 6 2 3" xfId="15216" xr:uid="{DA7C04B4-72DE-4F55-B195-DC69DEDCFA3F}"/>
    <cellStyle name="Normal 2 4 5 3 2 6 3" xfId="19439" xr:uid="{6FE9BE88-CED0-4C32-9C7A-F018ABEFD748}"/>
    <cellStyle name="Normal 2 4 5 3 2 6 4" xfId="10998" xr:uid="{D4D49730-BB73-46A8-AC86-52FE01A7CF09}"/>
    <cellStyle name="Normal 2 4 5 3 2 7" xfId="4700" xr:uid="{00000000-0005-0000-0000-00009A100000}"/>
    <cellStyle name="Normal 2 4 5 3 2 7 2" xfId="21591" xr:uid="{1D64B6C1-A9E9-42E7-8E63-49C3A0E8781D}"/>
    <cellStyle name="Normal 2 4 5 3 2 7 3" xfId="13150" xr:uid="{0B7F91E1-252A-4657-AFDF-BF652CEC8F77}"/>
    <cellStyle name="Normal 2 4 5 3 2 8" xfId="17373" xr:uid="{17211197-4949-4DCC-8183-62ECC6CB22B9}"/>
    <cellStyle name="Normal 2 4 5 3 2 9" xfId="8932" xr:uid="{A7CDFAFD-EF8F-4040-A6FC-4211C6C83D47}"/>
    <cellStyle name="Normal 2 4 5 3 3" xfId="797" xr:uid="{00000000-0005-0000-0000-00009B100000}"/>
    <cellStyle name="Normal 2 4 5 3 3 2" xfId="3036" xr:uid="{00000000-0005-0000-0000-00009C100000}"/>
    <cellStyle name="Normal 2 4 5 3 3 2 2" xfId="7258" xr:uid="{00000000-0005-0000-0000-00009D100000}"/>
    <cellStyle name="Normal 2 4 5 3 3 2 2 2" xfId="24149" xr:uid="{B9115AF1-DDC2-4A23-ACCE-790C754CCB64}"/>
    <cellStyle name="Normal 2 4 5 3 3 2 2 3" xfId="15708" xr:uid="{A94DC758-982B-4E34-986D-DCF6D6EC32D1}"/>
    <cellStyle name="Normal 2 4 5 3 3 2 3" xfId="19931" xr:uid="{566B08E0-CC94-49D8-8AB5-1C9B4DA00F6E}"/>
    <cellStyle name="Normal 2 4 5 3 3 2 4" xfId="11490" xr:uid="{D259CAA4-F104-435F-AB66-B3B57323278B}"/>
    <cellStyle name="Normal 2 4 5 3 3 3" xfId="5113" xr:uid="{00000000-0005-0000-0000-00009E100000}"/>
    <cellStyle name="Normal 2 4 5 3 3 3 2" xfId="22004" xr:uid="{F4AB6ED6-4FF5-49AF-A641-9663C53CBF3E}"/>
    <cellStyle name="Normal 2 4 5 3 3 3 3" xfId="13563" xr:uid="{F151E9B5-9CAC-4BC4-BCE2-E91730FE7E7B}"/>
    <cellStyle name="Normal 2 4 5 3 3 4" xfId="17786" xr:uid="{17C62A38-94CF-4155-8D74-9EA1219F2904}"/>
    <cellStyle name="Normal 2 4 5 3 3 5" xfId="9345" xr:uid="{5B5C6714-99A6-4EFC-82D1-09CAE693F5EC}"/>
    <cellStyle name="Normal 2 4 5 3 4" xfId="1219" xr:uid="{00000000-0005-0000-0000-00009F100000}"/>
    <cellStyle name="Normal 2 4 5 3 4 2" xfId="3449" xr:uid="{00000000-0005-0000-0000-0000A0100000}"/>
    <cellStyle name="Normal 2 4 5 3 4 2 2" xfId="7671" xr:uid="{00000000-0005-0000-0000-0000A1100000}"/>
    <cellStyle name="Normal 2 4 5 3 4 2 2 2" xfId="24562" xr:uid="{F4BED37C-EA7E-4D53-920D-EBF108B1E048}"/>
    <cellStyle name="Normal 2 4 5 3 4 2 2 3" xfId="16121" xr:uid="{42614654-2083-48C7-8F7F-65A38EB66CFC}"/>
    <cellStyle name="Normal 2 4 5 3 4 2 3" xfId="20344" xr:uid="{23AF82EE-559B-4DE8-BFB5-8F874DA71B3A}"/>
    <cellStyle name="Normal 2 4 5 3 4 2 4" xfId="11903" xr:uid="{7369780A-63AD-4A3B-B044-8C36B7A53887}"/>
    <cellStyle name="Normal 2 4 5 3 4 3" xfId="5526" xr:uid="{00000000-0005-0000-0000-0000A2100000}"/>
    <cellStyle name="Normal 2 4 5 3 4 3 2" xfId="22417" xr:uid="{F3D6F1B5-BB26-49C7-B1EA-FE07051CEF72}"/>
    <cellStyle name="Normal 2 4 5 3 4 3 3" xfId="13976" xr:uid="{5D83A790-6239-40A9-AFAA-07311CF132BB}"/>
    <cellStyle name="Normal 2 4 5 3 4 4" xfId="18199" xr:uid="{EC71C670-4092-46E7-BB04-90C7F99F9531}"/>
    <cellStyle name="Normal 2 4 5 3 4 5" xfId="9758" xr:uid="{AB38DE14-8FE7-42CC-9F75-FE039281A65B}"/>
    <cellStyle name="Normal 2 4 5 3 5" xfId="1632" xr:uid="{00000000-0005-0000-0000-0000A3100000}"/>
    <cellStyle name="Normal 2 4 5 3 5 2" xfId="3862" xr:uid="{00000000-0005-0000-0000-0000A4100000}"/>
    <cellStyle name="Normal 2 4 5 3 5 2 2" xfId="8084" xr:uid="{00000000-0005-0000-0000-0000A5100000}"/>
    <cellStyle name="Normal 2 4 5 3 5 2 2 2" xfId="24975" xr:uid="{66290F43-7FF9-4487-A10F-EC04ADE82D5D}"/>
    <cellStyle name="Normal 2 4 5 3 5 2 2 3" xfId="16534" xr:uid="{9F42ECFD-86BF-4AC1-91B1-9DAF732BB024}"/>
    <cellStyle name="Normal 2 4 5 3 5 2 3" xfId="20757" xr:uid="{B1A5CA96-04EC-46F0-BF1E-EAA7FAF9A2D3}"/>
    <cellStyle name="Normal 2 4 5 3 5 2 4" xfId="12316" xr:uid="{363AF7D3-B143-4998-A6CC-9C348579D49D}"/>
    <cellStyle name="Normal 2 4 5 3 5 3" xfId="5939" xr:uid="{00000000-0005-0000-0000-0000A6100000}"/>
    <cellStyle name="Normal 2 4 5 3 5 3 2" xfId="22830" xr:uid="{589F48F3-F0A9-4D97-8BCC-1793825073D3}"/>
    <cellStyle name="Normal 2 4 5 3 5 3 3" xfId="14389" xr:uid="{6F0FB79C-1659-4586-864F-4ED33E673761}"/>
    <cellStyle name="Normal 2 4 5 3 5 4" xfId="18612" xr:uid="{54654FEF-8DB6-45EB-AD5A-DE016FED4764}"/>
    <cellStyle name="Normal 2 4 5 3 5 5" xfId="10171" xr:uid="{A12841E7-168B-495F-9C51-4BF2D9B3DAB1}"/>
    <cellStyle name="Normal 2 4 5 3 6" xfId="2046" xr:uid="{00000000-0005-0000-0000-0000A7100000}"/>
    <cellStyle name="Normal 2 4 5 3 6 2" xfId="4275" xr:uid="{00000000-0005-0000-0000-0000A8100000}"/>
    <cellStyle name="Normal 2 4 5 3 6 2 2" xfId="8497" xr:uid="{00000000-0005-0000-0000-0000A9100000}"/>
    <cellStyle name="Normal 2 4 5 3 6 2 2 2" xfId="25388" xr:uid="{575BFAA7-EB41-459E-B62B-EB204CF4F020}"/>
    <cellStyle name="Normal 2 4 5 3 6 2 2 3" xfId="16947" xr:uid="{40CC87CD-EAD1-4FB0-992B-98C1FCF04636}"/>
    <cellStyle name="Normal 2 4 5 3 6 2 3" xfId="21170" xr:uid="{34ED6F73-62BF-42A4-BD6B-59E5E7F69301}"/>
    <cellStyle name="Normal 2 4 5 3 6 2 4" xfId="12729" xr:uid="{399711FF-E4C4-457C-ACB9-ECDB0C71AD97}"/>
    <cellStyle name="Normal 2 4 5 3 6 3" xfId="6352" xr:uid="{00000000-0005-0000-0000-0000AA100000}"/>
    <cellStyle name="Normal 2 4 5 3 6 3 2" xfId="23243" xr:uid="{72C557C3-08DF-4CD3-801F-0222C423116C}"/>
    <cellStyle name="Normal 2 4 5 3 6 3 3" xfId="14802" xr:uid="{485D17CE-D6B3-45C3-9DCC-61F310A70D31}"/>
    <cellStyle name="Normal 2 4 5 3 6 4" xfId="19025" xr:uid="{EC211D68-4E79-4680-93DB-B82A92DCB0E3}"/>
    <cellStyle name="Normal 2 4 5 3 6 5" xfId="10584" xr:uid="{6074DC99-D998-4329-B5AA-8FC2B425B195}"/>
    <cellStyle name="Normal 2 4 5 3 7" xfId="2482" xr:uid="{00000000-0005-0000-0000-0000AB100000}"/>
    <cellStyle name="Normal 2 4 5 3 7 2" xfId="6765" xr:uid="{00000000-0005-0000-0000-0000AC100000}"/>
    <cellStyle name="Normal 2 4 5 3 7 2 2" xfId="23656" xr:uid="{9E0E8340-5E05-4697-9BC7-8D120A32ECE7}"/>
    <cellStyle name="Normal 2 4 5 3 7 2 3" xfId="15215" xr:uid="{5A3A4A74-1645-4034-BD61-A14A5E9838D6}"/>
    <cellStyle name="Normal 2 4 5 3 7 3" xfId="19438" xr:uid="{B59A1040-F5B8-4EE8-9367-327CD0993850}"/>
    <cellStyle name="Normal 2 4 5 3 7 4" xfId="10997" xr:uid="{C7A9EE6A-92B8-4201-A910-3858F149D7E5}"/>
    <cellStyle name="Normal 2 4 5 3 8" xfId="4699" xr:uid="{00000000-0005-0000-0000-0000AD100000}"/>
    <cellStyle name="Normal 2 4 5 3 8 2" xfId="21590" xr:uid="{9D197F95-63D4-4B7F-B164-9F960AE753EE}"/>
    <cellStyle name="Normal 2 4 5 3 8 3" xfId="13149" xr:uid="{F06672E8-28D7-42C6-9A45-AC7E22BBFD54}"/>
    <cellStyle name="Normal 2 4 5 3 9" xfId="17372" xr:uid="{F255622F-E387-4FC5-AD85-BA5C09D3BE47}"/>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2 2 2" xfId="24151" xr:uid="{950A7DC9-DC0A-4791-A49B-F22FD14C9BF3}"/>
    <cellStyle name="Normal 2 4 5 4 2 2 2 3" xfId="15710" xr:uid="{20B26C1A-5873-4B1C-8F26-3BD22E721A2C}"/>
    <cellStyle name="Normal 2 4 5 4 2 2 3" xfId="19933" xr:uid="{CADCE4EC-B914-4228-833A-CA4810492ADB}"/>
    <cellStyle name="Normal 2 4 5 4 2 2 4" xfId="11492" xr:uid="{C72BFEB3-D7D0-4484-AD62-EEDC7FFCF372}"/>
    <cellStyle name="Normal 2 4 5 4 2 3" xfId="5115" xr:uid="{00000000-0005-0000-0000-0000B2100000}"/>
    <cellStyle name="Normal 2 4 5 4 2 3 2" xfId="22006" xr:uid="{4CBA8671-7FBF-4B24-AB53-72ED7AD4C712}"/>
    <cellStyle name="Normal 2 4 5 4 2 3 3" xfId="13565" xr:uid="{7043417E-4421-4610-A6F1-18C1F2B0991F}"/>
    <cellStyle name="Normal 2 4 5 4 2 4" xfId="17788" xr:uid="{F6805486-E1C6-4407-990E-A9CAEE18C4D3}"/>
    <cellStyle name="Normal 2 4 5 4 2 5" xfId="9347" xr:uid="{585DC26C-AA08-4C59-9851-97A95AF13DE2}"/>
    <cellStyle name="Normal 2 4 5 4 3" xfId="1221" xr:uid="{00000000-0005-0000-0000-0000B3100000}"/>
    <cellStyle name="Normal 2 4 5 4 3 2" xfId="3451" xr:uid="{00000000-0005-0000-0000-0000B4100000}"/>
    <cellStyle name="Normal 2 4 5 4 3 2 2" xfId="7673" xr:uid="{00000000-0005-0000-0000-0000B5100000}"/>
    <cellStyle name="Normal 2 4 5 4 3 2 2 2" xfId="24564" xr:uid="{C80C1F7D-9B70-4899-978E-A82C2C933CD2}"/>
    <cellStyle name="Normal 2 4 5 4 3 2 2 3" xfId="16123" xr:uid="{D1C233A0-4DDE-4DC8-B6D4-160E7A8F8420}"/>
    <cellStyle name="Normal 2 4 5 4 3 2 3" xfId="20346" xr:uid="{A65CAC65-73B3-4EF7-ADE8-4C968CF21EC8}"/>
    <cellStyle name="Normal 2 4 5 4 3 2 4" xfId="11905" xr:uid="{0D1DA1BC-ABC1-49DB-BDF2-102970B72F8A}"/>
    <cellStyle name="Normal 2 4 5 4 3 3" xfId="5528" xr:uid="{00000000-0005-0000-0000-0000B6100000}"/>
    <cellStyle name="Normal 2 4 5 4 3 3 2" xfId="22419" xr:uid="{4F0BFE77-A007-426F-8DDA-25A80115FFFF}"/>
    <cellStyle name="Normal 2 4 5 4 3 3 3" xfId="13978" xr:uid="{5D204425-3295-452A-B308-AE8C0C0246FB}"/>
    <cellStyle name="Normal 2 4 5 4 3 4" xfId="18201" xr:uid="{D123AEF4-02FA-4EEB-836E-CB65023227FF}"/>
    <cellStyle name="Normal 2 4 5 4 3 5" xfId="9760" xr:uid="{387C71E9-55FB-4584-89DF-C02EDF62FFA3}"/>
    <cellStyle name="Normal 2 4 5 4 4" xfId="1634" xr:uid="{00000000-0005-0000-0000-0000B7100000}"/>
    <cellStyle name="Normal 2 4 5 4 4 2" xfId="3864" xr:uid="{00000000-0005-0000-0000-0000B8100000}"/>
    <cellStyle name="Normal 2 4 5 4 4 2 2" xfId="8086" xr:uid="{00000000-0005-0000-0000-0000B9100000}"/>
    <cellStyle name="Normal 2 4 5 4 4 2 2 2" xfId="24977" xr:uid="{A65B7696-5E00-4497-B5F6-90B4436C89A0}"/>
    <cellStyle name="Normal 2 4 5 4 4 2 2 3" xfId="16536" xr:uid="{9BBD251A-235E-4A6A-95B9-39E17CEB49A7}"/>
    <cellStyle name="Normal 2 4 5 4 4 2 3" xfId="20759" xr:uid="{D0662ED5-1022-46FA-B89F-C342BB5F5DC2}"/>
    <cellStyle name="Normal 2 4 5 4 4 2 4" xfId="12318" xr:uid="{3E8FA649-7B89-4D8A-A484-BB7134DF37AF}"/>
    <cellStyle name="Normal 2 4 5 4 4 3" xfId="5941" xr:uid="{00000000-0005-0000-0000-0000BA100000}"/>
    <cellStyle name="Normal 2 4 5 4 4 3 2" xfId="22832" xr:uid="{76811470-71D3-410E-BBE2-120977E5FDF8}"/>
    <cellStyle name="Normal 2 4 5 4 4 3 3" xfId="14391" xr:uid="{BCA064E8-D31E-4113-BDF2-B66A4479E554}"/>
    <cellStyle name="Normal 2 4 5 4 4 4" xfId="18614" xr:uid="{AACDA39D-E2DC-4CEB-AE45-6BDC9D9C5CFE}"/>
    <cellStyle name="Normal 2 4 5 4 4 5" xfId="10173" xr:uid="{E2C2FFE1-B949-4637-8463-BC9EB19BF4D6}"/>
    <cellStyle name="Normal 2 4 5 4 5" xfId="2048" xr:uid="{00000000-0005-0000-0000-0000BB100000}"/>
    <cellStyle name="Normal 2 4 5 4 5 2" xfId="4277" xr:uid="{00000000-0005-0000-0000-0000BC100000}"/>
    <cellStyle name="Normal 2 4 5 4 5 2 2" xfId="8499" xr:uid="{00000000-0005-0000-0000-0000BD100000}"/>
    <cellStyle name="Normal 2 4 5 4 5 2 2 2" xfId="25390" xr:uid="{CC938EC3-BE14-4E83-8B6F-2207C04248CA}"/>
    <cellStyle name="Normal 2 4 5 4 5 2 2 3" xfId="16949" xr:uid="{BF6816A1-4C09-415A-A4B9-80D00F30B8F4}"/>
    <cellStyle name="Normal 2 4 5 4 5 2 3" xfId="21172" xr:uid="{C8A4B092-C81F-4BDC-9C40-5D233E9F782E}"/>
    <cellStyle name="Normal 2 4 5 4 5 2 4" xfId="12731" xr:uid="{349C3DF5-26AF-4515-9875-A7E3218BBEF0}"/>
    <cellStyle name="Normal 2 4 5 4 5 3" xfId="6354" xr:uid="{00000000-0005-0000-0000-0000BE100000}"/>
    <cellStyle name="Normal 2 4 5 4 5 3 2" xfId="23245" xr:uid="{348F286A-F741-41D9-BAEA-29F25A5710E2}"/>
    <cellStyle name="Normal 2 4 5 4 5 3 3" xfId="14804" xr:uid="{EC0FEF73-5D00-4FA4-B62A-7A7120BA6EDA}"/>
    <cellStyle name="Normal 2 4 5 4 5 4" xfId="19027" xr:uid="{3468EE17-DF30-4786-B877-B3FDD3B22FE7}"/>
    <cellStyle name="Normal 2 4 5 4 5 5" xfId="10586" xr:uid="{64EC6364-E77E-4CCC-AB6C-DC45E3601837}"/>
    <cellStyle name="Normal 2 4 5 4 6" xfId="2484" xr:uid="{00000000-0005-0000-0000-0000BF100000}"/>
    <cellStyle name="Normal 2 4 5 4 6 2" xfId="6767" xr:uid="{00000000-0005-0000-0000-0000C0100000}"/>
    <cellStyle name="Normal 2 4 5 4 6 2 2" xfId="23658" xr:uid="{06AF629A-622A-4B4A-B46A-67E6BE6DB175}"/>
    <cellStyle name="Normal 2 4 5 4 6 2 3" xfId="15217" xr:uid="{82BBE70C-A03B-47E3-99D7-F430362033DA}"/>
    <cellStyle name="Normal 2 4 5 4 6 3" xfId="19440" xr:uid="{63BAEA29-51FE-4795-9FAF-E643729DB3AD}"/>
    <cellStyle name="Normal 2 4 5 4 6 4" xfId="10999" xr:uid="{D65953CE-8862-453E-A5DA-2FF2255E8D91}"/>
    <cellStyle name="Normal 2 4 5 4 7" xfId="4701" xr:uid="{00000000-0005-0000-0000-0000C1100000}"/>
    <cellStyle name="Normal 2 4 5 4 7 2" xfId="21592" xr:uid="{134502A8-F1B7-4722-B799-FE130FBEA0E9}"/>
    <cellStyle name="Normal 2 4 5 4 7 3" xfId="13151" xr:uid="{20CD9D2A-604A-4B57-A02B-01F805AC4862}"/>
    <cellStyle name="Normal 2 4 5 4 8" xfId="17374" xr:uid="{2F142DD5-1B67-4B8E-BA83-DF55AA304673}"/>
    <cellStyle name="Normal 2 4 5 4 9" xfId="8933" xr:uid="{F9C634AA-1550-4ED4-AB3D-20137CA5624F}"/>
    <cellStyle name="Normal 2 4 5 5" xfId="792" xr:uid="{00000000-0005-0000-0000-0000C2100000}"/>
    <cellStyle name="Normal 2 4 5 5 2" xfId="3031" xr:uid="{00000000-0005-0000-0000-0000C3100000}"/>
    <cellStyle name="Normal 2 4 5 5 2 2" xfId="7253" xr:uid="{00000000-0005-0000-0000-0000C4100000}"/>
    <cellStyle name="Normal 2 4 5 5 2 2 2" xfId="24144" xr:uid="{1FFABD6F-3FDF-4B73-9EC1-E79852749350}"/>
    <cellStyle name="Normal 2 4 5 5 2 2 3" xfId="15703" xr:uid="{4BDB0C50-5493-44D4-9D80-EC53D2A8ECFB}"/>
    <cellStyle name="Normal 2 4 5 5 2 3" xfId="19926" xr:uid="{7DD44EA6-A6E7-4FB9-B89C-3A658D6561A6}"/>
    <cellStyle name="Normal 2 4 5 5 2 4" xfId="11485" xr:uid="{3704C5B3-43FE-40B8-89CE-3AAAF04EC408}"/>
    <cellStyle name="Normal 2 4 5 5 3" xfId="5108" xr:uid="{00000000-0005-0000-0000-0000C5100000}"/>
    <cellStyle name="Normal 2 4 5 5 3 2" xfId="21999" xr:uid="{E61EE7B8-2F8E-43F1-AAB4-E9B851EEBF8E}"/>
    <cellStyle name="Normal 2 4 5 5 3 3" xfId="13558" xr:uid="{D3C4080F-7212-403F-9848-9F40D19F455C}"/>
    <cellStyle name="Normal 2 4 5 5 4" xfId="17781" xr:uid="{31B74F2E-97ED-4F9C-B549-E4D06B5C31A1}"/>
    <cellStyle name="Normal 2 4 5 5 5" xfId="9340" xr:uid="{24C4EEAA-B30D-4662-97D2-5855277612B8}"/>
    <cellStyle name="Normal 2 4 5 6" xfId="1214" xr:uid="{00000000-0005-0000-0000-0000C6100000}"/>
    <cellStyle name="Normal 2 4 5 6 2" xfId="3444" xr:uid="{00000000-0005-0000-0000-0000C7100000}"/>
    <cellStyle name="Normal 2 4 5 6 2 2" xfId="7666" xr:uid="{00000000-0005-0000-0000-0000C8100000}"/>
    <cellStyle name="Normal 2 4 5 6 2 2 2" xfId="24557" xr:uid="{54A53886-3674-4BAF-8789-88B28EBCC2D8}"/>
    <cellStyle name="Normal 2 4 5 6 2 2 3" xfId="16116" xr:uid="{7A87F23D-0170-4A9E-B1A9-59AB293AC04D}"/>
    <cellStyle name="Normal 2 4 5 6 2 3" xfId="20339" xr:uid="{32DBE1F4-99C9-4D88-9693-67156D3B76B7}"/>
    <cellStyle name="Normal 2 4 5 6 2 4" xfId="11898" xr:uid="{AE65339A-3DCB-4613-820D-50C3459799BB}"/>
    <cellStyle name="Normal 2 4 5 6 3" xfId="5521" xr:uid="{00000000-0005-0000-0000-0000C9100000}"/>
    <cellStyle name="Normal 2 4 5 6 3 2" xfId="22412" xr:uid="{75E503E1-F6FF-4B90-B5FB-9B81E57F6EED}"/>
    <cellStyle name="Normal 2 4 5 6 3 3" xfId="13971" xr:uid="{56F75154-3A59-427D-9929-1E9BEF4B976F}"/>
    <cellStyle name="Normal 2 4 5 6 4" xfId="18194" xr:uid="{C2077FFA-932E-4358-ABA3-6F3D786715E2}"/>
    <cellStyle name="Normal 2 4 5 6 5" xfId="9753" xr:uid="{D0CB4038-0D1C-4B5D-B878-3A2211C0144A}"/>
    <cellStyle name="Normal 2 4 5 7" xfId="1627" xr:uid="{00000000-0005-0000-0000-0000CA100000}"/>
    <cellStyle name="Normal 2 4 5 7 2" xfId="3857" xr:uid="{00000000-0005-0000-0000-0000CB100000}"/>
    <cellStyle name="Normal 2 4 5 7 2 2" xfId="8079" xr:uid="{00000000-0005-0000-0000-0000CC100000}"/>
    <cellStyle name="Normal 2 4 5 7 2 2 2" xfId="24970" xr:uid="{8D33ED8F-9A1E-498D-85C3-88182ABB7BAC}"/>
    <cellStyle name="Normal 2 4 5 7 2 2 3" xfId="16529" xr:uid="{785A89EF-3334-418A-A25F-97D02939F0C7}"/>
    <cellStyle name="Normal 2 4 5 7 2 3" xfId="20752" xr:uid="{36D753EA-3F60-47EF-B3EB-F69BC981E989}"/>
    <cellStyle name="Normal 2 4 5 7 2 4" xfId="12311" xr:uid="{E2C1C4C2-CEB7-423F-B970-0848CC258501}"/>
    <cellStyle name="Normal 2 4 5 7 3" xfId="5934" xr:uid="{00000000-0005-0000-0000-0000CD100000}"/>
    <cellStyle name="Normal 2 4 5 7 3 2" xfId="22825" xr:uid="{AA59DC1E-01B9-4D5A-9E8C-4733E95DA957}"/>
    <cellStyle name="Normal 2 4 5 7 3 3" xfId="14384" xr:uid="{8705E86F-8B1E-44D1-952B-1C12CE4FDA18}"/>
    <cellStyle name="Normal 2 4 5 7 4" xfId="18607" xr:uid="{0FD7DD06-82CC-43F3-A129-347C5842E0B1}"/>
    <cellStyle name="Normal 2 4 5 7 5" xfId="10166" xr:uid="{72201456-DACB-4967-9F55-292858DC9F4E}"/>
    <cellStyle name="Normal 2 4 5 8" xfId="2041" xr:uid="{00000000-0005-0000-0000-0000CE100000}"/>
    <cellStyle name="Normal 2 4 5 8 2" xfId="4270" xr:uid="{00000000-0005-0000-0000-0000CF100000}"/>
    <cellStyle name="Normal 2 4 5 8 2 2" xfId="8492" xr:uid="{00000000-0005-0000-0000-0000D0100000}"/>
    <cellStyle name="Normal 2 4 5 8 2 2 2" xfId="25383" xr:uid="{2BE8BD02-EFBD-4798-80C1-DEF184AD738C}"/>
    <cellStyle name="Normal 2 4 5 8 2 2 3" xfId="16942" xr:uid="{55E3001D-5252-406B-BF11-2161E7CA1208}"/>
    <cellStyle name="Normal 2 4 5 8 2 3" xfId="21165" xr:uid="{D01132B6-1720-4539-8116-EAF6325057B6}"/>
    <cellStyle name="Normal 2 4 5 8 2 4" xfId="12724" xr:uid="{F4B05542-E463-4854-A004-43AD371E6211}"/>
    <cellStyle name="Normal 2 4 5 8 3" xfId="6347" xr:uid="{00000000-0005-0000-0000-0000D1100000}"/>
    <cellStyle name="Normal 2 4 5 8 3 2" xfId="23238" xr:uid="{3B79878C-799B-4693-A278-631FEB407770}"/>
    <cellStyle name="Normal 2 4 5 8 3 3" xfId="14797" xr:uid="{587A22A9-3E6C-42EC-9DDE-F680BAFBFF1F}"/>
    <cellStyle name="Normal 2 4 5 8 4" xfId="19020" xr:uid="{6D8EA231-A05B-42CB-A513-D5AD4570A40B}"/>
    <cellStyle name="Normal 2 4 5 8 5" xfId="10579" xr:uid="{5C47B409-A9BB-4E04-8C1C-E26734FB6190}"/>
    <cellStyle name="Normal 2 4 5 9" xfId="2477" xr:uid="{00000000-0005-0000-0000-0000D2100000}"/>
    <cellStyle name="Normal 2 4 5 9 2" xfId="6760" xr:uid="{00000000-0005-0000-0000-0000D3100000}"/>
    <cellStyle name="Normal 2 4 5 9 2 2" xfId="23651" xr:uid="{8FD791DC-E928-4A08-96CF-2A1AA6137657}"/>
    <cellStyle name="Normal 2 4 5 9 2 3" xfId="15210" xr:uid="{29D9C7E3-B6A2-4C3E-8EF3-68736BFF5515}"/>
    <cellStyle name="Normal 2 4 5 9 3" xfId="19433" xr:uid="{4B70FC74-7B4D-4B8F-825B-93C478AF7B62}"/>
    <cellStyle name="Normal 2 4 5 9 4" xfId="10992" xr:uid="{47F239CB-6181-42C9-8499-95BF28C3AB18}"/>
    <cellStyle name="Normal 2 4 6" xfId="311" xr:uid="{00000000-0005-0000-0000-0000D4100000}"/>
    <cellStyle name="Normal 2 4 7" xfId="312" xr:uid="{00000000-0005-0000-0000-0000D5100000}"/>
    <cellStyle name="Normal 2 4 7 10" xfId="8934" xr:uid="{A3536DE2-175B-4338-95EB-AA7FEAAB6323}"/>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2 2 2" xfId="24153" xr:uid="{756E8BC1-727D-446A-B414-56F6E9330A83}"/>
    <cellStyle name="Normal 2 4 7 2 2 2 2 3" xfId="15712" xr:uid="{993F5311-7F16-4AC8-9EC4-D5487688953F}"/>
    <cellStyle name="Normal 2 4 7 2 2 2 3" xfId="19935" xr:uid="{3E9E5509-C42B-4BB2-92DE-9A5D05D86B15}"/>
    <cellStyle name="Normal 2 4 7 2 2 2 4" xfId="11494" xr:uid="{01A8F1DE-B151-488A-9637-1CE5F677E488}"/>
    <cellStyle name="Normal 2 4 7 2 2 3" xfId="5117" xr:uid="{00000000-0005-0000-0000-0000DA100000}"/>
    <cellStyle name="Normal 2 4 7 2 2 3 2" xfId="22008" xr:uid="{FB7ED2BD-5935-4250-B614-C23E259C825A}"/>
    <cellStyle name="Normal 2 4 7 2 2 3 3" xfId="13567" xr:uid="{99B27C09-0467-43DF-8A9C-E77DED963475}"/>
    <cellStyle name="Normal 2 4 7 2 2 4" xfId="17790" xr:uid="{AC108136-458B-45E4-96F3-D65FC9CF64F1}"/>
    <cellStyle name="Normal 2 4 7 2 2 5" xfId="9349" xr:uid="{482FA9D9-2566-4774-8A79-ACE7AFB04EF2}"/>
    <cellStyle name="Normal 2 4 7 2 3" xfId="1223" xr:uid="{00000000-0005-0000-0000-0000DB100000}"/>
    <cellStyle name="Normal 2 4 7 2 3 2" xfId="3453" xr:uid="{00000000-0005-0000-0000-0000DC100000}"/>
    <cellStyle name="Normal 2 4 7 2 3 2 2" xfId="7675" xr:uid="{00000000-0005-0000-0000-0000DD100000}"/>
    <cellStyle name="Normal 2 4 7 2 3 2 2 2" xfId="24566" xr:uid="{7D6DEDA4-7FCB-4278-A0E0-00490B71729A}"/>
    <cellStyle name="Normal 2 4 7 2 3 2 2 3" xfId="16125" xr:uid="{9E9B0DD7-1D6B-479E-BE5C-1ADEB1C1714F}"/>
    <cellStyle name="Normal 2 4 7 2 3 2 3" xfId="20348" xr:uid="{63BFF5DA-3E54-426A-98A6-C8BB06732A44}"/>
    <cellStyle name="Normal 2 4 7 2 3 2 4" xfId="11907" xr:uid="{A1CD279D-F9FA-4E37-9610-6FE1F2087707}"/>
    <cellStyle name="Normal 2 4 7 2 3 3" xfId="5530" xr:uid="{00000000-0005-0000-0000-0000DE100000}"/>
    <cellStyle name="Normal 2 4 7 2 3 3 2" xfId="22421" xr:uid="{4D53135B-15B9-49B8-87CB-BABDE1350FBE}"/>
    <cellStyle name="Normal 2 4 7 2 3 3 3" xfId="13980" xr:uid="{019627A6-DF4F-43CA-BD35-152976EC80F6}"/>
    <cellStyle name="Normal 2 4 7 2 3 4" xfId="18203" xr:uid="{D5DA2462-748F-4198-A3A2-37C31A8098C0}"/>
    <cellStyle name="Normal 2 4 7 2 3 5" xfId="9762" xr:uid="{246823C2-6653-419B-BE75-EE8E14CC0370}"/>
    <cellStyle name="Normal 2 4 7 2 4" xfId="1636" xr:uid="{00000000-0005-0000-0000-0000DF100000}"/>
    <cellStyle name="Normal 2 4 7 2 4 2" xfId="3866" xr:uid="{00000000-0005-0000-0000-0000E0100000}"/>
    <cellStyle name="Normal 2 4 7 2 4 2 2" xfId="8088" xr:uid="{00000000-0005-0000-0000-0000E1100000}"/>
    <cellStyle name="Normal 2 4 7 2 4 2 2 2" xfId="24979" xr:uid="{50C6A6FA-21AE-4B39-B9F5-506A9F49B516}"/>
    <cellStyle name="Normal 2 4 7 2 4 2 2 3" xfId="16538" xr:uid="{818AA1EF-D2AE-4C0B-8AE4-7505D07DC04F}"/>
    <cellStyle name="Normal 2 4 7 2 4 2 3" xfId="20761" xr:uid="{C5BCBD73-C915-4453-A783-C474F64211B3}"/>
    <cellStyle name="Normal 2 4 7 2 4 2 4" xfId="12320" xr:uid="{CC11A074-FB74-45FD-A2C4-8184B9F3F8C7}"/>
    <cellStyle name="Normal 2 4 7 2 4 3" xfId="5943" xr:uid="{00000000-0005-0000-0000-0000E2100000}"/>
    <cellStyle name="Normal 2 4 7 2 4 3 2" xfId="22834" xr:uid="{888ED0C2-BEDD-4260-89F3-86163E8F0B19}"/>
    <cellStyle name="Normal 2 4 7 2 4 3 3" xfId="14393" xr:uid="{E44F9F98-3C87-45A0-8E77-743D3CD05A03}"/>
    <cellStyle name="Normal 2 4 7 2 4 4" xfId="18616" xr:uid="{300E2B3C-E67F-4475-90A8-D54375B5B399}"/>
    <cellStyle name="Normal 2 4 7 2 4 5" xfId="10175" xr:uid="{00B6D8BF-4DBF-40E9-9E54-3AD7588627E5}"/>
    <cellStyle name="Normal 2 4 7 2 5" xfId="2050" xr:uid="{00000000-0005-0000-0000-0000E3100000}"/>
    <cellStyle name="Normal 2 4 7 2 5 2" xfId="4279" xr:uid="{00000000-0005-0000-0000-0000E4100000}"/>
    <cellStyle name="Normal 2 4 7 2 5 2 2" xfId="8501" xr:uid="{00000000-0005-0000-0000-0000E5100000}"/>
    <cellStyle name="Normal 2 4 7 2 5 2 2 2" xfId="25392" xr:uid="{E02D3A05-C3E3-4F40-905F-35F12E4B18A9}"/>
    <cellStyle name="Normal 2 4 7 2 5 2 2 3" xfId="16951" xr:uid="{A9FC1980-DF28-486B-A2FE-0E174B00F703}"/>
    <cellStyle name="Normal 2 4 7 2 5 2 3" xfId="21174" xr:uid="{8D6AD684-155D-4C28-BD5C-576ECF4DDE41}"/>
    <cellStyle name="Normal 2 4 7 2 5 2 4" xfId="12733" xr:uid="{750C513D-74DD-42A4-B3D7-D66F66B0A70A}"/>
    <cellStyle name="Normal 2 4 7 2 5 3" xfId="6356" xr:uid="{00000000-0005-0000-0000-0000E6100000}"/>
    <cellStyle name="Normal 2 4 7 2 5 3 2" xfId="23247" xr:uid="{0929A383-7CC0-4B2D-BFAA-AC9C19C647CE}"/>
    <cellStyle name="Normal 2 4 7 2 5 3 3" xfId="14806" xr:uid="{F848A103-5F47-4903-9FB1-EACEB841A865}"/>
    <cellStyle name="Normal 2 4 7 2 5 4" xfId="19029" xr:uid="{ADD940C7-1FAD-46D0-8D83-1E1FAA33966A}"/>
    <cellStyle name="Normal 2 4 7 2 5 5" xfId="10588" xr:uid="{DB51A779-8190-4ACD-8E45-9674168588DB}"/>
    <cellStyle name="Normal 2 4 7 2 6" xfId="2486" xr:uid="{00000000-0005-0000-0000-0000E7100000}"/>
    <cellStyle name="Normal 2 4 7 2 6 2" xfId="6769" xr:uid="{00000000-0005-0000-0000-0000E8100000}"/>
    <cellStyle name="Normal 2 4 7 2 6 2 2" xfId="23660" xr:uid="{32683601-ACEA-4119-BC21-69A47889B53C}"/>
    <cellStyle name="Normal 2 4 7 2 6 2 3" xfId="15219" xr:uid="{E67306B7-B945-4658-ACB0-549B409C1D12}"/>
    <cellStyle name="Normal 2 4 7 2 6 3" xfId="19442" xr:uid="{44EA81F6-6088-4438-BEC6-37FBC4CF5D26}"/>
    <cellStyle name="Normal 2 4 7 2 6 4" xfId="11001" xr:uid="{29ECCFCC-A5C1-40EC-A7E2-1FB0698AA588}"/>
    <cellStyle name="Normal 2 4 7 2 7" xfId="4703" xr:uid="{00000000-0005-0000-0000-0000E9100000}"/>
    <cellStyle name="Normal 2 4 7 2 7 2" xfId="21594" xr:uid="{70413866-4B16-4DA6-9C42-0CFEE5067286}"/>
    <cellStyle name="Normal 2 4 7 2 7 3" xfId="13153" xr:uid="{8DBDBA0C-DF28-4538-9E51-C1384D021F85}"/>
    <cellStyle name="Normal 2 4 7 2 8" xfId="17376" xr:uid="{B61A7D70-369C-4DF0-9CDE-139683AB4025}"/>
    <cellStyle name="Normal 2 4 7 2 9" xfId="8935" xr:uid="{57663F85-7536-418D-AB74-0B206113F458}"/>
    <cellStyle name="Normal 2 4 7 3" xfId="800" xr:uid="{00000000-0005-0000-0000-0000EA100000}"/>
    <cellStyle name="Normal 2 4 7 3 2" xfId="3039" xr:uid="{00000000-0005-0000-0000-0000EB100000}"/>
    <cellStyle name="Normal 2 4 7 3 2 2" xfId="7261" xr:uid="{00000000-0005-0000-0000-0000EC100000}"/>
    <cellStyle name="Normal 2 4 7 3 2 2 2" xfId="24152" xr:uid="{D510F262-618E-4750-8D67-9B6D37FCFBCA}"/>
    <cellStyle name="Normal 2 4 7 3 2 2 3" xfId="15711" xr:uid="{2D258F05-AFCC-45C0-B701-DED105C9EDF8}"/>
    <cellStyle name="Normal 2 4 7 3 2 3" xfId="19934" xr:uid="{B4AC48D1-6D35-4C98-AB7D-FEBF2841AE6C}"/>
    <cellStyle name="Normal 2 4 7 3 2 4" xfId="11493" xr:uid="{1499CA33-717E-4CD5-8258-A9DC0BBFD47D}"/>
    <cellStyle name="Normal 2 4 7 3 3" xfId="5116" xr:uid="{00000000-0005-0000-0000-0000ED100000}"/>
    <cellStyle name="Normal 2 4 7 3 3 2" xfId="22007" xr:uid="{4231420A-4B5E-444A-9B63-72465D8FD261}"/>
    <cellStyle name="Normal 2 4 7 3 3 3" xfId="13566" xr:uid="{8D1448CD-3FC5-46C8-9E30-E7051A8A71CE}"/>
    <cellStyle name="Normal 2 4 7 3 4" xfId="17789" xr:uid="{FC4798D1-2CAF-4B98-AA9C-3F797745823C}"/>
    <cellStyle name="Normal 2 4 7 3 5" xfId="9348" xr:uid="{DB7DA312-C33D-4264-B939-F105CE1241A3}"/>
    <cellStyle name="Normal 2 4 7 4" xfId="1222" xr:uid="{00000000-0005-0000-0000-0000EE100000}"/>
    <cellStyle name="Normal 2 4 7 4 2" xfId="3452" xr:uid="{00000000-0005-0000-0000-0000EF100000}"/>
    <cellStyle name="Normal 2 4 7 4 2 2" xfId="7674" xr:uid="{00000000-0005-0000-0000-0000F0100000}"/>
    <cellStyle name="Normal 2 4 7 4 2 2 2" xfId="24565" xr:uid="{5A1C36AB-C3EF-4256-8F9A-7140D994633B}"/>
    <cellStyle name="Normal 2 4 7 4 2 2 3" xfId="16124" xr:uid="{36B3C230-0361-4CFC-A392-DDA5D1BC107E}"/>
    <cellStyle name="Normal 2 4 7 4 2 3" xfId="20347" xr:uid="{29443216-2D43-4D89-AED8-FB1044C729AA}"/>
    <cellStyle name="Normal 2 4 7 4 2 4" xfId="11906" xr:uid="{623E019C-28D1-4D98-8128-CF960528025B}"/>
    <cellStyle name="Normal 2 4 7 4 3" xfId="5529" xr:uid="{00000000-0005-0000-0000-0000F1100000}"/>
    <cellStyle name="Normal 2 4 7 4 3 2" xfId="22420" xr:uid="{EE9BE361-DEEB-4989-9CBF-25A370059510}"/>
    <cellStyle name="Normal 2 4 7 4 3 3" xfId="13979" xr:uid="{2321D2BB-F21E-4A37-BD0D-DE17D757625E}"/>
    <cellStyle name="Normal 2 4 7 4 4" xfId="18202" xr:uid="{BBC88D63-3D51-4BF7-AE96-24FCDE96F916}"/>
    <cellStyle name="Normal 2 4 7 4 5" xfId="9761" xr:uid="{1E87497D-7E78-416E-83A6-526ADC82EA07}"/>
    <cellStyle name="Normal 2 4 7 5" xfId="1635" xr:uid="{00000000-0005-0000-0000-0000F2100000}"/>
    <cellStyle name="Normal 2 4 7 5 2" xfId="3865" xr:uid="{00000000-0005-0000-0000-0000F3100000}"/>
    <cellStyle name="Normal 2 4 7 5 2 2" xfId="8087" xr:uid="{00000000-0005-0000-0000-0000F4100000}"/>
    <cellStyle name="Normal 2 4 7 5 2 2 2" xfId="24978" xr:uid="{70E77E2D-80CB-4F0E-98BA-6F571937E220}"/>
    <cellStyle name="Normal 2 4 7 5 2 2 3" xfId="16537" xr:uid="{CA01D2BE-00E7-4D90-8043-22D9CB28C4DB}"/>
    <cellStyle name="Normal 2 4 7 5 2 3" xfId="20760" xr:uid="{799756C2-942F-4B03-9F04-D1145363F545}"/>
    <cellStyle name="Normal 2 4 7 5 2 4" xfId="12319" xr:uid="{25939CC6-7B65-43B6-B7D2-660076D49D30}"/>
    <cellStyle name="Normal 2 4 7 5 3" xfId="5942" xr:uid="{00000000-0005-0000-0000-0000F5100000}"/>
    <cellStyle name="Normal 2 4 7 5 3 2" xfId="22833" xr:uid="{C3C25834-A885-4F2F-885B-219643810EAD}"/>
    <cellStyle name="Normal 2 4 7 5 3 3" xfId="14392" xr:uid="{4F57681B-4D3B-4625-8ED5-9E452304FE05}"/>
    <cellStyle name="Normal 2 4 7 5 4" xfId="18615" xr:uid="{3B5A4822-EAD6-4379-9C99-D81C4E9A9994}"/>
    <cellStyle name="Normal 2 4 7 5 5" xfId="10174" xr:uid="{FF5588CB-E9C0-4923-82C9-379B19F1368F}"/>
    <cellStyle name="Normal 2 4 7 6" xfId="2049" xr:uid="{00000000-0005-0000-0000-0000F6100000}"/>
    <cellStyle name="Normal 2 4 7 6 2" xfId="4278" xr:uid="{00000000-0005-0000-0000-0000F7100000}"/>
    <cellStyle name="Normal 2 4 7 6 2 2" xfId="8500" xr:uid="{00000000-0005-0000-0000-0000F8100000}"/>
    <cellStyle name="Normal 2 4 7 6 2 2 2" xfId="25391" xr:uid="{D73239AA-7F70-42AE-AAAD-1687D61DC068}"/>
    <cellStyle name="Normal 2 4 7 6 2 2 3" xfId="16950" xr:uid="{74CE1F02-1635-44D6-AE80-018837CE720D}"/>
    <cellStyle name="Normal 2 4 7 6 2 3" xfId="21173" xr:uid="{D9CD06F3-12E7-41E5-8ABC-F599C805331F}"/>
    <cellStyle name="Normal 2 4 7 6 2 4" xfId="12732" xr:uid="{BC55B605-A225-4BFA-96F9-248EE7A66672}"/>
    <cellStyle name="Normal 2 4 7 6 3" xfId="6355" xr:uid="{00000000-0005-0000-0000-0000F9100000}"/>
    <cellStyle name="Normal 2 4 7 6 3 2" xfId="23246" xr:uid="{A25CFF92-C370-4E14-8BC1-4B3CEEBAAFAD}"/>
    <cellStyle name="Normal 2 4 7 6 3 3" xfId="14805" xr:uid="{9F970CBD-250E-4CAD-A1D3-88787B5A9127}"/>
    <cellStyle name="Normal 2 4 7 6 4" xfId="19028" xr:uid="{0135A456-2E67-48E2-AD9B-2188BB445AA5}"/>
    <cellStyle name="Normal 2 4 7 6 5" xfId="10587" xr:uid="{AC88012C-6913-4312-9969-6FD52F99D219}"/>
    <cellStyle name="Normal 2 4 7 7" xfId="2485" xr:uid="{00000000-0005-0000-0000-0000FA100000}"/>
    <cellStyle name="Normal 2 4 7 7 2" xfId="6768" xr:uid="{00000000-0005-0000-0000-0000FB100000}"/>
    <cellStyle name="Normal 2 4 7 7 2 2" xfId="23659" xr:uid="{084EDED0-471A-4F93-A667-8AAF9ED2ADA5}"/>
    <cellStyle name="Normal 2 4 7 7 2 3" xfId="15218" xr:uid="{DA138107-7865-4AA4-A9C1-741D124FABE1}"/>
    <cellStyle name="Normal 2 4 7 7 3" xfId="19441" xr:uid="{CE0FAEE7-5E8A-4433-B337-044199E3A3A7}"/>
    <cellStyle name="Normal 2 4 7 7 4" xfId="11000" xr:uid="{877E0F5D-9261-4F7A-8FF4-DD957775A979}"/>
    <cellStyle name="Normal 2 4 7 8" xfId="4702" xr:uid="{00000000-0005-0000-0000-0000FC100000}"/>
    <cellStyle name="Normal 2 4 7 8 2" xfId="21593" xr:uid="{61134177-5D62-4155-85AF-401A632F300D}"/>
    <cellStyle name="Normal 2 4 7 8 3" xfId="13152" xr:uid="{A25C808A-D2F8-4F86-8776-74DF723C995E}"/>
    <cellStyle name="Normal 2 4 7 9" xfId="17375" xr:uid="{04E2E609-9E73-40FC-AC28-AE4BEF32356D}"/>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2 2 2" xfId="24154" xr:uid="{B31EE492-0A4C-4ADF-9E16-B39E18028075}"/>
    <cellStyle name="Normal 2 4 8 2 2 2 3" xfId="15713" xr:uid="{ACA6C596-8CF8-4B0D-81B7-9FA6F08D3A3A}"/>
    <cellStyle name="Normal 2 4 8 2 2 3" xfId="19936" xr:uid="{AD52B28A-28E3-4C21-ADF7-96C528153A97}"/>
    <cellStyle name="Normal 2 4 8 2 2 4" xfId="11495" xr:uid="{948A81B9-39F8-4A8D-AD0A-0274548B8AC0}"/>
    <cellStyle name="Normal 2 4 8 2 3" xfId="5118" xr:uid="{00000000-0005-0000-0000-000001110000}"/>
    <cellStyle name="Normal 2 4 8 2 3 2" xfId="22009" xr:uid="{40922877-AE5B-49E7-98E5-D62E0D7AF851}"/>
    <cellStyle name="Normal 2 4 8 2 3 3" xfId="13568" xr:uid="{A1AE32B5-C669-4AC7-891A-175449E72CAE}"/>
    <cellStyle name="Normal 2 4 8 2 4" xfId="17791" xr:uid="{64C4A576-7ACD-4958-AC0E-D6B1C0255927}"/>
    <cellStyle name="Normal 2 4 8 2 5" xfId="9350" xr:uid="{8F442BF7-B277-47C1-9041-F8DFE6F17B0D}"/>
    <cellStyle name="Normal 2 4 8 3" xfId="1224" xr:uid="{00000000-0005-0000-0000-000002110000}"/>
    <cellStyle name="Normal 2 4 8 3 2" xfId="3454" xr:uid="{00000000-0005-0000-0000-000003110000}"/>
    <cellStyle name="Normal 2 4 8 3 2 2" xfId="7676" xr:uid="{00000000-0005-0000-0000-000004110000}"/>
    <cellStyle name="Normal 2 4 8 3 2 2 2" xfId="24567" xr:uid="{8CB3A020-7C84-47BE-A5A2-7D65920C57DC}"/>
    <cellStyle name="Normal 2 4 8 3 2 2 3" xfId="16126" xr:uid="{5E85828A-C2B4-4F10-91D2-1C9BD63EF7D1}"/>
    <cellStyle name="Normal 2 4 8 3 2 3" xfId="20349" xr:uid="{EDF5AD1A-9615-45F2-95E0-92521CA9F290}"/>
    <cellStyle name="Normal 2 4 8 3 2 4" xfId="11908" xr:uid="{D0854FD7-F007-4387-89DB-A1EFC59A2CD2}"/>
    <cellStyle name="Normal 2 4 8 3 3" xfId="5531" xr:uid="{00000000-0005-0000-0000-000005110000}"/>
    <cellStyle name="Normal 2 4 8 3 3 2" xfId="22422" xr:uid="{3FEC7BD4-99A0-41A6-AD3E-8EDB025A597F}"/>
    <cellStyle name="Normal 2 4 8 3 3 3" xfId="13981" xr:uid="{F3E4AA58-EA44-4EAF-B8E6-BEE9E7AF258B}"/>
    <cellStyle name="Normal 2 4 8 3 4" xfId="18204" xr:uid="{6DB2F5CD-699A-47AA-B6B2-C901AF685FBB}"/>
    <cellStyle name="Normal 2 4 8 3 5" xfId="9763" xr:uid="{7C415640-9754-47F9-86E0-F93F85F95E78}"/>
    <cellStyle name="Normal 2 4 8 4" xfId="1637" xr:uid="{00000000-0005-0000-0000-000006110000}"/>
    <cellStyle name="Normal 2 4 8 4 2" xfId="3867" xr:uid="{00000000-0005-0000-0000-000007110000}"/>
    <cellStyle name="Normal 2 4 8 4 2 2" xfId="8089" xr:uid="{00000000-0005-0000-0000-000008110000}"/>
    <cellStyle name="Normal 2 4 8 4 2 2 2" xfId="24980" xr:uid="{CBD8872B-7E25-4335-BF09-A2850304B1B7}"/>
    <cellStyle name="Normal 2 4 8 4 2 2 3" xfId="16539" xr:uid="{52C69A1E-C87D-413C-9B32-26E8AF6CDF2C}"/>
    <cellStyle name="Normal 2 4 8 4 2 3" xfId="20762" xr:uid="{EA8DD594-1019-4E96-966C-CA67654B62A4}"/>
    <cellStyle name="Normal 2 4 8 4 2 4" xfId="12321" xr:uid="{1B5E217B-1450-4797-96FB-750840E8D8A8}"/>
    <cellStyle name="Normal 2 4 8 4 3" xfId="5944" xr:uid="{00000000-0005-0000-0000-000009110000}"/>
    <cellStyle name="Normal 2 4 8 4 3 2" xfId="22835" xr:uid="{60BFCE22-24B5-4217-9432-DE3EA794E0BA}"/>
    <cellStyle name="Normal 2 4 8 4 3 3" xfId="14394" xr:uid="{BA260E6C-7660-4A60-BA65-442B0FDD73D2}"/>
    <cellStyle name="Normal 2 4 8 4 4" xfId="18617" xr:uid="{B7EEC3D8-5407-4705-B540-E85BBAA618D1}"/>
    <cellStyle name="Normal 2 4 8 4 5" xfId="10176" xr:uid="{1A9841F1-7EA3-4FC6-AD1E-1974E1F159AA}"/>
    <cellStyle name="Normal 2 4 8 5" xfId="2051" xr:uid="{00000000-0005-0000-0000-00000A110000}"/>
    <cellStyle name="Normal 2 4 8 5 2" xfId="4280" xr:uid="{00000000-0005-0000-0000-00000B110000}"/>
    <cellStyle name="Normal 2 4 8 5 2 2" xfId="8502" xr:uid="{00000000-0005-0000-0000-00000C110000}"/>
    <cellStyle name="Normal 2 4 8 5 2 2 2" xfId="25393" xr:uid="{A8CDB670-3D0F-439A-A38C-2499BE5275C0}"/>
    <cellStyle name="Normal 2 4 8 5 2 2 3" xfId="16952" xr:uid="{7513F438-5AD6-4BEA-849C-C0B749030E56}"/>
    <cellStyle name="Normal 2 4 8 5 2 3" xfId="21175" xr:uid="{80AAB04B-4457-4F22-8B0B-934CA38D9981}"/>
    <cellStyle name="Normal 2 4 8 5 2 4" xfId="12734" xr:uid="{E4DF4D97-E387-4BE4-8496-DD09807407B8}"/>
    <cellStyle name="Normal 2 4 8 5 3" xfId="6357" xr:uid="{00000000-0005-0000-0000-00000D110000}"/>
    <cellStyle name="Normal 2 4 8 5 3 2" xfId="23248" xr:uid="{2D5AE822-3108-4156-BAC2-891486BE0A16}"/>
    <cellStyle name="Normal 2 4 8 5 3 3" xfId="14807" xr:uid="{1C0C6C86-D71B-4A1D-A437-454E49B23B1D}"/>
    <cellStyle name="Normal 2 4 8 5 4" xfId="19030" xr:uid="{404E47F7-6549-4CF8-8847-AE6AEC55B8E6}"/>
    <cellStyle name="Normal 2 4 8 5 5" xfId="10589" xr:uid="{C90CB1C8-E16F-417E-BD06-BE680E59AAAE}"/>
    <cellStyle name="Normal 2 4 8 6" xfId="2487" xr:uid="{00000000-0005-0000-0000-00000E110000}"/>
    <cellStyle name="Normal 2 4 8 6 2" xfId="6770" xr:uid="{00000000-0005-0000-0000-00000F110000}"/>
    <cellStyle name="Normal 2 4 8 6 2 2" xfId="23661" xr:uid="{8A0FB4B3-FA39-4DA7-BEE9-0DB7EBF20FAE}"/>
    <cellStyle name="Normal 2 4 8 6 2 3" xfId="15220" xr:uid="{64FFABC7-9B29-4C38-ADA6-54743FDE699F}"/>
    <cellStyle name="Normal 2 4 8 6 3" xfId="19443" xr:uid="{0285D87C-95E1-4C64-88EC-DBC4D7286895}"/>
    <cellStyle name="Normal 2 4 8 6 4" xfId="11002" xr:uid="{0A19795D-0819-42C5-BD04-B9C9468AAF6E}"/>
    <cellStyle name="Normal 2 4 8 7" xfId="4704" xr:uid="{00000000-0005-0000-0000-000010110000}"/>
    <cellStyle name="Normal 2 4 8 7 2" xfId="21595" xr:uid="{0F1DC89B-3303-4C13-BFCA-3898F65EE44B}"/>
    <cellStyle name="Normal 2 4 8 7 3" xfId="13154" xr:uid="{0AB680A4-220D-4409-931D-4A11B175F9C7}"/>
    <cellStyle name="Normal 2 4 8 8" xfId="17377" xr:uid="{83BF8BE5-79A0-4BD1-AA5E-621BD57C008A}"/>
    <cellStyle name="Normal 2 4 8 9" xfId="8936" xr:uid="{3394FE3E-0F21-4FB4-891E-FE67DAF4D74D}"/>
    <cellStyle name="Normal 2 5" xfId="315" xr:uid="{00000000-0005-0000-0000-000011110000}"/>
    <cellStyle name="Normal 2 5 10" xfId="4705" xr:uid="{00000000-0005-0000-0000-000012110000}"/>
    <cellStyle name="Normal 2 5 10 2" xfId="21596" xr:uid="{D085712E-0FC9-4D1A-B917-D0FEA3CF690B}"/>
    <cellStyle name="Normal 2 5 10 3" xfId="13155" xr:uid="{939A4742-8B4B-451A-A788-D7C5421F3DFF}"/>
    <cellStyle name="Normal 2 5 11" xfId="17378" xr:uid="{AEB8951B-1429-4622-988F-7A9C9B260168}"/>
    <cellStyle name="Normal 2 5 12" xfId="8937" xr:uid="{4AEBFA19-2995-42A2-9B86-34FC4A465E4B}"/>
    <cellStyle name="Normal 2 5 2" xfId="316" xr:uid="{00000000-0005-0000-0000-000013110000}"/>
    <cellStyle name="Normal 2 5 3" xfId="317" xr:uid="{00000000-0005-0000-0000-000014110000}"/>
    <cellStyle name="Normal 2 5 4" xfId="318" xr:uid="{00000000-0005-0000-0000-000015110000}"/>
    <cellStyle name="Normal 2 5 4 10" xfId="17379" xr:uid="{6EAECB68-255E-437E-8830-F6E382DBEE4F}"/>
    <cellStyle name="Normal 2 5 4 11" xfId="8938" xr:uid="{07351656-1CEC-45B0-BD99-79C4B53C67B4}"/>
    <cellStyle name="Normal 2 5 4 2" xfId="319" xr:uid="{00000000-0005-0000-0000-000016110000}"/>
    <cellStyle name="Normal 2 5 4 2 10" xfId="8939" xr:uid="{765329B6-94C9-4CD4-AE10-0AC0685A7114}"/>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2 2 2" xfId="24158" xr:uid="{D485BE5D-0440-477B-816B-91B1E3FFAD60}"/>
    <cellStyle name="Normal 2 5 4 2 2 2 2 2 3" xfId="15717" xr:uid="{27F01687-2F11-478C-947D-5085772DD929}"/>
    <cellStyle name="Normal 2 5 4 2 2 2 2 3" xfId="19940" xr:uid="{87CA5104-1EFF-4574-A554-D09551151813}"/>
    <cellStyle name="Normal 2 5 4 2 2 2 2 4" xfId="11499" xr:uid="{350B7C17-1F15-49AC-BEDB-183ECA969C76}"/>
    <cellStyle name="Normal 2 5 4 2 2 2 3" xfId="5122" xr:uid="{00000000-0005-0000-0000-00001B110000}"/>
    <cellStyle name="Normal 2 5 4 2 2 2 3 2" xfId="22013" xr:uid="{F13AA73F-69BC-447B-9061-A0F04D4CE38F}"/>
    <cellStyle name="Normal 2 5 4 2 2 2 3 3" xfId="13572" xr:uid="{A13D3BEF-5173-4C07-99C7-33A7AD3F9E15}"/>
    <cellStyle name="Normal 2 5 4 2 2 2 4" xfId="17795" xr:uid="{15FC8D9E-B083-4873-BEF4-273C48F862CC}"/>
    <cellStyle name="Normal 2 5 4 2 2 2 5" xfId="9354" xr:uid="{7DD4FCFB-E9D4-4550-93A2-65DF6A774CF6}"/>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2 2 2" xfId="24571" xr:uid="{CA553346-B637-4B6F-B322-1AEDCD1FDC5D}"/>
    <cellStyle name="Normal 2 5 4 2 2 3 2 2 3" xfId="16130" xr:uid="{D3C0290C-12B6-4557-A662-68BD8BCEB569}"/>
    <cellStyle name="Normal 2 5 4 2 2 3 2 3" xfId="20353" xr:uid="{C337CBB8-4BB7-4831-8DF8-59CB2086A0F0}"/>
    <cellStyle name="Normal 2 5 4 2 2 3 2 4" xfId="11912" xr:uid="{004F9165-C87F-4823-A330-D6AF3681EBFF}"/>
    <cellStyle name="Normal 2 5 4 2 2 3 3" xfId="5535" xr:uid="{00000000-0005-0000-0000-00001F110000}"/>
    <cellStyle name="Normal 2 5 4 2 2 3 3 2" xfId="22426" xr:uid="{093BB894-EA85-4C80-B83E-614A242079E4}"/>
    <cellStyle name="Normal 2 5 4 2 2 3 3 3" xfId="13985" xr:uid="{8B2C7371-54AA-49A7-8EFF-1F6CC2DFB8CC}"/>
    <cellStyle name="Normal 2 5 4 2 2 3 4" xfId="18208" xr:uid="{A165484E-181A-4F64-9D3E-D10F5DCF9024}"/>
    <cellStyle name="Normal 2 5 4 2 2 3 5" xfId="9767" xr:uid="{3DD187C6-5746-4445-AE7F-946B0B9E635A}"/>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2 2 2" xfId="24984" xr:uid="{8BCA1CEF-779D-4886-9747-DA68DAB0507E}"/>
    <cellStyle name="Normal 2 5 4 2 2 4 2 2 3" xfId="16543" xr:uid="{574284CA-26A8-495D-869C-AC517062F1CB}"/>
    <cellStyle name="Normal 2 5 4 2 2 4 2 3" xfId="20766" xr:uid="{C18771D5-E20E-4C54-9E2B-36CF1D3568B1}"/>
    <cellStyle name="Normal 2 5 4 2 2 4 2 4" xfId="12325" xr:uid="{D54BB441-7838-4A5C-B199-870727EC7D07}"/>
    <cellStyle name="Normal 2 5 4 2 2 4 3" xfId="5948" xr:uid="{00000000-0005-0000-0000-000023110000}"/>
    <cellStyle name="Normal 2 5 4 2 2 4 3 2" xfId="22839" xr:uid="{9F99A644-3603-4DB7-B904-8F96E0530CFA}"/>
    <cellStyle name="Normal 2 5 4 2 2 4 3 3" xfId="14398" xr:uid="{3E75A572-ED3D-4CF0-A61F-28E7452C38C7}"/>
    <cellStyle name="Normal 2 5 4 2 2 4 4" xfId="18621" xr:uid="{C8F83106-C708-4302-A1AE-416EFAFC6647}"/>
    <cellStyle name="Normal 2 5 4 2 2 4 5" xfId="10180" xr:uid="{A36D4BC3-AB4C-4D0E-8FFC-BF7911199E94}"/>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2 2 2" xfId="25397" xr:uid="{1B1824E0-DB75-490A-8434-42813CEFA674}"/>
    <cellStyle name="Normal 2 5 4 2 2 5 2 2 3" xfId="16956" xr:uid="{5D08E925-A496-4362-A3EF-C4FEA31E8912}"/>
    <cellStyle name="Normal 2 5 4 2 2 5 2 3" xfId="21179" xr:uid="{9364C955-705B-42A1-8FA6-90DCE3B3CFED}"/>
    <cellStyle name="Normal 2 5 4 2 2 5 2 4" xfId="12738" xr:uid="{C9D51889-EE31-44A9-B1AB-7C3F0B39EC1A}"/>
    <cellStyle name="Normal 2 5 4 2 2 5 3" xfId="6361" xr:uid="{00000000-0005-0000-0000-000027110000}"/>
    <cellStyle name="Normal 2 5 4 2 2 5 3 2" xfId="23252" xr:uid="{EDF1CFD3-0CF0-48B1-8140-2C7860ADD5CF}"/>
    <cellStyle name="Normal 2 5 4 2 2 5 3 3" xfId="14811" xr:uid="{0AB6D65F-65E3-4E13-886E-D3283F443D3A}"/>
    <cellStyle name="Normal 2 5 4 2 2 5 4" xfId="19034" xr:uid="{13D62D1C-6FBD-4442-B24E-098811113ECA}"/>
    <cellStyle name="Normal 2 5 4 2 2 5 5" xfId="10593" xr:uid="{EBC2FB6A-DE4A-4BA3-AE7D-82BDDA014F23}"/>
    <cellStyle name="Normal 2 5 4 2 2 6" xfId="2491" xr:uid="{00000000-0005-0000-0000-000028110000}"/>
    <cellStyle name="Normal 2 5 4 2 2 6 2" xfId="6774" xr:uid="{00000000-0005-0000-0000-000029110000}"/>
    <cellStyle name="Normal 2 5 4 2 2 6 2 2" xfId="23665" xr:uid="{6766658C-7C92-402E-8084-F0422A87B52B}"/>
    <cellStyle name="Normal 2 5 4 2 2 6 2 3" xfId="15224" xr:uid="{76CF6C92-6D37-41CD-AD41-E2B2F19F9DAE}"/>
    <cellStyle name="Normal 2 5 4 2 2 6 3" xfId="19447" xr:uid="{ED34CCD1-50E9-424A-9902-F07FE28C98F1}"/>
    <cellStyle name="Normal 2 5 4 2 2 6 4" xfId="11006" xr:uid="{46753C67-360B-490E-96DD-29951D4E9CDF}"/>
    <cellStyle name="Normal 2 5 4 2 2 7" xfId="4708" xr:uid="{00000000-0005-0000-0000-00002A110000}"/>
    <cellStyle name="Normal 2 5 4 2 2 7 2" xfId="21599" xr:uid="{F933EB51-A70D-4EC6-AE99-E99BCAA86B02}"/>
    <cellStyle name="Normal 2 5 4 2 2 7 3" xfId="13158" xr:uid="{C6965691-6602-4312-BD6E-7FB46BF189D6}"/>
    <cellStyle name="Normal 2 5 4 2 2 8" xfId="17381" xr:uid="{779BBDC8-5880-43D2-9B49-686D899A1EA0}"/>
    <cellStyle name="Normal 2 5 4 2 2 9" xfId="8940" xr:uid="{44CC1D9C-DDDC-4735-B998-40F3374FF18D}"/>
    <cellStyle name="Normal 2 5 4 2 3" xfId="805" xr:uid="{00000000-0005-0000-0000-00002B110000}"/>
    <cellStyle name="Normal 2 5 4 2 3 2" xfId="3044" xr:uid="{00000000-0005-0000-0000-00002C110000}"/>
    <cellStyle name="Normal 2 5 4 2 3 2 2" xfId="7266" xr:uid="{00000000-0005-0000-0000-00002D110000}"/>
    <cellStyle name="Normal 2 5 4 2 3 2 2 2" xfId="24157" xr:uid="{39AF5895-23FE-4D7B-B182-185C516ABD03}"/>
    <cellStyle name="Normal 2 5 4 2 3 2 2 3" xfId="15716" xr:uid="{C06F6651-88A5-4397-BB80-BD11865DF912}"/>
    <cellStyle name="Normal 2 5 4 2 3 2 3" xfId="19939" xr:uid="{59375300-AC49-44C8-A9F2-F44B6A0CEB76}"/>
    <cellStyle name="Normal 2 5 4 2 3 2 4" xfId="11498" xr:uid="{E8B4A1CF-DE68-4F0B-851B-2DD5062334AF}"/>
    <cellStyle name="Normal 2 5 4 2 3 3" xfId="5121" xr:uid="{00000000-0005-0000-0000-00002E110000}"/>
    <cellStyle name="Normal 2 5 4 2 3 3 2" xfId="22012" xr:uid="{1B074ED9-73C7-455D-B659-F02EE223B1AF}"/>
    <cellStyle name="Normal 2 5 4 2 3 3 3" xfId="13571" xr:uid="{C58F69F7-4266-4A6F-95FB-355F8F5856E6}"/>
    <cellStyle name="Normal 2 5 4 2 3 4" xfId="17794" xr:uid="{C75F8E7E-B21B-403D-8870-B0444701E98C}"/>
    <cellStyle name="Normal 2 5 4 2 3 5" xfId="9353" xr:uid="{FE413815-4D5B-4F91-84C7-7653C8B7EAFE}"/>
    <cellStyle name="Normal 2 5 4 2 4" xfId="1227" xr:uid="{00000000-0005-0000-0000-00002F110000}"/>
    <cellStyle name="Normal 2 5 4 2 4 2" xfId="3457" xr:uid="{00000000-0005-0000-0000-000030110000}"/>
    <cellStyle name="Normal 2 5 4 2 4 2 2" xfId="7679" xr:uid="{00000000-0005-0000-0000-000031110000}"/>
    <cellStyle name="Normal 2 5 4 2 4 2 2 2" xfId="24570" xr:uid="{98A6F12B-3127-459A-A481-59C8164B876B}"/>
    <cellStyle name="Normal 2 5 4 2 4 2 2 3" xfId="16129" xr:uid="{BA199FE2-1BF0-467B-9A9B-D8DC71B6DEF0}"/>
    <cellStyle name="Normal 2 5 4 2 4 2 3" xfId="20352" xr:uid="{09F7F321-D9D9-4B9E-AE46-AD21882B2515}"/>
    <cellStyle name="Normal 2 5 4 2 4 2 4" xfId="11911" xr:uid="{8D686684-570C-4568-ABEC-67508CA6E728}"/>
    <cellStyle name="Normal 2 5 4 2 4 3" xfId="5534" xr:uid="{00000000-0005-0000-0000-000032110000}"/>
    <cellStyle name="Normal 2 5 4 2 4 3 2" xfId="22425" xr:uid="{D63367D7-6015-4885-AE19-6709054CD9C3}"/>
    <cellStyle name="Normal 2 5 4 2 4 3 3" xfId="13984" xr:uid="{28D981F5-B9B0-4F4B-B45D-3B8D78EA254D}"/>
    <cellStyle name="Normal 2 5 4 2 4 4" xfId="18207" xr:uid="{9C11775D-5074-464F-B125-DDAA5A3B8593}"/>
    <cellStyle name="Normal 2 5 4 2 4 5" xfId="9766" xr:uid="{F853A75D-4CB7-4753-8F5E-948C23E7C897}"/>
    <cellStyle name="Normal 2 5 4 2 5" xfId="1640" xr:uid="{00000000-0005-0000-0000-000033110000}"/>
    <cellStyle name="Normal 2 5 4 2 5 2" xfId="3870" xr:uid="{00000000-0005-0000-0000-000034110000}"/>
    <cellStyle name="Normal 2 5 4 2 5 2 2" xfId="8092" xr:uid="{00000000-0005-0000-0000-000035110000}"/>
    <cellStyle name="Normal 2 5 4 2 5 2 2 2" xfId="24983" xr:uid="{63F7556D-465E-4320-BCFD-7061F231B0D7}"/>
    <cellStyle name="Normal 2 5 4 2 5 2 2 3" xfId="16542" xr:uid="{3DAD6141-5038-46A7-A3AB-085FD0084DF4}"/>
    <cellStyle name="Normal 2 5 4 2 5 2 3" xfId="20765" xr:uid="{5B2265CE-4299-422D-BDAB-281CD571F6AD}"/>
    <cellStyle name="Normal 2 5 4 2 5 2 4" xfId="12324" xr:uid="{8A582A00-76A2-4A95-9865-CED911BE0B5E}"/>
    <cellStyle name="Normal 2 5 4 2 5 3" xfId="5947" xr:uid="{00000000-0005-0000-0000-000036110000}"/>
    <cellStyle name="Normal 2 5 4 2 5 3 2" xfId="22838" xr:uid="{784D7284-4F85-4F08-8516-44BD79900281}"/>
    <cellStyle name="Normal 2 5 4 2 5 3 3" xfId="14397" xr:uid="{F263A480-A6EE-42A5-BC7F-CDF4FD1A404D}"/>
    <cellStyle name="Normal 2 5 4 2 5 4" xfId="18620" xr:uid="{21655A9D-CEDD-42EC-A1CD-8D128C403316}"/>
    <cellStyle name="Normal 2 5 4 2 5 5" xfId="10179" xr:uid="{10A5E745-F12C-44D0-B0DB-B362E9D5D9B4}"/>
    <cellStyle name="Normal 2 5 4 2 6" xfId="2054" xr:uid="{00000000-0005-0000-0000-000037110000}"/>
    <cellStyle name="Normal 2 5 4 2 6 2" xfId="4283" xr:uid="{00000000-0005-0000-0000-000038110000}"/>
    <cellStyle name="Normal 2 5 4 2 6 2 2" xfId="8505" xr:uid="{00000000-0005-0000-0000-000039110000}"/>
    <cellStyle name="Normal 2 5 4 2 6 2 2 2" xfId="25396" xr:uid="{6ACC2B86-938E-445C-B8A4-E4D2AE934AC0}"/>
    <cellStyle name="Normal 2 5 4 2 6 2 2 3" xfId="16955" xr:uid="{9597237D-26C9-4188-9B54-AA56D1298218}"/>
    <cellStyle name="Normal 2 5 4 2 6 2 3" xfId="21178" xr:uid="{E5F9C3DA-5D54-49BA-9037-DE42EB3C12DC}"/>
    <cellStyle name="Normal 2 5 4 2 6 2 4" xfId="12737" xr:uid="{2CDF8A59-6789-4BEC-8A90-F7E52472AE6F}"/>
    <cellStyle name="Normal 2 5 4 2 6 3" xfId="6360" xr:uid="{00000000-0005-0000-0000-00003A110000}"/>
    <cellStyle name="Normal 2 5 4 2 6 3 2" xfId="23251" xr:uid="{44456A92-CD8F-473D-B11A-82026364C8C6}"/>
    <cellStyle name="Normal 2 5 4 2 6 3 3" xfId="14810" xr:uid="{06FF6214-FA3A-412D-AA20-4CDA10979118}"/>
    <cellStyle name="Normal 2 5 4 2 6 4" xfId="19033" xr:uid="{59D6161E-AD25-4B01-9BDB-66C1C1A33BEE}"/>
    <cellStyle name="Normal 2 5 4 2 6 5" xfId="10592" xr:uid="{02583122-DD43-4E02-BFC0-CC448BB1C238}"/>
    <cellStyle name="Normal 2 5 4 2 7" xfId="2490" xr:uid="{00000000-0005-0000-0000-00003B110000}"/>
    <cellStyle name="Normal 2 5 4 2 7 2" xfId="6773" xr:uid="{00000000-0005-0000-0000-00003C110000}"/>
    <cellStyle name="Normal 2 5 4 2 7 2 2" xfId="23664" xr:uid="{E1B22185-700F-4256-9999-39CD5E551547}"/>
    <cellStyle name="Normal 2 5 4 2 7 2 3" xfId="15223" xr:uid="{5361C547-FA06-43BA-B36C-162CB311C0B4}"/>
    <cellStyle name="Normal 2 5 4 2 7 3" xfId="19446" xr:uid="{8F47B753-BD9B-4C37-BE5B-E45176DC1611}"/>
    <cellStyle name="Normal 2 5 4 2 7 4" xfId="11005" xr:uid="{DF32D8B1-E38F-4B7D-BA82-3C98EDEDCDED}"/>
    <cellStyle name="Normal 2 5 4 2 8" xfId="4707" xr:uid="{00000000-0005-0000-0000-00003D110000}"/>
    <cellStyle name="Normal 2 5 4 2 8 2" xfId="21598" xr:uid="{77E89E9E-0556-45E8-99AE-98FF475B7057}"/>
    <cellStyle name="Normal 2 5 4 2 8 3" xfId="13157" xr:uid="{A19DAB11-EEBC-4A2F-A5BA-3F3CAA205858}"/>
    <cellStyle name="Normal 2 5 4 2 9" xfId="17380" xr:uid="{80EC48F8-BF9B-4F27-AA66-5F447CC05AD7}"/>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2 2 2" xfId="24159" xr:uid="{4FAD386A-A062-4064-BB34-59483BD84466}"/>
    <cellStyle name="Normal 2 5 4 3 2 2 2 3" xfId="15718" xr:uid="{5617C1F7-DEEE-490F-8662-0A100AE74419}"/>
    <cellStyle name="Normal 2 5 4 3 2 2 3" xfId="19941" xr:uid="{12C7082E-E4D9-46D2-AC57-48E94E9891F5}"/>
    <cellStyle name="Normal 2 5 4 3 2 2 4" xfId="11500" xr:uid="{84BE44AF-2B55-4DCB-8126-F06BE8432B89}"/>
    <cellStyle name="Normal 2 5 4 3 2 3" xfId="5123" xr:uid="{00000000-0005-0000-0000-000042110000}"/>
    <cellStyle name="Normal 2 5 4 3 2 3 2" xfId="22014" xr:uid="{AB37C36E-283E-4718-90D1-E51C0DF55A9C}"/>
    <cellStyle name="Normal 2 5 4 3 2 3 3" xfId="13573" xr:uid="{3EA8BB04-7BC9-462B-A0A9-A51ECBD2350A}"/>
    <cellStyle name="Normal 2 5 4 3 2 4" xfId="17796" xr:uid="{EEEC39F0-7E4D-4E57-BD9B-3DEA74E95A78}"/>
    <cellStyle name="Normal 2 5 4 3 2 5" xfId="9355" xr:uid="{B600E80F-C2EA-4EBA-B9D5-F7640E40EC51}"/>
    <cellStyle name="Normal 2 5 4 3 3" xfId="1229" xr:uid="{00000000-0005-0000-0000-000043110000}"/>
    <cellStyle name="Normal 2 5 4 3 3 2" xfId="3459" xr:uid="{00000000-0005-0000-0000-000044110000}"/>
    <cellStyle name="Normal 2 5 4 3 3 2 2" xfId="7681" xr:uid="{00000000-0005-0000-0000-000045110000}"/>
    <cellStyle name="Normal 2 5 4 3 3 2 2 2" xfId="24572" xr:uid="{C2B4EB27-17F3-4D05-9344-DCFBA08ABF68}"/>
    <cellStyle name="Normal 2 5 4 3 3 2 2 3" xfId="16131" xr:uid="{9B760A40-0E11-4691-A797-A5345641DFA2}"/>
    <cellStyle name="Normal 2 5 4 3 3 2 3" xfId="20354" xr:uid="{0965A6CF-6BA8-4699-AF44-697B5C4DD9E1}"/>
    <cellStyle name="Normal 2 5 4 3 3 2 4" xfId="11913" xr:uid="{1D18159C-AA2B-463A-BE5B-A989EE83C843}"/>
    <cellStyle name="Normal 2 5 4 3 3 3" xfId="5536" xr:uid="{00000000-0005-0000-0000-000046110000}"/>
    <cellStyle name="Normal 2 5 4 3 3 3 2" xfId="22427" xr:uid="{22FA2E9E-16F6-4FB7-9542-3770D8F2A716}"/>
    <cellStyle name="Normal 2 5 4 3 3 3 3" xfId="13986" xr:uid="{1304A93D-0D6D-40EA-AA0C-E3BA1444F580}"/>
    <cellStyle name="Normal 2 5 4 3 3 4" xfId="18209" xr:uid="{B582F19B-0870-45DA-AF74-6689C274D3D1}"/>
    <cellStyle name="Normal 2 5 4 3 3 5" xfId="9768" xr:uid="{6E951CC9-5A65-44CB-97D6-4792F7D89F1A}"/>
    <cellStyle name="Normal 2 5 4 3 4" xfId="1642" xr:uid="{00000000-0005-0000-0000-000047110000}"/>
    <cellStyle name="Normal 2 5 4 3 4 2" xfId="3872" xr:uid="{00000000-0005-0000-0000-000048110000}"/>
    <cellStyle name="Normal 2 5 4 3 4 2 2" xfId="8094" xr:uid="{00000000-0005-0000-0000-000049110000}"/>
    <cellStyle name="Normal 2 5 4 3 4 2 2 2" xfId="24985" xr:uid="{6BAAF417-7013-41DB-B5D4-80FCA948384A}"/>
    <cellStyle name="Normal 2 5 4 3 4 2 2 3" xfId="16544" xr:uid="{5179E14F-DA53-40E3-9FCB-31FF3EA64A02}"/>
    <cellStyle name="Normal 2 5 4 3 4 2 3" xfId="20767" xr:uid="{88522331-97BA-4703-BD38-79008373623A}"/>
    <cellStyle name="Normal 2 5 4 3 4 2 4" xfId="12326" xr:uid="{7B8B8617-BBD9-4E91-92D8-98363CA1D78A}"/>
    <cellStyle name="Normal 2 5 4 3 4 3" xfId="5949" xr:uid="{00000000-0005-0000-0000-00004A110000}"/>
    <cellStyle name="Normal 2 5 4 3 4 3 2" xfId="22840" xr:uid="{4049E67A-63BE-4ED7-A8C0-810D09C485C5}"/>
    <cellStyle name="Normal 2 5 4 3 4 3 3" xfId="14399" xr:uid="{0DE02333-F3F9-4502-B8CA-5B4881010049}"/>
    <cellStyle name="Normal 2 5 4 3 4 4" xfId="18622" xr:uid="{6226B4E7-EB10-43C3-868B-7281C84B7B4E}"/>
    <cellStyle name="Normal 2 5 4 3 4 5" xfId="10181" xr:uid="{25188C5F-5015-4B4E-A7DA-0C9ECD37BA1D}"/>
    <cellStyle name="Normal 2 5 4 3 5" xfId="2056" xr:uid="{00000000-0005-0000-0000-00004B110000}"/>
    <cellStyle name="Normal 2 5 4 3 5 2" xfId="4285" xr:uid="{00000000-0005-0000-0000-00004C110000}"/>
    <cellStyle name="Normal 2 5 4 3 5 2 2" xfId="8507" xr:uid="{00000000-0005-0000-0000-00004D110000}"/>
    <cellStyle name="Normal 2 5 4 3 5 2 2 2" xfId="25398" xr:uid="{68F0B653-E544-4907-8F1F-8F2B2EC9320C}"/>
    <cellStyle name="Normal 2 5 4 3 5 2 2 3" xfId="16957" xr:uid="{84774166-E887-4997-885A-5FDF1DDC7D6F}"/>
    <cellStyle name="Normal 2 5 4 3 5 2 3" xfId="21180" xr:uid="{0CAA694A-30F3-4A02-A43A-DF622F3C06DB}"/>
    <cellStyle name="Normal 2 5 4 3 5 2 4" xfId="12739" xr:uid="{E66EF1E9-7093-4672-A903-7F5A95CE20F4}"/>
    <cellStyle name="Normal 2 5 4 3 5 3" xfId="6362" xr:uid="{00000000-0005-0000-0000-00004E110000}"/>
    <cellStyle name="Normal 2 5 4 3 5 3 2" xfId="23253" xr:uid="{6303D3AA-EAEE-45B4-969E-F04FC3E6A711}"/>
    <cellStyle name="Normal 2 5 4 3 5 3 3" xfId="14812" xr:uid="{E8F429D3-250C-4FFF-A34F-B9B215403731}"/>
    <cellStyle name="Normal 2 5 4 3 5 4" xfId="19035" xr:uid="{25CBAD99-EC53-45A6-A376-3F08B14267D1}"/>
    <cellStyle name="Normal 2 5 4 3 5 5" xfId="10594" xr:uid="{4910EE05-47A3-4737-B391-5791193B14D2}"/>
    <cellStyle name="Normal 2 5 4 3 6" xfId="2492" xr:uid="{00000000-0005-0000-0000-00004F110000}"/>
    <cellStyle name="Normal 2 5 4 3 6 2" xfId="6775" xr:uid="{00000000-0005-0000-0000-000050110000}"/>
    <cellStyle name="Normal 2 5 4 3 6 2 2" xfId="23666" xr:uid="{04B3A293-9CC6-4F6B-8E46-C7CFAE5C98D4}"/>
    <cellStyle name="Normal 2 5 4 3 6 2 3" xfId="15225" xr:uid="{0E7EF32A-241B-4913-B24B-E3F3D8C6C9BF}"/>
    <cellStyle name="Normal 2 5 4 3 6 3" xfId="19448" xr:uid="{E06063E2-7237-464A-9605-E9B37F1341F7}"/>
    <cellStyle name="Normal 2 5 4 3 6 4" xfId="11007" xr:uid="{C121E3CA-ACA8-4CAA-A63C-A86AD2A225B5}"/>
    <cellStyle name="Normal 2 5 4 3 7" xfId="4709" xr:uid="{00000000-0005-0000-0000-000051110000}"/>
    <cellStyle name="Normal 2 5 4 3 7 2" xfId="21600" xr:uid="{182DA085-1A5F-408E-B33E-7E5CE12B2CAA}"/>
    <cellStyle name="Normal 2 5 4 3 7 3" xfId="13159" xr:uid="{8FD76AE8-D440-4771-8850-0D49B9D6745B}"/>
    <cellStyle name="Normal 2 5 4 3 8" xfId="17382" xr:uid="{D727EF38-0977-409F-AB30-B5A258F8ED73}"/>
    <cellStyle name="Normal 2 5 4 3 9" xfId="8941" xr:uid="{C35DE2FF-6DA8-42B8-A481-3852CE3C143B}"/>
    <cellStyle name="Normal 2 5 4 4" xfId="804" xr:uid="{00000000-0005-0000-0000-000052110000}"/>
    <cellStyle name="Normal 2 5 4 4 2" xfId="3043" xr:uid="{00000000-0005-0000-0000-000053110000}"/>
    <cellStyle name="Normal 2 5 4 4 2 2" xfId="7265" xr:uid="{00000000-0005-0000-0000-000054110000}"/>
    <cellStyle name="Normal 2 5 4 4 2 2 2" xfId="24156" xr:uid="{9392A627-8681-446B-B746-D622D325A9E9}"/>
    <cellStyle name="Normal 2 5 4 4 2 2 3" xfId="15715" xr:uid="{4A578034-45BB-458F-8430-42229A68B4E4}"/>
    <cellStyle name="Normal 2 5 4 4 2 3" xfId="19938" xr:uid="{F2437729-CAE8-49E1-AE9B-077D29517582}"/>
    <cellStyle name="Normal 2 5 4 4 2 4" xfId="11497" xr:uid="{46A4611F-6111-4D8B-B4A0-C7D44CE09FEC}"/>
    <cellStyle name="Normal 2 5 4 4 3" xfId="5120" xr:uid="{00000000-0005-0000-0000-000055110000}"/>
    <cellStyle name="Normal 2 5 4 4 3 2" xfId="22011" xr:uid="{5799ABC6-76CE-42B5-ABC7-1581188C21A4}"/>
    <cellStyle name="Normal 2 5 4 4 3 3" xfId="13570" xr:uid="{31B1AF41-1D14-41B9-B831-44444000334C}"/>
    <cellStyle name="Normal 2 5 4 4 4" xfId="17793" xr:uid="{81C9A96C-10C7-4FC0-A43B-F261BC5A48EF}"/>
    <cellStyle name="Normal 2 5 4 4 5" xfId="9352" xr:uid="{FEBB3C96-2640-48A1-82BF-3411268E4AC4}"/>
    <cellStyle name="Normal 2 5 4 5" xfId="1226" xr:uid="{00000000-0005-0000-0000-000056110000}"/>
    <cellStyle name="Normal 2 5 4 5 2" xfId="3456" xr:uid="{00000000-0005-0000-0000-000057110000}"/>
    <cellStyle name="Normal 2 5 4 5 2 2" xfId="7678" xr:uid="{00000000-0005-0000-0000-000058110000}"/>
    <cellStyle name="Normal 2 5 4 5 2 2 2" xfId="24569" xr:uid="{39275F69-478E-4C2A-8DE4-50BD1ABDBC1D}"/>
    <cellStyle name="Normal 2 5 4 5 2 2 3" xfId="16128" xr:uid="{771FDAB9-F2B3-4838-AD76-16FD3DEACD1A}"/>
    <cellStyle name="Normal 2 5 4 5 2 3" xfId="20351" xr:uid="{13FC0840-B034-413C-914C-5AA37D085D4F}"/>
    <cellStyle name="Normal 2 5 4 5 2 4" xfId="11910" xr:uid="{1F1DDD02-1B1F-4905-AD23-E757A8BCC8F5}"/>
    <cellStyle name="Normal 2 5 4 5 3" xfId="5533" xr:uid="{00000000-0005-0000-0000-000059110000}"/>
    <cellStyle name="Normal 2 5 4 5 3 2" xfId="22424" xr:uid="{E413A280-91C5-47B8-91F9-A1B0CABFDA99}"/>
    <cellStyle name="Normal 2 5 4 5 3 3" xfId="13983" xr:uid="{34318014-9A8A-4ADD-B9A3-EE163FC71AA9}"/>
    <cellStyle name="Normal 2 5 4 5 4" xfId="18206" xr:uid="{724B70C7-ED5E-40BE-B25C-F5839E7CAFA8}"/>
    <cellStyle name="Normal 2 5 4 5 5" xfId="9765" xr:uid="{C8B441FC-F10D-4556-8057-1222DEE66959}"/>
    <cellStyle name="Normal 2 5 4 6" xfId="1639" xr:uid="{00000000-0005-0000-0000-00005A110000}"/>
    <cellStyle name="Normal 2 5 4 6 2" xfId="3869" xr:uid="{00000000-0005-0000-0000-00005B110000}"/>
    <cellStyle name="Normal 2 5 4 6 2 2" xfId="8091" xr:uid="{00000000-0005-0000-0000-00005C110000}"/>
    <cellStyle name="Normal 2 5 4 6 2 2 2" xfId="24982" xr:uid="{B9CCA6BD-CA74-465A-A85A-181252A1C4F2}"/>
    <cellStyle name="Normal 2 5 4 6 2 2 3" xfId="16541" xr:uid="{3BC088D2-7059-40ED-B088-29C581FD5547}"/>
    <cellStyle name="Normal 2 5 4 6 2 3" xfId="20764" xr:uid="{7677BB8E-96C8-483D-A127-16287ACD1416}"/>
    <cellStyle name="Normal 2 5 4 6 2 4" xfId="12323" xr:uid="{02F04509-3F24-405F-9199-3A3CEE07CEFD}"/>
    <cellStyle name="Normal 2 5 4 6 3" xfId="5946" xr:uid="{00000000-0005-0000-0000-00005D110000}"/>
    <cellStyle name="Normal 2 5 4 6 3 2" xfId="22837" xr:uid="{392742C9-3002-4E3C-B00A-95A64D6C3861}"/>
    <cellStyle name="Normal 2 5 4 6 3 3" xfId="14396" xr:uid="{BCC33324-885F-4250-86B2-F83E0E2AD36D}"/>
    <cellStyle name="Normal 2 5 4 6 4" xfId="18619" xr:uid="{2ABB7F71-97E1-4317-B930-4E6D157A3804}"/>
    <cellStyle name="Normal 2 5 4 6 5" xfId="10178" xr:uid="{BAC7AA8C-B059-433D-93FC-390724E4FBA0}"/>
    <cellStyle name="Normal 2 5 4 7" xfId="2053" xr:uid="{00000000-0005-0000-0000-00005E110000}"/>
    <cellStyle name="Normal 2 5 4 7 2" xfId="4282" xr:uid="{00000000-0005-0000-0000-00005F110000}"/>
    <cellStyle name="Normal 2 5 4 7 2 2" xfId="8504" xr:uid="{00000000-0005-0000-0000-000060110000}"/>
    <cellStyle name="Normal 2 5 4 7 2 2 2" xfId="25395" xr:uid="{B5B31FC5-72F0-4C2A-B579-CA1A8209A30A}"/>
    <cellStyle name="Normal 2 5 4 7 2 2 3" xfId="16954" xr:uid="{C595338B-7682-41B5-B0E2-E31D62C7E560}"/>
    <cellStyle name="Normal 2 5 4 7 2 3" xfId="21177" xr:uid="{6B98638B-11AC-4588-BFCA-73D92610848F}"/>
    <cellStyle name="Normal 2 5 4 7 2 4" xfId="12736" xr:uid="{0D56D225-E48C-4FD6-8D51-61BB46B5DDF9}"/>
    <cellStyle name="Normal 2 5 4 7 3" xfId="6359" xr:uid="{00000000-0005-0000-0000-000061110000}"/>
    <cellStyle name="Normal 2 5 4 7 3 2" xfId="23250" xr:uid="{B39DBBD8-F1EC-4182-8575-1A235BD77D1B}"/>
    <cellStyle name="Normal 2 5 4 7 3 3" xfId="14809" xr:uid="{FC1ED9A1-D828-41A5-9C3A-BA3606732E69}"/>
    <cellStyle name="Normal 2 5 4 7 4" xfId="19032" xr:uid="{5A8A8E6E-1223-411A-AC8B-BF16335091C0}"/>
    <cellStyle name="Normal 2 5 4 7 5" xfId="10591" xr:uid="{657F26CE-39DC-4532-A2F9-CD0AB79A71A3}"/>
    <cellStyle name="Normal 2 5 4 8" xfId="2489" xr:uid="{00000000-0005-0000-0000-000062110000}"/>
    <cellStyle name="Normal 2 5 4 8 2" xfId="6772" xr:uid="{00000000-0005-0000-0000-000063110000}"/>
    <cellStyle name="Normal 2 5 4 8 2 2" xfId="23663" xr:uid="{3384E268-8541-496C-983C-858608AD7726}"/>
    <cellStyle name="Normal 2 5 4 8 2 3" xfId="15222" xr:uid="{D90D5DD7-04E1-4799-B323-8A4DE94A46DA}"/>
    <cellStyle name="Normal 2 5 4 8 3" xfId="19445" xr:uid="{21C35A68-28B0-4CDA-9515-0F365E53C836}"/>
    <cellStyle name="Normal 2 5 4 8 4" xfId="11004" xr:uid="{4C508E36-511E-44DD-B288-F86D849AD3B0}"/>
    <cellStyle name="Normal 2 5 4 9" xfId="4706" xr:uid="{00000000-0005-0000-0000-000064110000}"/>
    <cellStyle name="Normal 2 5 4 9 2" xfId="21597" xr:uid="{5D70CDB4-ACB4-4145-B846-AE2DE8E8613C}"/>
    <cellStyle name="Normal 2 5 4 9 3" xfId="13156" xr:uid="{E12ED916-B5C7-4BC7-872A-9FC3C83A7AD7}"/>
    <cellStyle name="Normal 2 5 5" xfId="803" xr:uid="{00000000-0005-0000-0000-000065110000}"/>
    <cellStyle name="Normal 2 5 5 2" xfId="3042" xr:uid="{00000000-0005-0000-0000-000066110000}"/>
    <cellStyle name="Normal 2 5 5 2 2" xfId="7264" xr:uid="{00000000-0005-0000-0000-000067110000}"/>
    <cellStyle name="Normal 2 5 5 2 2 2" xfId="24155" xr:uid="{E4F01832-FF65-44A4-9F62-6113C4B16B2A}"/>
    <cellStyle name="Normal 2 5 5 2 2 3" xfId="15714" xr:uid="{F6EB0594-BA9A-48E6-9D93-C6E543EE88D0}"/>
    <cellStyle name="Normal 2 5 5 2 3" xfId="19937" xr:uid="{0A4540B2-89BD-4056-B67B-37BDA7D6A5A0}"/>
    <cellStyle name="Normal 2 5 5 2 4" xfId="11496" xr:uid="{E6FF623A-2FE9-4A13-89EB-A3C2B7757110}"/>
    <cellStyle name="Normal 2 5 5 3" xfId="5119" xr:uid="{00000000-0005-0000-0000-000068110000}"/>
    <cellStyle name="Normal 2 5 5 3 2" xfId="22010" xr:uid="{C19C3867-F704-4E3A-BE6F-590E9BEBFE74}"/>
    <cellStyle name="Normal 2 5 5 3 3" xfId="13569" xr:uid="{11B05AE4-0211-424D-88F7-43C119D266A0}"/>
    <cellStyle name="Normal 2 5 5 4" xfId="17792" xr:uid="{BD093F30-C886-4107-B127-0B6F31EBCC4D}"/>
    <cellStyle name="Normal 2 5 5 5" xfId="9351" xr:uid="{1490F0C8-3A68-475B-B224-FA9BF0196020}"/>
    <cellStyle name="Normal 2 5 6" xfId="1225" xr:uid="{00000000-0005-0000-0000-000069110000}"/>
    <cellStyle name="Normal 2 5 6 2" xfId="3455" xr:uid="{00000000-0005-0000-0000-00006A110000}"/>
    <cellStyle name="Normal 2 5 6 2 2" xfId="7677" xr:uid="{00000000-0005-0000-0000-00006B110000}"/>
    <cellStyle name="Normal 2 5 6 2 2 2" xfId="24568" xr:uid="{FB8EC68A-5C36-40C9-A868-6FB3042B804D}"/>
    <cellStyle name="Normal 2 5 6 2 2 3" xfId="16127" xr:uid="{01E0E43F-3757-45DC-BC6C-B7A07292542B}"/>
    <cellStyle name="Normal 2 5 6 2 3" xfId="20350" xr:uid="{B4B93FE1-AECA-4800-84C3-CA6658986AE4}"/>
    <cellStyle name="Normal 2 5 6 2 4" xfId="11909" xr:uid="{5F225DD2-2093-4956-A844-D061C0C59BDB}"/>
    <cellStyle name="Normal 2 5 6 3" xfId="5532" xr:uid="{00000000-0005-0000-0000-00006C110000}"/>
    <cellStyle name="Normal 2 5 6 3 2" xfId="22423" xr:uid="{37BAAF38-017B-406B-BCAB-F4688F57F07B}"/>
    <cellStyle name="Normal 2 5 6 3 3" xfId="13982" xr:uid="{F207DF92-B58B-45E2-B74C-D41BB7AB69F1}"/>
    <cellStyle name="Normal 2 5 6 4" xfId="18205" xr:uid="{F1227D35-4588-4F6F-AC94-A9E8D72B429D}"/>
    <cellStyle name="Normal 2 5 6 5" xfId="9764" xr:uid="{A97F7CE7-7E08-45AE-9A0D-AC05310056FE}"/>
    <cellStyle name="Normal 2 5 7" xfId="1638" xr:uid="{00000000-0005-0000-0000-00006D110000}"/>
    <cellStyle name="Normal 2 5 7 2" xfId="3868" xr:uid="{00000000-0005-0000-0000-00006E110000}"/>
    <cellStyle name="Normal 2 5 7 2 2" xfId="8090" xr:uid="{00000000-0005-0000-0000-00006F110000}"/>
    <cellStyle name="Normal 2 5 7 2 2 2" xfId="24981" xr:uid="{91B838BE-E906-4DE9-BE3F-CC35A1CB3DA1}"/>
    <cellStyle name="Normal 2 5 7 2 2 3" xfId="16540" xr:uid="{A5A6E4F6-D2C8-4B76-998E-CCF674F3A652}"/>
    <cellStyle name="Normal 2 5 7 2 3" xfId="20763" xr:uid="{FE391729-888C-4E28-B324-E7CBD11A8FA6}"/>
    <cellStyle name="Normal 2 5 7 2 4" xfId="12322" xr:uid="{717E7432-8052-463D-AA9F-D84CAB9F9130}"/>
    <cellStyle name="Normal 2 5 7 3" xfId="5945" xr:uid="{00000000-0005-0000-0000-000070110000}"/>
    <cellStyle name="Normal 2 5 7 3 2" xfId="22836" xr:uid="{804D4621-C265-4660-88CA-6ABC2F4DC2B0}"/>
    <cellStyle name="Normal 2 5 7 3 3" xfId="14395" xr:uid="{4B2FD7FC-B0CE-48C6-8265-31C691409C54}"/>
    <cellStyle name="Normal 2 5 7 4" xfId="18618" xr:uid="{C7C90D93-7F05-4DD2-A479-ECAD9C48981C}"/>
    <cellStyle name="Normal 2 5 7 5" xfId="10177" xr:uid="{ACC3FE6C-9453-44DE-9588-7EBB5004B793}"/>
    <cellStyle name="Normal 2 5 8" xfId="2052" xr:uid="{00000000-0005-0000-0000-000071110000}"/>
    <cellStyle name="Normal 2 5 8 2" xfId="4281" xr:uid="{00000000-0005-0000-0000-000072110000}"/>
    <cellStyle name="Normal 2 5 8 2 2" xfId="8503" xr:uid="{00000000-0005-0000-0000-000073110000}"/>
    <cellStyle name="Normal 2 5 8 2 2 2" xfId="25394" xr:uid="{FB003B9F-CB67-4B50-BEA5-AE7EAC832F83}"/>
    <cellStyle name="Normal 2 5 8 2 2 3" xfId="16953" xr:uid="{FB8920EC-0EC8-4960-985E-1815AD4C08CE}"/>
    <cellStyle name="Normal 2 5 8 2 3" xfId="21176" xr:uid="{2D256BA8-70CE-4B05-9522-11FB7F242B1E}"/>
    <cellStyle name="Normal 2 5 8 2 4" xfId="12735" xr:uid="{C5C27783-833B-4745-A22A-6E13200C2BF1}"/>
    <cellStyle name="Normal 2 5 8 3" xfId="6358" xr:uid="{00000000-0005-0000-0000-000074110000}"/>
    <cellStyle name="Normal 2 5 8 3 2" xfId="23249" xr:uid="{ED0F0DC8-56BE-48BB-B850-5686485670F4}"/>
    <cellStyle name="Normal 2 5 8 3 3" xfId="14808" xr:uid="{49B83100-FC8D-4FB7-BB2C-1D21CC537188}"/>
    <cellStyle name="Normal 2 5 8 4" xfId="19031" xr:uid="{5CFDFF63-71A9-457F-B6B5-ECA9137ADE4D}"/>
    <cellStyle name="Normal 2 5 8 5" xfId="10590" xr:uid="{E90E6541-6784-48F5-8781-E3B8D76C83EF}"/>
    <cellStyle name="Normal 2 5 9" xfId="2488" xr:uid="{00000000-0005-0000-0000-000075110000}"/>
    <cellStyle name="Normal 2 5 9 2" xfId="6771" xr:uid="{00000000-0005-0000-0000-000076110000}"/>
    <cellStyle name="Normal 2 5 9 2 2" xfId="23662" xr:uid="{7736A70B-C374-4B91-A4F3-032A204702F2}"/>
    <cellStyle name="Normal 2 5 9 2 3" xfId="15221" xr:uid="{059082F4-8047-41EC-AB83-0B8E49C11906}"/>
    <cellStyle name="Normal 2 5 9 3" xfId="19444" xr:uid="{A4267DC3-8940-404B-A963-110D7458CE79}"/>
    <cellStyle name="Normal 2 5 9 4" xfId="11003" xr:uid="{FA5B0005-6AF2-42CB-BDFC-624F15167AF0}"/>
    <cellStyle name="Normal 2 6" xfId="322" xr:uid="{00000000-0005-0000-0000-000077110000}"/>
    <cellStyle name="Normal 2 7" xfId="769" xr:uid="{00000000-0005-0000-0000-000078110000}"/>
    <cellStyle name="Normal 2 8" xfId="4495" xr:uid="{00000000-0005-0000-0000-000079110000}"/>
    <cellStyle name="Normal 2 8 2" xfId="21388" xr:uid="{A651FCA7-FA30-4BE0-814D-0B25E1838FCD}"/>
    <cellStyle name="Normal 2 8 3" xfId="12947" xr:uid="{26F6E4D4-60C2-4B0C-84DC-35B70D6C9861}"/>
    <cellStyle name="Normal 3" xfId="323" xr:uid="{00000000-0005-0000-0000-00007A110000}"/>
    <cellStyle name="Normal 3 2" xfId="324" xr:uid="{00000000-0005-0000-0000-00007B110000}"/>
    <cellStyle name="Normal 3 2 10" xfId="17383" xr:uid="{6765B5DF-E815-4229-A5FE-BD6EAC7784EA}"/>
    <cellStyle name="Normal 3 2 11" xfId="8942" xr:uid="{FA0291AC-F494-44EF-8882-AABF734153FF}"/>
    <cellStyle name="Normal 3 2 2" xfId="325" xr:uid="{00000000-0005-0000-0000-00007C110000}"/>
    <cellStyle name="Normal 3 2 2 2" xfId="810" xr:uid="{00000000-0005-0000-0000-00007D110000}"/>
    <cellStyle name="Normal 3 2 3" xfId="326" xr:uid="{00000000-0005-0000-0000-00007E110000}"/>
    <cellStyle name="Normal 3 2 3 10" xfId="17384" xr:uid="{A60FE03E-468A-4FD8-8C3A-AADCF5841CC8}"/>
    <cellStyle name="Normal 3 2 3 11" xfId="8943" xr:uid="{C8B49057-6844-498D-AC7C-5CFA8A6B1968}"/>
    <cellStyle name="Normal 3 2 3 2" xfId="327" xr:uid="{00000000-0005-0000-0000-00007F110000}"/>
    <cellStyle name="Normal 3 2 3 2 10" xfId="8944" xr:uid="{B0906CF1-4E17-4D16-A126-C06995D6A652}"/>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2 2 2" xfId="24163" xr:uid="{8D300B1D-A253-4446-A62C-2D0BE8E63131}"/>
    <cellStyle name="Normal 3 2 3 2 2 2 2 2 3" xfId="15722" xr:uid="{22159148-A231-4AAD-9538-2D9C05C9ACEB}"/>
    <cellStyle name="Normal 3 2 3 2 2 2 2 3" xfId="19945" xr:uid="{9816A721-16F5-40EF-8A76-49844FE9036C}"/>
    <cellStyle name="Normal 3 2 3 2 2 2 2 4" xfId="11504" xr:uid="{3B609099-4935-4313-834D-6A6F4BA1C86C}"/>
    <cellStyle name="Normal 3 2 3 2 2 2 3" xfId="5127" xr:uid="{00000000-0005-0000-0000-000084110000}"/>
    <cellStyle name="Normal 3 2 3 2 2 2 3 2" xfId="22018" xr:uid="{76FD2027-0B62-4038-A8A1-0921E229FE4C}"/>
    <cellStyle name="Normal 3 2 3 2 2 2 3 3" xfId="13577" xr:uid="{13FC79FB-C0BB-4800-BC76-E92FBEC11BE1}"/>
    <cellStyle name="Normal 3 2 3 2 2 2 4" xfId="17800" xr:uid="{B6A44BE5-A7CE-46AF-BE39-F65250729563}"/>
    <cellStyle name="Normal 3 2 3 2 2 2 5" xfId="9359" xr:uid="{940DDF6A-F312-4F4D-9919-A10A7AA3F56B}"/>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2 2 2" xfId="24576" xr:uid="{DD3B77F0-D057-4DBF-A136-AD5231E1A9C5}"/>
    <cellStyle name="Normal 3 2 3 2 2 3 2 2 3" xfId="16135" xr:uid="{4F72AB1F-D005-4014-B27B-1DBC317E095D}"/>
    <cellStyle name="Normal 3 2 3 2 2 3 2 3" xfId="20358" xr:uid="{C29BEF69-C16D-4AE1-AD12-6278F607C425}"/>
    <cellStyle name="Normal 3 2 3 2 2 3 2 4" xfId="11917" xr:uid="{53C9FF63-22F9-4AD9-8186-18109B15CFF4}"/>
    <cellStyle name="Normal 3 2 3 2 2 3 3" xfId="5540" xr:uid="{00000000-0005-0000-0000-000088110000}"/>
    <cellStyle name="Normal 3 2 3 2 2 3 3 2" xfId="22431" xr:uid="{83A28229-9925-4D80-9F73-F06ED5A77BC6}"/>
    <cellStyle name="Normal 3 2 3 2 2 3 3 3" xfId="13990" xr:uid="{1BDB9526-231B-4354-A9BB-1EFF198462C4}"/>
    <cellStyle name="Normal 3 2 3 2 2 3 4" xfId="18213" xr:uid="{8FCA4500-A795-4EB6-A230-CC135B829CF5}"/>
    <cellStyle name="Normal 3 2 3 2 2 3 5" xfId="9772" xr:uid="{22AE6FDC-EDCC-49C1-90AF-06F215570268}"/>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2 2 2" xfId="24989" xr:uid="{1502A399-C46A-46C6-87ED-0FE3C2B8593C}"/>
    <cellStyle name="Normal 3 2 3 2 2 4 2 2 3" xfId="16548" xr:uid="{9DB37900-BE60-4587-B171-5DEEE521A30E}"/>
    <cellStyle name="Normal 3 2 3 2 2 4 2 3" xfId="20771" xr:uid="{088A8CB5-6D8E-4ADE-A32E-2AF776B68ADC}"/>
    <cellStyle name="Normal 3 2 3 2 2 4 2 4" xfId="12330" xr:uid="{C2E38FCD-76C4-47C8-8323-7D34DB1C49B9}"/>
    <cellStyle name="Normal 3 2 3 2 2 4 3" xfId="5953" xr:uid="{00000000-0005-0000-0000-00008C110000}"/>
    <cellStyle name="Normal 3 2 3 2 2 4 3 2" xfId="22844" xr:uid="{5F96F48C-2AF5-469B-A7A0-15EEE0EE230B}"/>
    <cellStyle name="Normal 3 2 3 2 2 4 3 3" xfId="14403" xr:uid="{51B3AE11-ACDD-4676-9826-C97052F342E7}"/>
    <cellStyle name="Normal 3 2 3 2 2 4 4" xfId="18626" xr:uid="{F83C094E-E40B-4FE0-97EF-567073AF645F}"/>
    <cellStyle name="Normal 3 2 3 2 2 4 5" xfId="10185" xr:uid="{D296BDDB-5BC4-4458-A3D5-61E504CC517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2 2 2" xfId="25402" xr:uid="{C91B42FD-637F-4C71-8839-37BAD3D6B11E}"/>
    <cellStyle name="Normal 3 2 3 2 2 5 2 2 3" xfId="16961" xr:uid="{2EDA5409-CCED-4469-8C85-CDD39F838A06}"/>
    <cellStyle name="Normal 3 2 3 2 2 5 2 3" xfId="21184" xr:uid="{643F0419-D747-486D-9B3C-239BA4B16D61}"/>
    <cellStyle name="Normal 3 2 3 2 2 5 2 4" xfId="12743" xr:uid="{80749EC3-E7AB-4A81-9FF0-B7BD8FB3A1EB}"/>
    <cellStyle name="Normal 3 2 3 2 2 5 3" xfId="6366" xr:uid="{00000000-0005-0000-0000-000090110000}"/>
    <cellStyle name="Normal 3 2 3 2 2 5 3 2" xfId="23257" xr:uid="{241EBFA4-9488-4FEE-9D36-471C7F0BBB0B}"/>
    <cellStyle name="Normal 3 2 3 2 2 5 3 3" xfId="14816" xr:uid="{7AD8B08F-094D-4F4A-8C1F-CBF61C173CC3}"/>
    <cellStyle name="Normal 3 2 3 2 2 5 4" xfId="19039" xr:uid="{5E59A4DA-6BFC-4D7F-A824-CE50CE6B97C5}"/>
    <cellStyle name="Normal 3 2 3 2 2 5 5" xfId="10598" xr:uid="{89AC3ABE-151C-4FED-A083-81FAD6177023}"/>
    <cellStyle name="Normal 3 2 3 2 2 6" xfId="2496" xr:uid="{00000000-0005-0000-0000-000091110000}"/>
    <cellStyle name="Normal 3 2 3 2 2 6 2" xfId="6779" xr:uid="{00000000-0005-0000-0000-000092110000}"/>
    <cellStyle name="Normal 3 2 3 2 2 6 2 2" xfId="23670" xr:uid="{60F94901-E497-41B1-B6E6-E801346D257C}"/>
    <cellStyle name="Normal 3 2 3 2 2 6 2 3" xfId="15229" xr:uid="{1A0B5051-8334-4D1E-B83C-26CA9CE3696C}"/>
    <cellStyle name="Normal 3 2 3 2 2 6 3" xfId="19452" xr:uid="{1252384A-0EA4-40A8-9035-217FAED734A5}"/>
    <cellStyle name="Normal 3 2 3 2 2 6 4" xfId="11011" xr:uid="{177E2E20-C31B-4FFA-AD09-0B4CCC991997}"/>
    <cellStyle name="Normal 3 2 3 2 2 7" xfId="4713" xr:uid="{00000000-0005-0000-0000-000093110000}"/>
    <cellStyle name="Normal 3 2 3 2 2 7 2" xfId="21604" xr:uid="{9A2DE227-E293-4AE4-877D-EF33C423E542}"/>
    <cellStyle name="Normal 3 2 3 2 2 7 3" xfId="13163" xr:uid="{36B8F1BB-617E-4C27-9431-3EF05D28F5AA}"/>
    <cellStyle name="Normal 3 2 3 2 2 8" xfId="17386" xr:uid="{4B1F7273-121F-4EF9-973F-2CBCA568D8B9}"/>
    <cellStyle name="Normal 3 2 3 2 2 9" xfId="8945" xr:uid="{46DE3138-AC03-4021-AC66-C2ECA20663B3}"/>
    <cellStyle name="Normal 3 2 3 2 3" xfId="812" xr:uid="{00000000-0005-0000-0000-000094110000}"/>
    <cellStyle name="Normal 3 2 3 2 3 2" xfId="3049" xr:uid="{00000000-0005-0000-0000-000095110000}"/>
    <cellStyle name="Normal 3 2 3 2 3 2 2" xfId="7271" xr:uid="{00000000-0005-0000-0000-000096110000}"/>
    <cellStyle name="Normal 3 2 3 2 3 2 2 2" xfId="24162" xr:uid="{DC13500E-C091-4F3C-A006-DB7C1C18A208}"/>
    <cellStyle name="Normal 3 2 3 2 3 2 2 3" xfId="15721" xr:uid="{1A779D1A-BD05-4C1D-8A0C-ABB52DDE1CF2}"/>
    <cellStyle name="Normal 3 2 3 2 3 2 3" xfId="19944" xr:uid="{57A2CDE9-3091-451A-B6F2-A867067C0CBD}"/>
    <cellStyle name="Normal 3 2 3 2 3 2 4" xfId="11503" xr:uid="{FBF4E92E-56F0-493C-985B-F5CD20647F15}"/>
    <cellStyle name="Normal 3 2 3 2 3 3" xfId="5126" xr:uid="{00000000-0005-0000-0000-000097110000}"/>
    <cellStyle name="Normal 3 2 3 2 3 3 2" xfId="22017" xr:uid="{D865EB7F-47AF-4176-9A24-FBC9024B3BD0}"/>
    <cellStyle name="Normal 3 2 3 2 3 3 3" xfId="13576" xr:uid="{401C35DF-E3E7-49DD-BC18-1A4394EE7233}"/>
    <cellStyle name="Normal 3 2 3 2 3 4" xfId="17799" xr:uid="{B5BDA646-2A90-423E-8E58-2100D603BB8A}"/>
    <cellStyle name="Normal 3 2 3 2 3 5" xfId="9358" xr:uid="{B07FC05F-454F-41FC-A9A5-746F9B3FBBB8}"/>
    <cellStyle name="Normal 3 2 3 2 4" xfId="1232" xr:uid="{00000000-0005-0000-0000-000098110000}"/>
    <cellStyle name="Normal 3 2 3 2 4 2" xfId="3462" xr:uid="{00000000-0005-0000-0000-000099110000}"/>
    <cellStyle name="Normal 3 2 3 2 4 2 2" xfId="7684" xr:uid="{00000000-0005-0000-0000-00009A110000}"/>
    <cellStyle name="Normal 3 2 3 2 4 2 2 2" xfId="24575" xr:uid="{E0F8D8D2-8A25-4CA7-8CDE-1947EDE67F3B}"/>
    <cellStyle name="Normal 3 2 3 2 4 2 2 3" xfId="16134" xr:uid="{E2BA8B26-ABF7-4492-ACE6-ECA7D40A7131}"/>
    <cellStyle name="Normal 3 2 3 2 4 2 3" xfId="20357" xr:uid="{F4468878-7536-42C0-A7EB-08A102BCB7C2}"/>
    <cellStyle name="Normal 3 2 3 2 4 2 4" xfId="11916" xr:uid="{B9B4B871-7600-4947-8A1B-AB7A5E035F1D}"/>
    <cellStyle name="Normal 3 2 3 2 4 3" xfId="5539" xr:uid="{00000000-0005-0000-0000-00009B110000}"/>
    <cellStyle name="Normal 3 2 3 2 4 3 2" xfId="22430" xr:uid="{3E373336-9188-4F86-8505-7578A7E0099E}"/>
    <cellStyle name="Normal 3 2 3 2 4 3 3" xfId="13989" xr:uid="{2D8037BF-CC2B-4630-809C-2384F07ACC6D}"/>
    <cellStyle name="Normal 3 2 3 2 4 4" xfId="18212" xr:uid="{42144ADC-A464-4BBA-89F5-7C6C4969C567}"/>
    <cellStyle name="Normal 3 2 3 2 4 5" xfId="9771" xr:uid="{8595AC3E-EAF0-4E40-AC9E-FB745B00781A}"/>
    <cellStyle name="Normal 3 2 3 2 5" xfId="1645" xr:uid="{00000000-0005-0000-0000-00009C110000}"/>
    <cellStyle name="Normal 3 2 3 2 5 2" xfId="3875" xr:uid="{00000000-0005-0000-0000-00009D110000}"/>
    <cellStyle name="Normal 3 2 3 2 5 2 2" xfId="8097" xr:uid="{00000000-0005-0000-0000-00009E110000}"/>
    <cellStyle name="Normal 3 2 3 2 5 2 2 2" xfId="24988" xr:uid="{3765185D-80C8-41F7-810F-52E7486B2724}"/>
    <cellStyle name="Normal 3 2 3 2 5 2 2 3" xfId="16547" xr:uid="{7AEB7886-FDEA-458D-B88A-2A89B5FC5046}"/>
    <cellStyle name="Normal 3 2 3 2 5 2 3" xfId="20770" xr:uid="{1CFF50DC-A862-4F2F-A840-DC2BEC456CB0}"/>
    <cellStyle name="Normal 3 2 3 2 5 2 4" xfId="12329" xr:uid="{654216FF-679B-4C8E-8FF3-5EC081AB2D65}"/>
    <cellStyle name="Normal 3 2 3 2 5 3" xfId="5952" xr:uid="{00000000-0005-0000-0000-00009F110000}"/>
    <cellStyle name="Normal 3 2 3 2 5 3 2" xfId="22843" xr:uid="{9D9FE2E1-43CD-428C-B028-800364DAE0A1}"/>
    <cellStyle name="Normal 3 2 3 2 5 3 3" xfId="14402" xr:uid="{2CFD086B-D80F-4048-B72E-F7AE86F8FCD9}"/>
    <cellStyle name="Normal 3 2 3 2 5 4" xfId="18625" xr:uid="{5BF84CEB-A7C4-4BD4-A981-FBBC106016AD}"/>
    <cellStyle name="Normal 3 2 3 2 5 5" xfId="10184" xr:uid="{52C088D1-5D97-41B7-8DAA-7FCAFAA03E88}"/>
    <cellStyle name="Normal 3 2 3 2 6" xfId="2059" xr:uid="{00000000-0005-0000-0000-0000A0110000}"/>
    <cellStyle name="Normal 3 2 3 2 6 2" xfId="4288" xr:uid="{00000000-0005-0000-0000-0000A1110000}"/>
    <cellStyle name="Normal 3 2 3 2 6 2 2" xfId="8510" xr:uid="{00000000-0005-0000-0000-0000A2110000}"/>
    <cellStyle name="Normal 3 2 3 2 6 2 2 2" xfId="25401" xr:uid="{52287418-F5E8-4292-9AF8-D476DA636B50}"/>
    <cellStyle name="Normal 3 2 3 2 6 2 2 3" xfId="16960" xr:uid="{300F4B20-CB39-4B83-A0E8-061265A635C2}"/>
    <cellStyle name="Normal 3 2 3 2 6 2 3" xfId="21183" xr:uid="{31B3C4AC-43E7-4E49-826E-B8AF016D03BD}"/>
    <cellStyle name="Normal 3 2 3 2 6 2 4" xfId="12742" xr:uid="{240C62F5-8897-4CB1-B2AF-E706E6958F15}"/>
    <cellStyle name="Normal 3 2 3 2 6 3" xfId="6365" xr:uid="{00000000-0005-0000-0000-0000A3110000}"/>
    <cellStyle name="Normal 3 2 3 2 6 3 2" xfId="23256" xr:uid="{ACE34289-B12A-4489-B5BA-973B532F8595}"/>
    <cellStyle name="Normal 3 2 3 2 6 3 3" xfId="14815" xr:uid="{E7EC4478-028A-460A-BE1D-5BEF0A9D9E5C}"/>
    <cellStyle name="Normal 3 2 3 2 6 4" xfId="19038" xr:uid="{02643003-2DD5-42CB-AF87-5CDF334D0953}"/>
    <cellStyle name="Normal 3 2 3 2 6 5" xfId="10597" xr:uid="{88D9A8CF-E0CB-479A-9AEB-CBD0EE535D37}"/>
    <cellStyle name="Normal 3 2 3 2 7" xfId="2495" xr:uid="{00000000-0005-0000-0000-0000A4110000}"/>
    <cellStyle name="Normal 3 2 3 2 7 2" xfId="6778" xr:uid="{00000000-0005-0000-0000-0000A5110000}"/>
    <cellStyle name="Normal 3 2 3 2 7 2 2" xfId="23669" xr:uid="{8967E1AD-8026-47F7-9019-57D4A9501439}"/>
    <cellStyle name="Normal 3 2 3 2 7 2 3" xfId="15228" xr:uid="{53928930-322E-489B-A9CC-23934D1EABFD}"/>
    <cellStyle name="Normal 3 2 3 2 7 3" xfId="19451" xr:uid="{E0513BB1-03A3-4671-85BA-8DD470FFCB87}"/>
    <cellStyle name="Normal 3 2 3 2 7 4" xfId="11010" xr:uid="{B9F1E052-124B-45E8-8FF3-118ECB8A4872}"/>
    <cellStyle name="Normal 3 2 3 2 8" xfId="4712" xr:uid="{00000000-0005-0000-0000-0000A6110000}"/>
    <cellStyle name="Normal 3 2 3 2 8 2" xfId="21603" xr:uid="{0E2CB976-9A25-43A1-8533-26A1D0BC729B}"/>
    <cellStyle name="Normal 3 2 3 2 8 3" xfId="13162" xr:uid="{F0D57876-0200-4157-B1C0-88C8ED42E8C3}"/>
    <cellStyle name="Normal 3 2 3 2 9" xfId="17385" xr:uid="{A381AA3C-AAC0-4C59-88F3-6818A7189226}"/>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2 2 2" xfId="24164" xr:uid="{6B84F822-1E8E-49AD-BBE6-357BD299224D}"/>
    <cellStyle name="Normal 3 2 3 3 2 2 2 3" xfId="15723" xr:uid="{498B5A0B-165D-43FB-8728-96AA9527C1FC}"/>
    <cellStyle name="Normal 3 2 3 3 2 2 3" xfId="19946" xr:uid="{05D5706A-C22F-4B5B-8CBB-A64BF775644B}"/>
    <cellStyle name="Normal 3 2 3 3 2 2 4" xfId="11505" xr:uid="{ECB66749-62B9-4D7F-9DFD-172CBFAA5005}"/>
    <cellStyle name="Normal 3 2 3 3 2 3" xfId="5128" xr:uid="{00000000-0005-0000-0000-0000AB110000}"/>
    <cellStyle name="Normal 3 2 3 3 2 3 2" xfId="22019" xr:uid="{E839F813-F833-4D0C-BB13-913EF650F65B}"/>
    <cellStyle name="Normal 3 2 3 3 2 3 3" xfId="13578" xr:uid="{A49CA723-A7C9-4B13-8AFA-B9F90B2E3871}"/>
    <cellStyle name="Normal 3 2 3 3 2 4" xfId="17801" xr:uid="{A251D884-B8DB-4C03-8C94-3355D28F11D4}"/>
    <cellStyle name="Normal 3 2 3 3 2 5" xfId="9360" xr:uid="{2238DA7A-A37B-4270-B363-01E598A197C0}"/>
    <cellStyle name="Normal 3 2 3 3 3" xfId="1234" xr:uid="{00000000-0005-0000-0000-0000AC110000}"/>
    <cellStyle name="Normal 3 2 3 3 3 2" xfId="3464" xr:uid="{00000000-0005-0000-0000-0000AD110000}"/>
    <cellStyle name="Normal 3 2 3 3 3 2 2" xfId="7686" xr:uid="{00000000-0005-0000-0000-0000AE110000}"/>
    <cellStyle name="Normal 3 2 3 3 3 2 2 2" xfId="24577" xr:uid="{99A0C144-B457-4ACD-BF33-8250CBE0AC5F}"/>
    <cellStyle name="Normal 3 2 3 3 3 2 2 3" xfId="16136" xr:uid="{42BFD032-E1E3-4172-AE86-013290FB189D}"/>
    <cellStyle name="Normal 3 2 3 3 3 2 3" xfId="20359" xr:uid="{60C5CAC5-6779-4594-818E-1DC79A427D6A}"/>
    <cellStyle name="Normal 3 2 3 3 3 2 4" xfId="11918" xr:uid="{1C4A291E-63CE-48ED-9CD9-BA61C31A2000}"/>
    <cellStyle name="Normal 3 2 3 3 3 3" xfId="5541" xr:uid="{00000000-0005-0000-0000-0000AF110000}"/>
    <cellStyle name="Normal 3 2 3 3 3 3 2" xfId="22432" xr:uid="{F012B8FC-9BA4-45E2-AF43-DDB31CBE9083}"/>
    <cellStyle name="Normal 3 2 3 3 3 3 3" xfId="13991" xr:uid="{7F6A0BE0-1A7B-438E-ADCA-B211E022696C}"/>
    <cellStyle name="Normal 3 2 3 3 3 4" xfId="18214" xr:uid="{B4DF4FEA-7CB9-492E-8F8E-F1CF95A86782}"/>
    <cellStyle name="Normal 3 2 3 3 3 5" xfId="9773" xr:uid="{A67CEC8E-0C41-4BAE-B877-325ADAC6B574}"/>
    <cellStyle name="Normal 3 2 3 3 4" xfId="1647" xr:uid="{00000000-0005-0000-0000-0000B0110000}"/>
    <cellStyle name="Normal 3 2 3 3 4 2" xfId="3877" xr:uid="{00000000-0005-0000-0000-0000B1110000}"/>
    <cellStyle name="Normal 3 2 3 3 4 2 2" xfId="8099" xr:uid="{00000000-0005-0000-0000-0000B2110000}"/>
    <cellStyle name="Normal 3 2 3 3 4 2 2 2" xfId="24990" xr:uid="{15752147-47ED-4D11-BC76-4A3DF9A90D68}"/>
    <cellStyle name="Normal 3 2 3 3 4 2 2 3" xfId="16549" xr:uid="{BF56D95F-9735-452A-834D-F7C4439F34ED}"/>
    <cellStyle name="Normal 3 2 3 3 4 2 3" xfId="20772" xr:uid="{9172D8F1-C597-45AC-8850-B619FC4D8BD8}"/>
    <cellStyle name="Normal 3 2 3 3 4 2 4" xfId="12331" xr:uid="{D76312EB-DF44-4048-AC4A-DEAC28D4BD53}"/>
    <cellStyle name="Normal 3 2 3 3 4 3" xfId="5954" xr:uid="{00000000-0005-0000-0000-0000B3110000}"/>
    <cellStyle name="Normal 3 2 3 3 4 3 2" xfId="22845" xr:uid="{ADD2F21B-A77A-4BEA-91B9-17E914C91F3F}"/>
    <cellStyle name="Normal 3 2 3 3 4 3 3" xfId="14404" xr:uid="{E20961F6-2D29-4B3A-A54E-C36C3517CB95}"/>
    <cellStyle name="Normal 3 2 3 3 4 4" xfId="18627" xr:uid="{EC2241E9-B639-401C-AE23-6326F93E3BF0}"/>
    <cellStyle name="Normal 3 2 3 3 4 5" xfId="10186" xr:uid="{D8505017-DF7B-4619-B4B5-25ED72699D56}"/>
    <cellStyle name="Normal 3 2 3 3 5" xfId="2061" xr:uid="{00000000-0005-0000-0000-0000B4110000}"/>
    <cellStyle name="Normal 3 2 3 3 5 2" xfId="4290" xr:uid="{00000000-0005-0000-0000-0000B5110000}"/>
    <cellStyle name="Normal 3 2 3 3 5 2 2" xfId="8512" xr:uid="{00000000-0005-0000-0000-0000B6110000}"/>
    <cellStyle name="Normal 3 2 3 3 5 2 2 2" xfId="25403" xr:uid="{5E70553C-F2FA-447E-AD2C-BC0F033870E2}"/>
    <cellStyle name="Normal 3 2 3 3 5 2 2 3" xfId="16962" xr:uid="{19D0935D-CD6E-431E-8D3A-3D08EEA02C54}"/>
    <cellStyle name="Normal 3 2 3 3 5 2 3" xfId="21185" xr:uid="{DA77DB33-F97D-46F1-A647-ED241BDE1690}"/>
    <cellStyle name="Normal 3 2 3 3 5 2 4" xfId="12744" xr:uid="{8FF70CC5-FA82-4DD5-A680-292B5C88848D}"/>
    <cellStyle name="Normal 3 2 3 3 5 3" xfId="6367" xr:uid="{00000000-0005-0000-0000-0000B7110000}"/>
    <cellStyle name="Normal 3 2 3 3 5 3 2" xfId="23258" xr:uid="{E475BB44-B9B4-4747-B8F6-039E2EC902EB}"/>
    <cellStyle name="Normal 3 2 3 3 5 3 3" xfId="14817" xr:uid="{5CD02C93-C3AD-4463-A752-828EA786C17B}"/>
    <cellStyle name="Normal 3 2 3 3 5 4" xfId="19040" xr:uid="{52D15ED9-2C63-4CA1-8873-75924F09AF34}"/>
    <cellStyle name="Normal 3 2 3 3 5 5" xfId="10599" xr:uid="{325B7F3E-9C60-4DCF-8B92-7ADF745B5E22}"/>
    <cellStyle name="Normal 3 2 3 3 6" xfId="2497" xr:uid="{00000000-0005-0000-0000-0000B8110000}"/>
    <cellStyle name="Normal 3 2 3 3 6 2" xfId="6780" xr:uid="{00000000-0005-0000-0000-0000B9110000}"/>
    <cellStyle name="Normal 3 2 3 3 6 2 2" xfId="23671" xr:uid="{B008206D-00E4-4675-BAEA-77F0E0DA35A1}"/>
    <cellStyle name="Normal 3 2 3 3 6 2 3" xfId="15230" xr:uid="{ADE92A3D-0DF8-44BC-89D4-CC508919608F}"/>
    <cellStyle name="Normal 3 2 3 3 6 3" xfId="19453" xr:uid="{464A0AEF-E996-4934-A6C3-99DB5E593D71}"/>
    <cellStyle name="Normal 3 2 3 3 6 4" xfId="11012" xr:uid="{389C3C83-BA77-45F9-AD36-2C294D369924}"/>
    <cellStyle name="Normal 3 2 3 3 7" xfId="4714" xr:uid="{00000000-0005-0000-0000-0000BA110000}"/>
    <cellStyle name="Normal 3 2 3 3 7 2" xfId="21605" xr:uid="{A8313A6F-4970-4681-8298-B7E7CF254BA8}"/>
    <cellStyle name="Normal 3 2 3 3 7 3" xfId="13164" xr:uid="{071E8E5F-48D5-4A5D-9A30-6B91A3758D48}"/>
    <cellStyle name="Normal 3 2 3 3 8" xfId="17387" xr:uid="{223356F9-4597-47AF-93DB-1EDC5C51A9AD}"/>
    <cellStyle name="Normal 3 2 3 3 9" xfId="8946" xr:uid="{2F315B01-B6D1-4785-B0D0-750B1DB3A9EE}"/>
    <cellStyle name="Normal 3 2 3 4" xfId="811" xr:uid="{00000000-0005-0000-0000-0000BB110000}"/>
    <cellStyle name="Normal 3 2 3 4 2" xfId="3048" xr:uid="{00000000-0005-0000-0000-0000BC110000}"/>
    <cellStyle name="Normal 3 2 3 4 2 2" xfId="7270" xr:uid="{00000000-0005-0000-0000-0000BD110000}"/>
    <cellStyle name="Normal 3 2 3 4 2 2 2" xfId="24161" xr:uid="{481E3EB2-766F-4F20-93C2-1D42D855EB89}"/>
    <cellStyle name="Normal 3 2 3 4 2 2 3" xfId="15720" xr:uid="{740F48D0-EF3F-4549-B1B6-73B4D22FBCA0}"/>
    <cellStyle name="Normal 3 2 3 4 2 3" xfId="19943" xr:uid="{C4CDBD78-E575-4BF3-82B0-FA74EED79771}"/>
    <cellStyle name="Normal 3 2 3 4 2 4" xfId="11502" xr:uid="{D87935DB-65DB-49B3-9453-CE02DDAE7E27}"/>
    <cellStyle name="Normal 3 2 3 4 3" xfId="5125" xr:uid="{00000000-0005-0000-0000-0000BE110000}"/>
    <cellStyle name="Normal 3 2 3 4 3 2" xfId="22016" xr:uid="{ACF42F27-81D7-4C2A-9A3C-47BED742BB43}"/>
    <cellStyle name="Normal 3 2 3 4 3 3" xfId="13575" xr:uid="{C253400E-83EE-45B1-8A77-E6C5EE87758D}"/>
    <cellStyle name="Normal 3 2 3 4 4" xfId="17798" xr:uid="{EA10DE44-B53B-4A39-814D-FDDA43FA7798}"/>
    <cellStyle name="Normal 3 2 3 4 5" xfId="9357" xr:uid="{A768CE38-10A1-45EE-AF43-322D61D41B67}"/>
    <cellStyle name="Normal 3 2 3 5" xfId="1231" xr:uid="{00000000-0005-0000-0000-0000BF110000}"/>
    <cellStyle name="Normal 3 2 3 5 2" xfId="3461" xr:uid="{00000000-0005-0000-0000-0000C0110000}"/>
    <cellStyle name="Normal 3 2 3 5 2 2" xfId="7683" xr:uid="{00000000-0005-0000-0000-0000C1110000}"/>
    <cellStyle name="Normal 3 2 3 5 2 2 2" xfId="24574" xr:uid="{7BF6F695-D209-4D3A-BF77-E3448599F499}"/>
    <cellStyle name="Normal 3 2 3 5 2 2 3" xfId="16133" xr:uid="{A03384DA-3FAE-4C92-8FFB-4C1BF47EFE25}"/>
    <cellStyle name="Normal 3 2 3 5 2 3" xfId="20356" xr:uid="{2DDE2EFB-FD9F-44DD-A330-F8A98066CBF0}"/>
    <cellStyle name="Normal 3 2 3 5 2 4" xfId="11915" xr:uid="{288569E4-25AF-4EBE-A677-7B8F71DD1E0F}"/>
    <cellStyle name="Normal 3 2 3 5 3" xfId="5538" xr:uid="{00000000-0005-0000-0000-0000C2110000}"/>
    <cellStyle name="Normal 3 2 3 5 3 2" xfId="22429" xr:uid="{D78571D0-5C77-4CDA-82A4-33B7523EE232}"/>
    <cellStyle name="Normal 3 2 3 5 3 3" xfId="13988" xr:uid="{D621187C-7623-4BCC-92FC-A8516F04BC08}"/>
    <cellStyle name="Normal 3 2 3 5 4" xfId="18211" xr:uid="{A1988447-1D0C-4882-8B23-B1AB36169900}"/>
    <cellStyle name="Normal 3 2 3 5 5" xfId="9770" xr:uid="{EC089733-5C25-45B0-84F7-6BAB9486A96B}"/>
    <cellStyle name="Normal 3 2 3 6" xfId="1644" xr:uid="{00000000-0005-0000-0000-0000C3110000}"/>
    <cellStyle name="Normal 3 2 3 6 2" xfId="3874" xr:uid="{00000000-0005-0000-0000-0000C4110000}"/>
    <cellStyle name="Normal 3 2 3 6 2 2" xfId="8096" xr:uid="{00000000-0005-0000-0000-0000C5110000}"/>
    <cellStyle name="Normal 3 2 3 6 2 2 2" xfId="24987" xr:uid="{2D0B517E-A6B1-4717-B42A-8011A7E7B5FA}"/>
    <cellStyle name="Normal 3 2 3 6 2 2 3" xfId="16546" xr:uid="{83A5F8D9-6CEC-4C0C-8368-CAE41040AF60}"/>
    <cellStyle name="Normal 3 2 3 6 2 3" xfId="20769" xr:uid="{35116AF2-7EA5-450C-B9EC-428848988EA5}"/>
    <cellStyle name="Normal 3 2 3 6 2 4" xfId="12328" xr:uid="{A46C83DB-CDD7-45F0-AF2D-54ABF0D1275A}"/>
    <cellStyle name="Normal 3 2 3 6 3" xfId="5951" xr:uid="{00000000-0005-0000-0000-0000C6110000}"/>
    <cellStyle name="Normal 3 2 3 6 3 2" xfId="22842" xr:uid="{2BC4BA1B-8A16-468A-96C2-C0F89E6011E0}"/>
    <cellStyle name="Normal 3 2 3 6 3 3" xfId="14401" xr:uid="{897F1AFD-8FFB-43D5-BA29-E500077C8105}"/>
    <cellStyle name="Normal 3 2 3 6 4" xfId="18624" xr:uid="{AE40F1C0-459E-4A39-934C-83168EC0A700}"/>
    <cellStyle name="Normal 3 2 3 6 5" xfId="10183" xr:uid="{25970E86-A06E-4168-878C-502022D35923}"/>
    <cellStyle name="Normal 3 2 3 7" xfId="2058" xr:uid="{00000000-0005-0000-0000-0000C7110000}"/>
    <cellStyle name="Normal 3 2 3 7 2" xfId="4287" xr:uid="{00000000-0005-0000-0000-0000C8110000}"/>
    <cellStyle name="Normal 3 2 3 7 2 2" xfId="8509" xr:uid="{00000000-0005-0000-0000-0000C9110000}"/>
    <cellStyle name="Normal 3 2 3 7 2 2 2" xfId="25400" xr:uid="{716F2F4F-84E5-4902-8CE4-B8F7172A4934}"/>
    <cellStyle name="Normal 3 2 3 7 2 2 3" xfId="16959" xr:uid="{5D08B791-1ED7-4090-AE1B-2B89348D2EF2}"/>
    <cellStyle name="Normal 3 2 3 7 2 3" xfId="21182" xr:uid="{F4382D64-72A4-4927-BF11-7F2B4B5A0868}"/>
    <cellStyle name="Normal 3 2 3 7 2 4" xfId="12741" xr:uid="{B68C39A1-FA36-4ACE-A0C8-58189275B522}"/>
    <cellStyle name="Normal 3 2 3 7 3" xfId="6364" xr:uid="{00000000-0005-0000-0000-0000CA110000}"/>
    <cellStyle name="Normal 3 2 3 7 3 2" xfId="23255" xr:uid="{F9F85A6D-8777-4761-97BE-7743F092A88B}"/>
    <cellStyle name="Normal 3 2 3 7 3 3" xfId="14814" xr:uid="{6CAF814D-5DDE-48F9-85E1-B8B0D9014DBD}"/>
    <cellStyle name="Normal 3 2 3 7 4" xfId="19037" xr:uid="{E191E6FB-5375-4FDD-8D1C-A455EE019E6D}"/>
    <cellStyle name="Normal 3 2 3 7 5" xfId="10596" xr:uid="{4B70AFD2-D7A6-4C00-B798-B31F6A1F5523}"/>
    <cellStyle name="Normal 3 2 3 8" xfId="2494" xr:uid="{00000000-0005-0000-0000-0000CB110000}"/>
    <cellStyle name="Normal 3 2 3 8 2" xfId="6777" xr:uid="{00000000-0005-0000-0000-0000CC110000}"/>
    <cellStyle name="Normal 3 2 3 8 2 2" xfId="23668" xr:uid="{35C6B24E-58B8-45B8-B9B9-628A6EBD728B}"/>
    <cellStyle name="Normal 3 2 3 8 2 3" xfId="15227" xr:uid="{FD888DD7-48D2-45EA-BDFD-1939469D0BC2}"/>
    <cellStyle name="Normal 3 2 3 8 3" xfId="19450" xr:uid="{C4F946B5-265A-48BD-83FE-69CC3DB290B0}"/>
    <cellStyle name="Normal 3 2 3 8 4" xfId="11009" xr:uid="{16E17F13-8E05-4F50-850B-276D3888EB45}"/>
    <cellStyle name="Normal 3 2 3 9" xfId="4711" xr:uid="{00000000-0005-0000-0000-0000CD110000}"/>
    <cellStyle name="Normal 3 2 3 9 2" xfId="21602" xr:uid="{82B6B2F4-D3DE-46D4-BF48-25AB75DB04DA}"/>
    <cellStyle name="Normal 3 2 3 9 3" xfId="13161" xr:uid="{9BECF67E-2AE3-48C8-A9BE-234F60F6FE4F}"/>
    <cellStyle name="Normal 3 2 4" xfId="809" xr:uid="{00000000-0005-0000-0000-0000CE110000}"/>
    <cellStyle name="Normal 3 2 4 2" xfId="3047" xr:uid="{00000000-0005-0000-0000-0000CF110000}"/>
    <cellStyle name="Normal 3 2 4 2 2" xfId="7269" xr:uid="{00000000-0005-0000-0000-0000D0110000}"/>
    <cellStyle name="Normal 3 2 4 2 2 2" xfId="24160" xr:uid="{3A8121CF-3B92-4834-8D18-0399B7FDCB07}"/>
    <cellStyle name="Normal 3 2 4 2 2 3" xfId="15719" xr:uid="{07F261CF-F49C-4514-9337-26D41B5D6E93}"/>
    <cellStyle name="Normal 3 2 4 2 3" xfId="19942" xr:uid="{109CE49F-E35A-4C4E-AC3A-E67A3D99F856}"/>
    <cellStyle name="Normal 3 2 4 2 4" xfId="11501" xr:uid="{0496EDE8-6A5B-4737-9ED6-AF43DBC4BC1B}"/>
    <cellStyle name="Normal 3 2 4 3" xfId="5124" xr:uid="{00000000-0005-0000-0000-0000D1110000}"/>
    <cellStyle name="Normal 3 2 4 3 2" xfId="22015" xr:uid="{4807BAE0-6498-48EC-BD54-3775ADE612FB}"/>
    <cellStyle name="Normal 3 2 4 3 3" xfId="13574" xr:uid="{6B18DCEE-4DBB-4F6D-A93E-AED7BE81AE16}"/>
    <cellStyle name="Normal 3 2 4 4" xfId="17797" xr:uid="{EE6D48A4-2612-4C14-95BA-CC5AA9E18A23}"/>
    <cellStyle name="Normal 3 2 4 5" xfId="9356" xr:uid="{A7E09ADA-2A89-45B4-A376-852044D65754}"/>
    <cellStyle name="Normal 3 2 5" xfId="1230" xr:uid="{00000000-0005-0000-0000-0000D2110000}"/>
    <cellStyle name="Normal 3 2 5 2" xfId="3460" xr:uid="{00000000-0005-0000-0000-0000D3110000}"/>
    <cellStyle name="Normal 3 2 5 2 2" xfId="7682" xr:uid="{00000000-0005-0000-0000-0000D4110000}"/>
    <cellStyle name="Normal 3 2 5 2 2 2" xfId="24573" xr:uid="{A6842359-7EAB-4D0E-996C-22DC05C28A7A}"/>
    <cellStyle name="Normal 3 2 5 2 2 3" xfId="16132" xr:uid="{F6D51232-815E-4847-9972-CD6759DAEF27}"/>
    <cellStyle name="Normal 3 2 5 2 3" xfId="20355" xr:uid="{095E04DC-C059-4986-8FE7-CE8769B7312C}"/>
    <cellStyle name="Normal 3 2 5 2 4" xfId="11914" xr:uid="{6EE193BD-2D7A-4036-A521-0C666A212316}"/>
    <cellStyle name="Normal 3 2 5 3" xfId="5537" xr:uid="{00000000-0005-0000-0000-0000D5110000}"/>
    <cellStyle name="Normal 3 2 5 3 2" xfId="22428" xr:uid="{58020C64-BFB0-4B70-A335-1A48748944A3}"/>
    <cellStyle name="Normal 3 2 5 3 3" xfId="13987" xr:uid="{E11608EC-D6BE-4E72-A778-1F9491F5CCCA}"/>
    <cellStyle name="Normal 3 2 5 4" xfId="18210" xr:uid="{1EECFA8F-BA83-4B34-85CA-903A44351FE7}"/>
    <cellStyle name="Normal 3 2 5 5" xfId="9769" xr:uid="{03801C3E-3EB9-469D-8A95-EF5AB6E27521}"/>
    <cellStyle name="Normal 3 2 6" xfId="1643" xr:uid="{00000000-0005-0000-0000-0000D6110000}"/>
    <cellStyle name="Normal 3 2 6 2" xfId="3873" xr:uid="{00000000-0005-0000-0000-0000D7110000}"/>
    <cellStyle name="Normal 3 2 6 2 2" xfId="8095" xr:uid="{00000000-0005-0000-0000-0000D8110000}"/>
    <cellStyle name="Normal 3 2 6 2 2 2" xfId="24986" xr:uid="{0CCE7C5A-4293-45B9-B6E8-6F7F83589516}"/>
    <cellStyle name="Normal 3 2 6 2 2 3" xfId="16545" xr:uid="{52B8A3B4-CA9A-4D5F-B694-9CB8DCE3002D}"/>
    <cellStyle name="Normal 3 2 6 2 3" xfId="20768" xr:uid="{53F6BF62-8AEB-47AA-A8A1-00E69D11A4BD}"/>
    <cellStyle name="Normal 3 2 6 2 4" xfId="12327" xr:uid="{A4DBBC9E-A5FC-46B4-A8AB-B198B99F8FF4}"/>
    <cellStyle name="Normal 3 2 6 3" xfId="5950" xr:uid="{00000000-0005-0000-0000-0000D9110000}"/>
    <cellStyle name="Normal 3 2 6 3 2" xfId="22841" xr:uid="{3BFB35CD-BDA4-44DE-8153-92AA9E86DF34}"/>
    <cellStyle name="Normal 3 2 6 3 3" xfId="14400" xr:uid="{5974A4B1-ACD0-4FD7-9BCC-44CEEC9B0500}"/>
    <cellStyle name="Normal 3 2 6 4" xfId="18623" xr:uid="{BA1E2D2C-4E83-435B-BBC5-E8BFCF285958}"/>
    <cellStyle name="Normal 3 2 6 5" xfId="10182" xr:uid="{42849BCD-05F2-4C8F-B3D5-ACDBA1104EF2}"/>
    <cellStyle name="Normal 3 2 7" xfId="2057" xr:uid="{00000000-0005-0000-0000-0000DA110000}"/>
    <cellStyle name="Normal 3 2 7 2" xfId="4286" xr:uid="{00000000-0005-0000-0000-0000DB110000}"/>
    <cellStyle name="Normal 3 2 7 2 2" xfId="8508" xr:uid="{00000000-0005-0000-0000-0000DC110000}"/>
    <cellStyle name="Normal 3 2 7 2 2 2" xfId="25399" xr:uid="{DD8D7A68-8CAC-4946-B892-69E829C655D6}"/>
    <cellStyle name="Normal 3 2 7 2 2 3" xfId="16958" xr:uid="{4ADB7EFB-2304-45A4-BEEB-581CFA5DE44A}"/>
    <cellStyle name="Normal 3 2 7 2 3" xfId="21181" xr:uid="{CBDA1044-BC77-436D-83A7-091A8C7928CA}"/>
    <cellStyle name="Normal 3 2 7 2 4" xfId="12740" xr:uid="{E1ACD8A1-5010-489B-AABE-9C3A1D882BE1}"/>
    <cellStyle name="Normal 3 2 7 3" xfId="6363" xr:uid="{00000000-0005-0000-0000-0000DD110000}"/>
    <cellStyle name="Normal 3 2 7 3 2" xfId="23254" xr:uid="{FA104608-20CC-4BB6-8EB1-17B82FC9B4A6}"/>
    <cellStyle name="Normal 3 2 7 3 3" xfId="14813" xr:uid="{37B9673D-E536-4771-A1DD-6E1C70F1D65C}"/>
    <cellStyle name="Normal 3 2 7 4" xfId="19036" xr:uid="{1E73E602-FA09-418A-91EA-15E90FCC1496}"/>
    <cellStyle name="Normal 3 2 7 5" xfId="10595" xr:uid="{95026E16-3B59-466A-A367-5726734D4C53}"/>
    <cellStyle name="Normal 3 2 8" xfId="2493" xr:uid="{00000000-0005-0000-0000-0000DE110000}"/>
    <cellStyle name="Normal 3 2 8 2" xfId="6776" xr:uid="{00000000-0005-0000-0000-0000DF110000}"/>
    <cellStyle name="Normal 3 2 8 2 2" xfId="23667" xr:uid="{F550D478-56EB-4031-920C-842B798D5E91}"/>
    <cellStyle name="Normal 3 2 8 2 3" xfId="15226" xr:uid="{69AF62FE-929A-44CA-BDD4-E87CE76F4B19}"/>
    <cellStyle name="Normal 3 2 8 3" xfId="19449" xr:uid="{61C541B2-1E1E-4012-A330-CE3710C8CC8D}"/>
    <cellStyle name="Normal 3 2 8 4" xfId="11008" xr:uid="{CA8B080B-C068-47B0-9BE4-18C6FD0A1C08}"/>
    <cellStyle name="Normal 3 2 9" xfId="4710" xr:uid="{00000000-0005-0000-0000-0000E0110000}"/>
    <cellStyle name="Normal 3 2 9 2" xfId="21601" xr:uid="{61649197-070E-4E5C-BA07-3F863A089A9E}"/>
    <cellStyle name="Normal 3 2 9 3" xfId="13160" xr:uid="{4C10A458-A86B-4EF6-8A3D-F2C87D4E6707}"/>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17388" xr:uid="{C316FA86-F0E3-497E-A873-D4A81DF5E99B}"/>
    <cellStyle name="Normal 4 11" xfId="8947" xr:uid="{ADC3C1B3-977A-444C-82F9-F113213DA92D}"/>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2 2 2" xfId="25404" xr:uid="{80C3F4E7-4EB9-4C67-9952-5DD8E096021F}"/>
    <cellStyle name="Normal 4 2 2 10 2 2 3" xfId="16963" xr:uid="{97DC0EC3-57B0-42A0-8B14-138296E47A42}"/>
    <cellStyle name="Normal 4 2 2 10 2 3" xfId="21186" xr:uid="{1EC84835-CAB7-48E5-8075-4A096F80DA21}"/>
    <cellStyle name="Normal 4 2 2 10 2 4" xfId="12745" xr:uid="{2A678A06-17EF-4CB4-89D9-090D9CB5B9ED}"/>
    <cellStyle name="Normal 4 2 2 10 3" xfId="6368" xr:uid="{00000000-0005-0000-0000-0000ED110000}"/>
    <cellStyle name="Normal 4 2 2 10 3 2" xfId="23259" xr:uid="{DD1DE1E0-678C-44BD-BDC2-C972C47F6395}"/>
    <cellStyle name="Normal 4 2 2 10 3 3" xfId="14818" xr:uid="{961135CB-B009-44D1-AE38-F75588FB12ED}"/>
    <cellStyle name="Normal 4 2 2 10 4" xfId="19041" xr:uid="{16783F51-314D-4B56-9B88-002E25BAFE38}"/>
    <cellStyle name="Normal 4 2 2 10 5" xfId="10600" xr:uid="{5D619D24-E748-458B-A73C-983B191F3C85}"/>
    <cellStyle name="Normal 4 2 2 11" xfId="2498" xr:uid="{00000000-0005-0000-0000-0000EE110000}"/>
    <cellStyle name="Normal 4 2 2 11 2" xfId="6781" xr:uid="{00000000-0005-0000-0000-0000EF110000}"/>
    <cellStyle name="Normal 4 2 2 11 2 2" xfId="23672" xr:uid="{B46C8AAE-883D-447D-9432-94F194C02C14}"/>
    <cellStyle name="Normal 4 2 2 11 2 3" xfId="15231" xr:uid="{B3700020-C7A8-4181-B3DD-161FCC09AD81}"/>
    <cellStyle name="Normal 4 2 2 11 3" xfId="19454" xr:uid="{2313B3CD-0849-46EE-85AE-F15334B2996C}"/>
    <cellStyle name="Normal 4 2 2 11 4" xfId="11013" xr:uid="{85CE57F1-C885-4AF3-A804-42306E340AD4}"/>
    <cellStyle name="Normal 4 2 2 12" xfId="4716" xr:uid="{00000000-0005-0000-0000-0000F0110000}"/>
    <cellStyle name="Normal 4 2 2 12 2" xfId="21607" xr:uid="{B3E7E870-992F-4D04-971C-53057C64ABF9}"/>
    <cellStyle name="Normal 4 2 2 12 3" xfId="13166" xr:uid="{5C7114CD-9A2E-4198-86E1-F7727F240064}"/>
    <cellStyle name="Normal 4 2 2 13" xfId="17389" xr:uid="{3337C48C-DD6C-4AFB-B848-955649D51E0C}"/>
    <cellStyle name="Normal 4 2 2 14" xfId="8948" xr:uid="{38CE2ACE-3D54-40C5-B57A-F9E774934C5B}"/>
    <cellStyle name="Normal 4 2 2 2" xfId="338" xr:uid="{00000000-0005-0000-0000-0000F1110000}"/>
    <cellStyle name="Normal 4 2 2 3" xfId="339" xr:uid="{00000000-0005-0000-0000-0000F2110000}"/>
    <cellStyle name="Normal 4 2 2 3 10" xfId="4717" xr:uid="{00000000-0005-0000-0000-0000F3110000}"/>
    <cellStyle name="Normal 4 2 2 3 10 2" xfId="21608" xr:uid="{3165B851-15BB-4568-9249-01136D73D614}"/>
    <cellStyle name="Normal 4 2 2 3 10 3" xfId="13167" xr:uid="{3604EB9E-F9C2-495F-A7CC-D56FCA02EB97}"/>
    <cellStyle name="Normal 4 2 2 3 11" xfId="17390" xr:uid="{7F3514E6-9F6D-44F3-8E7D-272087D667EA}"/>
    <cellStyle name="Normal 4 2 2 3 12" xfId="8949" xr:uid="{90F83744-EA93-4061-98BD-0FA8409A0D2D}"/>
    <cellStyle name="Normal 4 2 2 3 2" xfId="340" xr:uid="{00000000-0005-0000-0000-0000F4110000}"/>
    <cellStyle name="Normal 4 2 2 3 2 10" xfId="17391" xr:uid="{F16E80D7-1244-4F19-9932-794E2D939A21}"/>
    <cellStyle name="Normal 4 2 2 3 2 11" xfId="8950" xr:uid="{FE1D0FBC-D7C2-422F-BB36-030E27DB420E}"/>
    <cellStyle name="Normal 4 2 2 3 2 2" xfId="341" xr:uid="{00000000-0005-0000-0000-0000F5110000}"/>
    <cellStyle name="Normal 4 2 2 3 2 2 10" xfId="8951" xr:uid="{56A6A588-A358-4582-8292-3430133695BC}"/>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2 2 2" xfId="24169" xr:uid="{D537BAAF-1B54-4844-A6FD-275322FC12F3}"/>
    <cellStyle name="Normal 4 2 2 3 2 2 2 2 2 2 3" xfId="15728" xr:uid="{35EA0F68-8EC1-4049-B59E-6DEAF4608D87}"/>
    <cellStyle name="Normal 4 2 2 3 2 2 2 2 2 3" xfId="19951" xr:uid="{2B18D1C1-6AC3-4964-845E-2FACA536AB3C}"/>
    <cellStyle name="Normal 4 2 2 3 2 2 2 2 2 4" xfId="11510" xr:uid="{D8C41472-6A43-455A-8E42-941ABC87425C}"/>
    <cellStyle name="Normal 4 2 2 3 2 2 2 2 3" xfId="5133" xr:uid="{00000000-0005-0000-0000-0000FA110000}"/>
    <cellStyle name="Normal 4 2 2 3 2 2 2 2 3 2" xfId="22024" xr:uid="{B20FAB0D-7CB8-404B-A76F-FAC20FCED58B}"/>
    <cellStyle name="Normal 4 2 2 3 2 2 2 2 3 3" xfId="13583" xr:uid="{B10810D6-FAD8-42C2-AFF0-7FB4EB6B681F}"/>
    <cellStyle name="Normal 4 2 2 3 2 2 2 2 4" xfId="17806" xr:uid="{25C15146-9517-4348-8D07-0A0750F4009A}"/>
    <cellStyle name="Normal 4 2 2 3 2 2 2 2 5" xfId="9365" xr:uid="{3411424E-90E4-46F0-86C1-4DD231818FCA}"/>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2 2 2" xfId="24582" xr:uid="{09988501-F61C-4407-8453-2A74C7387D7E}"/>
    <cellStyle name="Normal 4 2 2 3 2 2 2 3 2 2 3" xfId="16141" xr:uid="{AA96F571-D86C-4AA9-B532-CAA3AC07E700}"/>
    <cellStyle name="Normal 4 2 2 3 2 2 2 3 2 3" xfId="20364" xr:uid="{2430D0DE-490A-4F09-B258-2AEC1A2C3632}"/>
    <cellStyle name="Normal 4 2 2 3 2 2 2 3 2 4" xfId="11923" xr:uid="{29B21309-E3E4-454B-A8F8-1F78C2E2E570}"/>
    <cellStyle name="Normal 4 2 2 3 2 2 2 3 3" xfId="5546" xr:uid="{00000000-0005-0000-0000-0000FE110000}"/>
    <cellStyle name="Normal 4 2 2 3 2 2 2 3 3 2" xfId="22437" xr:uid="{9C99C942-5F07-492A-A0E4-B8FE4476D987}"/>
    <cellStyle name="Normal 4 2 2 3 2 2 2 3 3 3" xfId="13996" xr:uid="{FB88D46E-29BD-42DA-9A61-5E55424A6BA1}"/>
    <cellStyle name="Normal 4 2 2 3 2 2 2 3 4" xfId="18219" xr:uid="{D8286060-9FBD-409A-8B2B-57D84E2BC44D}"/>
    <cellStyle name="Normal 4 2 2 3 2 2 2 3 5" xfId="9778" xr:uid="{30DD803C-1968-46E2-A95A-68D9577DDE1E}"/>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2 2 2" xfId="24995" xr:uid="{8B4DF56B-6163-433A-B0EC-E535C8127C8F}"/>
    <cellStyle name="Normal 4 2 2 3 2 2 2 4 2 2 3" xfId="16554" xr:uid="{43D1A5FE-1006-45E0-A24B-D12BA2663065}"/>
    <cellStyle name="Normal 4 2 2 3 2 2 2 4 2 3" xfId="20777" xr:uid="{2E77F6EA-9355-4DDD-A7E1-646EFF0FDD42}"/>
    <cellStyle name="Normal 4 2 2 3 2 2 2 4 2 4" xfId="12336" xr:uid="{E6659C4D-8218-40DB-928E-77D2B7064F71}"/>
    <cellStyle name="Normal 4 2 2 3 2 2 2 4 3" xfId="5959" xr:uid="{00000000-0005-0000-0000-000002120000}"/>
    <cellStyle name="Normal 4 2 2 3 2 2 2 4 3 2" xfId="22850" xr:uid="{49AFEEC9-CF51-4C53-BE99-52091C53E293}"/>
    <cellStyle name="Normal 4 2 2 3 2 2 2 4 3 3" xfId="14409" xr:uid="{B05AC645-3D55-48B1-B979-552E307E4B54}"/>
    <cellStyle name="Normal 4 2 2 3 2 2 2 4 4" xfId="18632" xr:uid="{B9DCDECC-CF22-489E-8920-210275288619}"/>
    <cellStyle name="Normal 4 2 2 3 2 2 2 4 5" xfId="10191" xr:uid="{3C4DA7A6-BF55-4934-BCAE-2E92BDED4C61}"/>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2 2 2" xfId="25408" xr:uid="{1AA2CF58-8152-414C-8C7E-F8885872D555}"/>
    <cellStyle name="Normal 4 2 2 3 2 2 2 5 2 2 3" xfId="16967" xr:uid="{AB350D47-165D-4216-9A4A-454AD31D4864}"/>
    <cellStyle name="Normal 4 2 2 3 2 2 2 5 2 3" xfId="21190" xr:uid="{EBE9B049-B9E5-41C4-B26A-393D553B5DC8}"/>
    <cellStyle name="Normal 4 2 2 3 2 2 2 5 2 4" xfId="12749" xr:uid="{178D152F-637E-4511-9A76-1A3C81553678}"/>
    <cellStyle name="Normal 4 2 2 3 2 2 2 5 3" xfId="6372" xr:uid="{00000000-0005-0000-0000-000006120000}"/>
    <cellStyle name="Normal 4 2 2 3 2 2 2 5 3 2" xfId="23263" xr:uid="{CA240CD1-EB6C-4D27-9AF5-F0DF4E36DF2C}"/>
    <cellStyle name="Normal 4 2 2 3 2 2 2 5 3 3" xfId="14822" xr:uid="{76889587-CACD-4F8F-9D19-69ED9ED41D5B}"/>
    <cellStyle name="Normal 4 2 2 3 2 2 2 5 4" xfId="19045" xr:uid="{95950C2A-3233-443C-AF10-C8AA436E0345}"/>
    <cellStyle name="Normal 4 2 2 3 2 2 2 5 5" xfId="10604" xr:uid="{3755FC35-87F6-4A58-BA9F-7C2F67FCB2FA}"/>
    <cellStyle name="Normal 4 2 2 3 2 2 2 6" xfId="2502" xr:uid="{00000000-0005-0000-0000-000007120000}"/>
    <cellStyle name="Normal 4 2 2 3 2 2 2 6 2" xfId="6785" xr:uid="{00000000-0005-0000-0000-000008120000}"/>
    <cellStyle name="Normal 4 2 2 3 2 2 2 6 2 2" xfId="23676" xr:uid="{B555947C-B04B-4C95-B5BD-1E5F15EC4E0E}"/>
    <cellStyle name="Normal 4 2 2 3 2 2 2 6 2 3" xfId="15235" xr:uid="{3A4795E4-CABF-41CD-B32F-DC7683FABD4F}"/>
    <cellStyle name="Normal 4 2 2 3 2 2 2 6 3" xfId="19458" xr:uid="{FA74D06D-79B5-430D-BFB7-8B125A79F93E}"/>
    <cellStyle name="Normal 4 2 2 3 2 2 2 6 4" xfId="11017" xr:uid="{AE5DACDB-8AA2-48A7-BF8B-E2BD85AF3EF7}"/>
    <cellStyle name="Normal 4 2 2 3 2 2 2 7" xfId="4720" xr:uid="{00000000-0005-0000-0000-000009120000}"/>
    <cellStyle name="Normal 4 2 2 3 2 2 2 7 2" xfId="21611" xr:uid="{D48CCAD1-157C-417B-BAD7-A17858B5E751}"/>
    <cellStyle name="Normal 4 2 2 3 2 2 2 7 3" xfId="13170" xr:uid="{16DBDDC6-3925-4B99-9A86-03692EBDF532}"/>
    <cellStyle name="Normal 4 2 2 3 2 2 2 8" xfId="17393" xr:uid="{DB3D154E-D38C-4131-953E-A66231ECE343}"/>
    <cellStyle name="Normal 4 2 2 3 2 2 2 9" xfId="8952" xr:uid="{6A7AF458-F040-4926-92FC-9A0F1049CE2C}"/>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2 2 2" xfId="24168" xr:uid="{463874DD-2792-4C54-BFB9-77E868E51B56}"/>
    <cellStyle name="Normal 4 2 2 3 2 2 3 2 2 3" xfId="15727" xr:uid="{CF74FCC9-EDB0-4358-A407-073450DEDA85}"/>
    <cellStyle name="Normal 4 2 2 3 2 2 3 2 3" xfId="19950" xr:uid="{CE5333D8-AF88-422F-A7EB-4A520BC3C5B1}"/>
    <cellStyle name="Normal 4 2 2 3 2 2 3 2 4" xfId="11509" xr:uid="{F6F23C9B-4FE7-43E9-9B00-1084014F9014}"/>
    <cellStyle name="Normal 4 2 2 3 2 2 3 3" xfId="5132" xr:uid="{00000000-0005-0000-0000-00000D120000}"/>
    <cellStyle name="Normal 4 2 2 3 2 2 3 3 2" xfId="22023" xr:uid="{C14A2A7F-3B38-4CBE-9BF3-00441B58870F}"/>
    <cellStyle name="Normal 4 2 2 3 2 2 3 3 3" xfId="13582" xr:uid="{8D440449-37C6-45BA-AA0D-00145C50651E}"/>
    <cellStyle name="Normal 4 2 2 3 2 2 3 4" xfId="17805" xr:uid="{C22DF1DC-DE1E-4E81-98DB-871C350ED6F1}"/>
    <cellStyle name="Normal 4 2 2 3 2 2 3 5" xfId="9364" xr:uid="{42B1D3BE-F7D7-4D6B-AD9F-0E5216873076}"/>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2 2 2" xfId="24581" xr:uid="{B71D87B3-E404-4715-AAC0-7DA13F092D63}"/>
    <cellStyle name="Normal 4 2 2 3 2 2 4 2 2 3" xfId="16140" xr:uid="{086B16ED-32AF-43BF-9155-FBBC00CA4F0B}"/>
    <cellStyle name="Normal 4 2 2 3 2 2 4 2 3" xfId="20363" xr:uid="{561773D7-5B6C-47EB-B724-44B6449A096A}"/>
    <cellStyle name="Normal 4 2 2 3 2 2 4 2 4" xfId="11922" xr:uid="{DDEAFEBE-83F2-4C92-93DF-E4664CE28125}"/>
    <cellStyle name="Normal 4 2 2 3 2 2 4 3" xfId="5545" xr:uid="{00000000-0005-0000-0000-000011120000}"/>
    <cellStyle name="Normal 4 2 2 3 2 2 4 3 2" xfId="22436" xr:uid="{0DF8B858-980B-4C62-86A7-54766E569094}"/>
    <cellStyle name="Normal 4 2 2 3 2 2 4 3 3" xfId="13995" xr:uid="{A734C0BF-D48E-4F78-8322-30BBBAC682A9}"/>
    <cellStyle name="Normal 4 2 2 3 2 2 4 4" xfId="18218" xr:uid="{BCF754E1-4A4B-4AC9-BB1B-700A8C092B22}"/>
    <cellStyle name="Normal 4 2 2 3 2 2 4 5" xfId="9777" xr:uid="{CEC5A0E7-C7D9-43BC-A562-AB4A8079A29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2 2 2" xfId="24994" xr:uid="{00470D64-63F0-4F95-AD32-51D5FE542335}"/>
    <cellStyle name="Normal 4 2 2 3 2 2 5 2 2 3" xfId="16553" xr:uid="{2B51ED64-A483-4E9C-9DD1-B6CE2CA63AC3}"/>
    <cellStyle name="Normal 4 2 2 3 2 2 5 2 3" xfId="20776" xr:uid="{C8C78C82-FE8F-47FD-9243-394D247EB373}"/>
    <cellStyle name="Normal 4 2 2 3 2 2 5 2 4" xfId="12335" xr:uid="{9096DF4C-8448-467F-A153-25B5A9DED446}"/>
    <cellStyle name="Normal 4 2 2 3 2 2 5 3" xfId="5958" xr:uid="{00000000-0005-0000-0000-000015120000}"/>
    <cellStyle name="Normal 4 2 2 3 2 2 5 3 2" xfId="22849" xr:uid="{5559C947-D489-4778-8A49-6539381DDD97}"/>
    <cellStyle name="Normal 4 2 2 3 2 2 5 3 3" xfId="14408" xr:uid="{AA9AD151-78AD-4C0C-85A9-1A58A569F383}"/>
    <cellStyle name="Normal 4 2 2 3 2 2 5 4" xfId="18631" xr:uid="{33ED644F-6E9D-4EE1-96CF-D6773AA721CB}"/>
    <cellStyle name="Normal 4 2 2 3 2 2 5 5" xfId="10190" xr:uid="{4DD358DF-1B4B-4D10-A240-59E8C1D6354D}"/>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2 2 2" xfId="25407" xr:uid="{1A34A4ED-137E-465E-ADEB-6CCEE0261A12}"/>
    <cellStyle name="Normal 4 2 2 3 2 2 6 2 2 3" xfId="16966" xr:uid="{65EA6C00-4205-4824-91CA-EC1B20FA9295}"/>
    <cellStyle name="Normal 4 2 2 3 2 2 6 2 3" xfId="21189" xr:uid="{FD667EFD-4E55-4BEA-934C-0BF5C4AEDD13}"/>
    <cellStyle name="Normal 4 2 2 3 2 2 6 2 4" xfId="12748" xr:uid="{64FE11E0-F94D-48DF-ACB9-ACED53970988}"/>
    <cellStyle name="Normal 4 2 2 3 2 2 6 3" xfId="6371" xr:uid="{00000000-0005-0000-0000-000019120000}"/>
    <cellStyle name="Normal 4 2 2 3 2 2 6 3 2" xfId="23262" xr:uid="{A707FF39-FD1E-4C82-AC1C-81010B537C68}"/>
    <cellStyle name="Normal 4 2 2 3 2 2 6 3 3" xfId="14821" xr:uid="{5C5BA695-8B40-495D-A27A-DA76D1E9AC82}"/>
    <cellStyle name="Normal 4 2 2 3 2 2 6 4" xfId="19044" xr:uid="{2EBB1B66-AF6A-4C32-9984-1C5ABC8AE1F2}"/>
    <cellStyle name="Normal 4 2 2 3 2 2 6 5" xfId="10603" xr:uid="{49A1E199-A48D-43B1-8D5A-3622972063D9}"/>
    <cellStyle name="Normal 4 2 2 3 2 2 7" xfId="2501" xr:uid="{00000000-0005-0000-0000-00001A120000}"/>
    <cellStyle name="Normal 4 2 2 3 2 2 7 2" xfId="6784" xr:uid="{00000000-0005-0000-0000-00001B120000}"/>
    <cellStyle name="Normal 4 2 2 3 2 2 7 2 2" xfId="23675" xr:uid="{F878AFF0-6DDC-4D0B-AF4E-B596F39A6B41}"/>
    <cellStyle name="Normal 4 2 2 3 2 2 7 2 3" xfId="15234" xr:uid="{C691F66F-C713-4A63-B978-7B8CD9C9E0FD}"/>
    <cellStyle name="Normal 4 2 2 3 2 2 7 3" xfId="19457" xr:uid="{4F19EE39-E2B7-4F5F-9786-DE0FA6F1BD1F}"/>
    <cellStyle name="Normal 4 2 2 3 2 2 7 4" xfId="11016" xr:uid="{F2FF2A11-5EF7-4E0B-B760-58C8CB050250}"/>
    <cellStyle name="Normal 4 2 2 3 2 2 8" xfId="4719" xr:uid="{00000000-0005-0000-0000-00001C120000}"/>
    <cellStyle name="Normal 4 2 2 3 2 2 8 2" xfId="21610" xr:uid="{DDB6AA4B-09AD-41C2-B284-FD478F786385}"/>
    <cellStyle name="Normal 4 2 2 3 2 2 8 3" xfId="13169" xr:uid="{D5B307BB-C2F0-463F-93F2-1C00FC782B0F}"/>
    <cellStyle name="Normal 4 2 2 3 2 2 9" xfId="17392" xr:uid="{3801E8E3-5655-4D11-9666-316DA2A99DAE}"/>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2 2 2" xfId="24170" xr:uid="{D9A46474-DC42-40E7-8638-38BBDD0FC9AA}"/>
    <cellStyle name="Normal 4 2 2 3 2 3 2 2 2 3" xfId="15729" xr:uid="{0107EFFA-8B64-42E8-9975-4B0ED1522113}"/>
    <cellStyle name="Normal 4 2 2 3 2 3 2 2 3" xfId="19952" xr:uid="{AE7C2BA9-AA37-47C3-8DDD-4BAB1A4E9F44}"/>
    <cellStyle name="Normal 4 2 2 3 2 3 2 2 4" xfId="11511" xr:uid="{C74AEEAC-03E8-4FE1-A8E3-C2E5C7728521}"/>
    <cellStyle name="Normal 4 2 2 3 2 3 2 3" xfId="5134" xr:uid="{00000000-0005-0000-0000-000021120000}"/>
    <cellStyle name="Normal 4 2 2 3 2 3 2 3 2" xfId="22025" xr:uid="{2AFC0EB4-36A8-4236-8A27-8E7DBA93F613}"/>
    <cellStyle name="Normal 4 2 2 3 2 3 2 3 3" xfId="13584" xr:uid="{B1D654E8-E928-4839-AB4B-7423146238FA}"/>
    <cellStyle name="Normal 4 2 2 3 2 3 2 4" xfId="17807" xr:uid="{7B037647-6462-4A42-9AF5-EAF7B4E2CEDF}"/>
    <cellStyle name="Normal 4 2 2 3 2 3 2 5" xfId="9366" xr:uid="{6658B2E1-71B7-4B99-9D03-DF4742E28681}"/>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2 2 2" xfId="24583" xr:uid="{68B7D9F3-5D89-47A5-8623-130A580477E9}"/>
    <cellStyle name="Normal 4 2 2 3 2 3 3 2 2 3" xfId="16142" xr:uid="{15196053-CDD5-4A33-BD16-BC188B215E6D}"/>
    <cellStyle name="Normal 4 2 2 3 2 3 3 2 3" xfId="20365" xr:uid="{F91AC9B9-06CB-4973-B08D-724CB636B474}"/>
    <cellStyle name="Normal 4 2 2 3 2 3 3 2 4" xfId="11924" xr:uid="{A57BB31E-7146-42E1-BC75-9B792406CEEC}"/>
    <cellStyle name="Normal 4 2 2 3 2 3 3 3" xfId="5547" xr:uid="{00000000-0005-0000-0000-000025120000}"/>
    <cellStyle name="Normal 4 2 2 3 2 3 3 3 2" xfId="22438" xr:uid="{166788BA-30CE-49EF-81DA-C6E7B668B526}"/>
    <cellStyle name="Normal 4 2 2 3 2 3 3 3 3" xfId="13997" xr:uid="{EE088441-C881-4343-BC54-8DDF25BD06E6}"/>
    <cellStyle name="Normal 4 2 2 3 2 3 3 4" xfId="18220" xr:uid="{1A71DACC-204D-46AF-8B23-15AA8B05D847}"/>
    <cellStyle name="Normal 4 2 2 3 2 3 3 5" xfId="9779" xr:uid="{B0ABD767-EE53-47EC-BE00-D08B87FF3213}"/>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2 2 2" xfId="24996" xr:uid="{A6656698-88B1-4620-85DC-D97A5221A90F}"/>
    <cellStyle name="Normal 4 2 2 3 2 3 4 2 2 3" xfId="16555" xr:uid="{AF4253E7-6CC1-46ED-8DEE-AD0ED6FF63BA}"/>
    <cellStyle name="Normal 4 2 2 3 2 3 4 2 3" xfId="20778" xr:uid="{24CC5886-6784-4292-89C8-242E98BDABB5}"/>
    <cellStyle name="Normal 4 2 2 3 2 3 4 2 4" xfId="12337" xr:uid="{FF62E931-5F0C-4068-AE4B-55044984FAE3}"/>
    <cellStyle name="Normal 4 2 2 3 2 3 4 3" xfId="5960" xr:uid="{00000000-0005-0000-0000-000029120000}"/>
    <cellStyle name="Normal 4 2 2 3 2 3 4 3 2" xfId="22851" xr:uid="{1A18B066-2534-4EFB-843E-96DE1CFC93C6}"/>
    <cellStyle name="Normal 4 2 2 3 2 3 4 3 3" xfId="14410" xr:uid="{37E7160C-C43B-4C2A-BAC7-A0E7F6AA3753}"/>
    <cellStyle name="Normal 4 2 2 3 2 3 4 4" xfId="18633" xr:uid="{25D2D16A-DE98-4565-8A55-E967FFBD85F9}"/>
    <cellStyle name="Normal 4 2 2 3 2 3 4 5" xfId="10192" xr:uid="{E599F6DD-1767-4216-8E68-1A5EC00F2A81}"/>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2 2 2" xfId="25409" xr:uid="{D9DE939D-58E5-4F69-A9EE-7014B3852A4E}"/>
    <cellStyle name="Normal 4 2 2 3 2 3 5 2 2 3" xfId="16968" xr:uid="{633AC6C7-3A11-4E52-9120-F36607099481}"/>
    <cellStyle name="Normal 4 2 2 3 2 3 5 2 3" xfId="21191" xr:uid="{2B11B540-1078-4EA9-AC5A-1C058C9F71AD}"/>
    <cellStyle name="Normal 4 2 2 3 2 3 5 2 4" xfId="12750" xr:uid="{82ADF461-21D9-4B14-BEAE-4A5EE09BBD10}"/>
    <cellStyle name="Normal 4 2 2 3 2 3 5 3" xfId="6373" xr:uid="{00000000-0005-0000-0000-00002D120000}"/>
    <cellStyle name="Normal 4 2 2 3 2 3 5 3 2" xfId="23264" xr:uid="{648C5470-C37C-4CB8-830E-85F77AE7D909}"/>
    <cellStyle name="Normal 4 2 2 3 2 3 5 3 3" xfId="14823" xr:uid="{175E07CB-7908-4CA5-9BBF-D9A39C218352}"/>
    <cellStyle name="Normal 4 2 2 3 2 3 5 4" xfId="19046" xr:uid="{387CC516-8045-41DB-A6D7-B6ED14E1A715}"/>
    <cellStyle name="Normal 4 2 2 3 2 3 5 5" xfId="10605" xr:uid="{61277F1F-5765-4F8A-B39D-4DAAB1D95AF4}"/>
    <cellStyle name="Normal 4 2 2 3 2 3 6" xfId="2503" xr:uid="{00000000-0005-0000-0000-00002E120000}"/>
    <cellStyle name="Normal 4 2 2 3 2 3 6 2" xfId="6786" xr:uid="{00000000-0005-0000-0000-00002F120000}"/>
    <cellStyle name="Normal 4 2 2 3 2 3 6 2 2" xfId="23677" xr:uid="{4836A9EF-7D40-4976-B579-A7A485F066FD}"/>
    <cellStyle name="Normal 4 2 2 3 2 3 6 2 3" xfId="15236" xr:uid="{74BC2B17-AF20-404D-9F09-0D5179856ABB}"/>
    <cellStyle name="Normal 4 2 2 3 2 3 6 3" xfId="19459" xr:uid="{41FEEDDE-57F4-4C85-AAF1-EFE55ACD677D}"/>
    <cellStyle name="Normal 4 2 2 3 2 3 6 4" xfId="11018" xr:uid="{EE986491-976D-4383-9F24-50C7925A67ED}"/>
    <cellStyle name="Normal 4 2 2 3 2 3 7" xfId="4721" xr:uid="{00000000-0005-0000-0000-000030120000}"/>
    <cellStyle name="Normal 4 2 2 3 2 3 7 2" xfId="21612" xr:uid="{AC83A640-443D-49B5-B2D2-5D8DF80F2D00}"/>
    <cellStyle name="Normal 4 2 2 3 2 3 7 3" xfId="13171" xr:uid="{BF31FC1C-0054-4F57-9084-0D2315F9BEC2}"/>
    <cellStyle name="Normal 4 2 2 3 2 3 8" xfId="17394" xr:uid="{FD4FF51E-DA30-4E7D-967F-FD7BD4151B2D}"/>
    <cellStyle name="Normal 4 2 2 3 2 3 9" xfId="8953" xr:uid="{32DF71F3-B7D0-467A-99E0-E175D4CC3A45}"/>
    <cellStyle name="Normal 4 2 2 3 2 4" xfId="817" xr:uid="{00000000-0005-0000-0000-000031120000}"/>
    <cellStyle name="Normal 4 2 2 3 2 4 2" xfId="3054" xr:uid="{00000000-0005-0000-0000-000032120000}"/>
    <cellStyle name="Normal 4 2 2 3 2 4 2 2" xfId="7276" xr:uid="{00000000-0005-0000-0000-000033120000}"/>
    <cellStyle name="Normal 4 2 2 3 2 4 2 2 2" xfId="24167" xr:uid="{F096B0CA-A2D7-44F8-944E-A9ABD92A1209}"/>
    <cellStyle name="Normal 4 2 2 3 2 4 2 2 3" xfId="15726" xr:uid="{9E7E9218-0D09-4830-8DF4-7D4EE8B8421B}"/>
    <cellStyle name="Normal 4 2 2 3 2 4 2 3" xfId="19949" xr:uid="{8359ACC4-DAD8-4E84-8016-BB42DD3C9469}"/>
    <cellStyle name="Normal 4 2 2 3 2 4 2 4" xfId="11508" xr:uid="{2F79D1C2-5820-4168-9BBE-A31C507C495F}"/>
    <cellStyle name="Normal 4 2 2 3 2 4 3" xfId="5131" xr:uid="{00000000-0005-0000-0000-000034120000}"/>
    <cellStyle name="Normal 4 2 2 3 2 4 3 2" xfId="22022" xr:uid="{CC8B2199-394C-499D-8537-9380634CC91A}"/>
    <cellStyle name="Normal 4 2 2 3 2 4 3 3" xfId="13581" xr:uid="{297D191D-76BA-4FB0-9C3B-0EB19F43B59C}"/>
    <cellStyle name="Normal 4 2 2 3 2 4 4" xfId="17804" xr:uid="{92429BA5-BF39-409E-AD1C-1850F5B5F81B}"/>
    <cellStyle name="Normal 4 2 2 3 2 4 5" xfId="9363" xr:uid="{591EB3CF-79C0-4192-9EAA-62FF3442E252}"/>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2 2 2" xfId="24580" xr:uid="{90CAA835-C8F5-47EF-BDDC-73234A821B8C}"/>
    <cellStyle name="Normal 4 2 2 3 2 5 2 2 3" xfId="16139" xr:uid="{3DCAC711-EA5F-4BBB-A6BA-72E05CA31671}"/>
    <cellStyle name="Normal 4 2 2 3 2 5 2 3" xfId="20362" xr:uid="{D1D4107E-73F1-4982-AD59-ECD5AA1A652A}"/>
    <cellStyle name="Normal 4 2 2 3 2 5 2 4" xfId="11921" xr:uid="{8AC248D9-55FF-4EC8-A10E-4491535836F2}"/>
    <cellStyle name="Normal 4 2 2 3 2 5 3" xfId="5544" xr:uid="{00000000-0005-0000-0000-000038120000}"/>
    <cellStyle name="Normal 4 2 2 3 2 5 3 2" xfId="22435" xr:uid="{6468F810-FB98-4DBF-9B9B-F89121E83CBC}"/>
    <cellStyle name="Normal 4 2 2 3 2 5 3 3" xfId="13994" xr:uid="{5EA5ED5A-0631-486E-AA3A-98FF2EEDAB67}"/>
    <cellStyle name="Normal 4 2 2 3 2 5 4" xfId="18217" xr:uid="{70A2EA12-242E-4706-9203-D071A0D01BC0}"/>
    <cellStyle name="Normal 4 2 2 3 2 5 5" xfId="9776" xr:uid="{6A3A027C-4985-47F2-9A9A-F3179322F765}"/>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2 2 2" xfId="24993" xr:uid="{0A05080C-08C2-4819-99FD-1B8F6E90DEDC}"/>
    <cellStyle name="Normal 4 2 2 3 2 6 2 2 3" xfId="16552" xr:uid="{0BA2FE57-D989-47A7-8643-22E89E706BE5}"/>
    <cellStyle name="Normal 4 2 2 3 2 6 2 3" xfId="20775" xr:uid="{813024A4-1906-416C-9829-9AD471995586}"/>
    <cellStyle name="Normal 4 2 2 3 2 6 2 4" xfId="12334" xr:uid="{EED7B5FB-E1F3-46D0-94D8-776001C95AD2}"/>
    <cellStyle name="Normal 4 2 2 3 2 6 3" xfId="5957" xr:uid="{00000000-0005-0000-0000-00003C120000}"/>
    <cellStyle name="Normal 4 2 2 3 2 6 3 2" xfId="22848" xr:uid="{D3284EF9-E4AF-45AE-B9EF-EA0FCDD6D75E}"/>
    <cellStyle name="Normal 4 2 2 3 2 6 3 3" xfId="14407" xr:uid="{9D8814E3-71C6-4A67-B77A-855E65455AF3}"/>
    <cellStyle name="Normal 4 2 2 3 2 6 4" xfId="18630" xr:uid="{E48845D6-A202-418A-AC45-5184AD9CD695}"/>
    <cellStyle name="Normal 4 2 2 3 2 6 5" xfId="10189" xr:uid="{A472C6C0-5BF3-4505-A5F2-72F3B192249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2 2 2" xfId="25406" xr:uid="{CF481155-6976-488C-88E6-A4C57547E07A}"/>
    <cellStyle name="Normal 4 2 2 3 2 7 2 2 3" xfId="16965" xr:uid="{F9C22559-6D43-43BB-B426-EBF6D6A4FA1D}"/>
    <cellStyle name="Normal 4 2 2 3 2 7 2 3" xfId="21188" xr:uid="{A62B9971-3489-4B1F-8A57-08F1B7CBF10A}"/>
    <cellStyle name="Normal 4 2 2 3 2 7 2 4" xfId="12747" xr:uid="{6F222C82-59B0-4E4A-AA60-EF87D414C6B0}"/>
    <cellStyle name="Normal 4 2 2 3 2 7 3" xfId="6370" xr:uid="{00000000-0005-0000-0000-000040120000}"/>
    <cellStyle name="Normal 4 2 2 3 2 7 3 2" xfId="23261" xr:uid="{FB16A820-ECB1-4059-B0C4-EC2A18087D39}"/>
    <cellStyle name="Normal 4 2 2 3 2 7 3 3" xfId="14820" xr:uid="{4C7C8C1D-B02F-4CFE-89AB-91F19E0CE779}"/>
    <cellStyle name="Normal 4 2 2 3 2 7 4" xfId="19043" xr:uid="{7B023890-0A5C-4A69-9C80-90BF916E15FD}"/>
    <cellStyle name="Normal 4 2 2 3 2 7 5" xfId="10602" xr:uid="{4718D8D2-9654-45B8-B3EB-98ACD3724005}"/>
    <cellStyle name="Normal 4 2 2 3 2 8" xfId="2500" xr:uid="{00000000-0005-0000-0000-000041120000}"/>
    <cellStyle name="Normal 4 2 2 3 2 8 2" xfId="6783" xr:uid="{00000000-0005-0000-0000-000042120000}"/>
    <cellStyle name="Normal 4 2 2 3 2 8 2 2" xfId="23674" xr:uid="{C4DF1050-B7AF-482A-AD56-D30AB55471C9}"/>
    <cellStyle name="Normal 4 2 2 3 2 8 2 3" xfId="15233" xr:uid="{50BB64FC-C7BA-4E56-A25D-C4021A28738B}"/>
    <cellStyle name="Normal 4 2 2 3 2 8 3" xfId="19456" xr:uid="{7120D194-65CD-4220-9A70-246D97FC9119}"/>
    <cellStyle name="Normal 4 2 2 3 2 8 4" xfId="11015" xr:uid="{5F90BB87-B734-4993-AE9B-021408579253}"/>
    <cellStyle name="Normal 4 2 2 3 2 9" xfId="4718" xr:uid="{00000000-0005-0000-0000-000043120000}"/>
    <cellStyle name="Normal 4 2 2 3 2 9 2" xfId="21609" xr:uid="{1C51637E-DB10-4B54-BED7-2B9A5587B7FA}"/>
    <cellStyle name="Normal 4 2 2 3 2 9 3" xfId="13168" xr:uid="{E07C6279-C1FA-4A27-B531-1C712AECF018}"/>
    <cellStyle name="Normal 4 2 2 3 3" xfId="344" xr:uid="{00000000-0005-0000-0000-000044120000}"/>
    <cellStyle name="Normal 4 2 2 3 3 10" xfId="8954" xr:uid="{4D08ACA5-19CB-474C-B684-EF2FBEE5DAC8}"/>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2 2 2" xfId="24172" xr:uid="{97DB0855-DD09-450A-8F10-9CC51E8B2465}"/>
    <cellStyle name="Normal 4 2 2 3 3 2 2 2 2 3" xfId="15731" xr:uid="{EC5C1A2D-9B59-4102-B15E-7C3DCD590332}"/>
    <cellStyle name="Normal 4 2 2 3 3 2 2 2 3" xfId="19954" xr:uid="{1B1B5BDF-AFA9-4FE8-AF08-1CEFC516A357}"/>
    <cellStyle name="Normal 4 2 2 3 3 2 2 2 4" xfId="11513" xr:uid="{C6B0300F-8E21-4B42-9D36-581F9AC3FB7C}"/>
    <cellStyle name="Normal 4 2 2 3 3 2 2 3" xfId="5136" xr:uid="{00000000-0005-0000-0000-000049120000}"/>
    <cellStyle name="Normal 4 2 2 3 3 2 2 3 2" xfId="22027" xr:uid="{E574FDA3-6271-42D6-9094-757279D3C7E0}"/>
    <cellStyle name="Normal 4 2 2 3 3 2 2 3 3" xfId="13586" xr:uid="{33301630-D69D-4906-BDF4-EC1F08A65C2D}"/>
    <cellStyle name="Normal 4 2 2 3 3 2 2 4" xfId="17809" xr:uid="{3A02A471-86C2-444B-89BB-091320A201A2}"/>
    <cellStyle name="Normal 4 2 2 3 3 2 2 5" xfId="9368" xr:uid="{4931CA20-CF17-433C-B0ED-FDA5E7C5EFA7}"/>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2 2 2" xfId="24585" xr:uid="{ECE304EC-FD7D-4A99-92B7-0B829FD5AFDD}"/>
    <cellStyle name="Normal 4 2 2 3 3 2 3 2 2 3" xfId="16144" xr:uid="{E6DCB741-BEAA-4207-86A6-3BE0AC06A91F}"/>
    <cellStyle name="Normal 4 2 2 3 3 2 3 2 3" xfId="20367" xr:uid="{E7C00A5E-D08E-460E-8794-A9DBB1E4F84E}"/>
    <cellStyle name="Normal 4 2 2 3 3 2 3 2 4" xfId="11926" xr:uid="{6601803A-DC60-40C7-94FB-6C4306BB44E7}"/>
    <cellStyle name="Normal 4 2 2 3 3 2 3 3" xfId="5549" xr:uid="{00000000-0005-0000-0000-00004D120000}"/>
    <cellStyle name="Normal 4 2 2 3 3 2 3 3 2" xfId="22440" xr:uid="{C7D36E9A-57B1-4D7E-81B1-1BBB1B835D18}"/>
    <cellStyle name="Normal 4 2 2 3 3 2 3 3 3" xfId="13999" xr:uid="{A50678C9-0C02-4A70-9158-DE135F2FB8DE}"/>
    <cellStyle name="Normal 4 2 2 3 3 2 3 4" xfId="18222" xr:uid="{E19B512F-4707-4559-8404-6081BF902768}"/>
    <cellStyle name="Normal 4 2 2 3 3 2 3 5" xfId="9781" xr:uid="{D51013ED-0D1E-4EE7-B7DC-7598ED47551C}"/>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2 2 2" xfId="24998" xr:uid="{D17DCFC0-98C1-4F99-8ABE-DE091C0937E9}"/>
    <cellStyle name="Normal 4 2 2 3 3 2 4 2 2 3" xfId="16557" xr:uid="{419D50EB-8F20-499B-BD59-919B571376AB}"/>
    <cellStyle name="Normal 4 2 2 3 3 2 4 2 3" xfId="20780" xr:uid="{6928DE4C-CEAA-4FBC-BC24-D6DAFD901077}"/>
    <cellStyle name="Normal 4 2 2 3 3 2 4 2 4" xfId="12339" xr:uid="{5E9B4FCF-1FCB-48DE-ABA9-71949B1001D4}"/>
    <cellStyle name="Normal 4 2 2 3 3 2 4 3" xfId="5962" xr:uid="{00000000-0005-0000-0000-000051120000}"/>
    <cellStyle name="Normal 4 2 2 3 3 2 4 3 2" xfId="22853" xr:uid="{7B2E3A12-FDBE-43D4-AACE-F1FABFC33BB2}"/>
    <cellStyle name="Normal 4 2 2 3 3 2 4 3 3" xfId="14412" xr:uid="{D753C836-9119-4CBE-98DB-7938795A9EB9}"/>
    <cellStyle name="Normal 4 2 2 3 3 2 4 4" xfId="18635" xr:uid="{D60DE617-4BE9-408D-B10A-5BB1CDD7D54A}"/>
    <cellStyle name="Normal 4 2 2 3 3 2 4 5" xfId="10194" xr:uid="{066557DA-188F-4848-A496-616A8FC3AD79}"/>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2 2 2" xfId="25411" xr:uid="{30B70B8C-E381-41D3-A669-D8834DDF8F34}"/>
    <cellStyle name="Normal 4 2 2 3 3 2 5 2 2 3" xfId="16970" xr:uid="{5F0186F1-938A-4AFC-8620-9560FFE56235}"/>
    <cellStyle name="Normal 4 2 2 3 3 2 5 2 3" xfId="21193" xr:uid="{3CCA37B4-F1DC-4AB9-AECA-006EFBD0683D}"/>
    <cellStyle name="Normal 4 2 2 3 3 2 5 2 4" xfId="12752" xr:uid="{1DD4AAF3-A681-4048-87EE-FDE17034CAD4}"/>
    <cellStyle name="Normal 4 2 2 3 3 2 5 3" xfId="6375" xr:uid="{00000000-0005-0000-0000-000055120000}"/>
    <cellStyle name="Normal 4 2 2 3 3 2 5 3 2" xfId="23266" xr:uid="{FD6F19E9-B140-41CE-A7A6-D9DE7B54372F}"/>
    <cellStyle name="Normal 4 2 2 3 3 2 5 3 3" xfId="14825" xr:uid="{C1211D22-59D3-464B-B9AB-C2D0836CD100}"/>
    <cellStyle name="Normal 4 2 2 3 3 2 5 4" xfId="19048" xr:uid="{F1B00D11-0E83-4C86-A3C1-27A04DCAE71C}"/>
    <cellStyle name="Normal 4 2 2 3 3 2 5 5" xfId="10607" xr:uid="{CCD8CCE5-DD43-4D4A-9745-31FFC8259DEB}"/>
    <cellStyle name="Normal 4 2 2 3 3 2 6" xfId="2505" xr:uid="{00000000-0005-0000-0000-000056120000}"/>
    <cellStyle name="Normal 4 2 2 3 3 2 6 2" xfId="6788" xr:uid="{00000000-0005-0000-0000-000057120000}"/>
    <cellStyle name="Normal 4 2 2 3 3 2 6 2 2" xfId="23679" xr:uid="{A93639BD-C17A-4678-B529-B005B3FEAEC3}"/>
    <cellStyle name="Normal 4 2 2 3 3 2 6 2 3" xfId="15238" xr:uid="{7405159F-B0CE-4369-A9DF-06F856138319}"/>
    <cellStyle name="Normal 4 2 2 3 3 2 6 3" xfId="19461" xr:uid="{71C376E1-F9D8-4E6C-9A70-ABD88DACDF6E}"/>
    <cellStyle name="Normal 4 2 2 3 3 2 6 4" xfId="11020" xr:uid="{A302A183-7007-4035-89C5-779E3F51BE95}"/>
    <cellStyle name="Normal 4 2 2 3 3 2 7" xfId="4723" xr:uid="{00000000-0005-0000-0000-000058120000}"/>
    <cellStyle name="Normal 4 2 2 3 3 2 7 2" xfId="21614" xr:uid="{E1FFB953-22E0-4E69-8399-0D73EEC8D7E6}"/>
    <cellStyle name="Normal 4 2 2 3 3 2 7 3" xfId="13173" xr:uid="{AF4B83B4-585D-4920-9F02-BC3316FE0D49}"/>
    <cellStyle name="Normal 4 2 2 3 3 2 8" xfId="17396" xr:uid="{D54FED7D-4316-4F0E-B30F-EABA046C2E79}"/>
    <cellStyle name="Normal 4 2 2 3 3 2 9" xfId="8955" xr:uid="{50216AB7-F9BF-4CF1-8E9A-56D187B8E702}"/>
    <cellStyle name="Normal 4 2 2 3 3 3" xfId="821" xr:uid="{00000000-0005-0000-0000-000059120000}"/>
    <cellStyle name="Normal 4 2 2 3 3 3 2" xfId="3058" xr:uid="{00000000-0005-0000-0000-00005A120000}"/>
    <cellStyle name="Normal 4 2 2 3 3 3 2 2" xfId="7280" xr:uid="{00000000-0005-0000-0000-00005B120000}"/>
    <cellStyle name="Normal 4 2 2 3 3 3 2 2 2" xfId="24171" xr:uid="{1CF6177C-7351-4123-802E-DBC2259AD6F7}"/>
    <cellStyle name="Normal 4 2 2 3 3 3 2 2 3" xfId="15730" xr:uid="{288079B6-D436-47DF-A52A-07B6C2B0B46C}"/>
    <cellStyle name="Normal 4 2 2 3 3 3 2 3" xfId="19953" xr:uid="{11FEC0EE-C228-419B-98BB-D7AD18599927}"/>
    <cellStyle name="Normal 4 2 2 3 3 3 2 4" xfId="11512" xr:uid="{F827F5EE-F674-48B8-8C84-272D72E04471}"/>
    <cellStyle name="Normal 4 2 2 3 3 3 3" xfId="5135" xr:uid="{00000000-0005-0000-0000-00005C120000}"/>
    <cellStyle name="Normal 4 2 2 3 3 3 3 2" xfId="22026" xr:uid="{4C11C197-6963-426F-8962-DCE4134D08AF}"/>
    <cellStyle name="Normal 4 2 2 3 3 3 3 3" xfId="13585" xr:uid="{4B55D005-8BDA-417B-8723-B3931B9576BB}"/>
    <cellStyle name="Normal 4 2 2 3 3 3 4" xfId="17808" xr:uid="{42DBF903-A5DA-49D8-92D2-29888A4ACD71}"/>
    <cellStyle name="Normal 4 2 2 3 3 3 5" xfId="9367" xr:uid="{00A83146-61E7-4EC2-AAF3-C9B29BC0D24F}"/>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2 2 2" xfId="24584" xr:uid="{5276B7C8-1513-4428-9FC2-9E488A9C4375}"/>
    <cellStyle name="Normal 4 2 2 3 3 4 2 2 3" xfId="16143" xr:uid="{D9708E42-3B5C-42BB-980B-0C223AAE6CB4}"/>
    <cellStyle name="Normal 4 2 2 3 3 4 2 3" xfId="20366" xr:uid="{83B257B5-E59C-4354-9ECA-F076FC78A2F5}"/>
    <cellStyle name="Normal 4 2 2 3 3 4 2 4" xfId="11925" xr:uid="{19110EDF-02DB-400E-865A-F9357E7758DB}"/>
    <cellStyle name="Normal 4 2 2 3 3 4 3" xfId="5548" xr:uid="{00000000-0005-0000-0000-000060120000}"/>
    <cellStyle name="Normal 4 2 2 3 3 4 3 2" xfId="22439" xr:uid="{F96113CD-A6BA-4513-95D2-7639F9BD105E}"/>
    <cellStyle name="Normal 4 2 2 3 3 4 3 3" xfId="13998" xr:uid="{FBF877B4-E204-4587-9C1B-9865E55A6DE5}"/>
    <cellStyle name="Normal 4 2 2 3 3 4 4" xfId="18221" xr:uid="{C2727A5C-235D-46C6-8FB6-B0294E5BCC42}"/>
    <cellStyle name="Normal 4 2 2 3 3 4 5" xfId="9780" xr:uid="{154FF4E7-90AA-410D-9E2C-4E6D996137FC}"/>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2 2 2" xfId="24997" xr:uid="{9A6CE979-D171-4FE9-8F5A-8A7C6A4C8B29}"/>
    <cellStyle name="Normal 4 2 2 3 3 5 2 2 3" xfId="16556" xr:uid="{8AD837F5-F7ED-49F0-A510-30988A048482}"/>
    <cellStyle name="Normal 4 2 2 3 3 5 2 3" xfId="20779" xr:uid="{F7A9414F-2051-4925-A921-8011D751662E}"/>
    <cellStyle name="Normal 4 2 2 3 3 5 2 4" xfId="12338" xr:uid="{9E4AE3E1-B647-4895-819C-CCCC4BD48BAE}"/>
    <cellStyle name="Normal 4 2 2 3 3 5 3" xfId="5961" xr:uid="{00000000-0005-0000-0000-000064120000}"/>
    <cellStyle name="Normal 4 2 2 3 3 5 3 2" xfId="22852" xr:uid="{315B757E-7632-40F5-9E35-FDD23510346B}"/>
    <cellStyle name="Normal 4 2 2 3 3 5 3 3" xfId="14411" xr:uid="{BDB60AB0-9374-4C65-B5B1-2F00B3FD016D}"/>
    <cellStyle name="Normal 4 2 2 3 3 5 4" xfId="18634" xr:uid="{B197E272-C3DE-46BB-BBB2-2F8C717806E0}"/>
    <cellStyle name="Normal 4 2 2 3 3 5 5" xfId="10193" xr:uid="{0D76D3DA-B893-4ECA-A885-C4BFA376B889}"/>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2 2 2" xfId="25410" xr:uid="{F29D8CA5-2E05-4D59-AF5E-8972C164D4AC}"/>
    <cellStyle name="Normal 4 2 2 3 3 6 2 2 3" xfId="16969" xr:uid="{9B617884-59F1-4576-94EF-6F383EE9C31C}"/>
    <cellStyle name="Normal 4 2 2 3 3 6 2 3" xfId="21192" xr:uid="{88A899A3-0EBB-4470-8B74-04EC7C4F33B9}"/>
    <cellStyle name="Normal 4 2 2 3 3 6 2 4" xfId="12751" xr:uid="{3BEE08C9-BB8D-4F5A-8003-C9994F149ADF}"/>
    <cellStyle name="Normal 4 2 2 3 3 6 3" xfId="6374" xr:uid="{00000000-0005-0000-0000-000068120000}"/>
    <cellStyle name="Normal 4 2 2 3 3 6 3 2" xfId="23265" xr:uid="{1477FC7F-D78C-4274-9ABB-FB9A795DB35F}"/>
    <cellStyle name="Normal 4 2 2 3 3 6 3 3" xfId="14824" xr:uid="{C2691549-DC1D-40B2-8CAA-870186987274}"/>
    <cellStyle name="Normal 4 2 2 3 3 6 4" xfId="19047" xr:uid="{1101B3B9-AD6F-40BE-B9F9-EBFBD03BB9AF}"/>
    <cellStyle name="Normal 4 2 2 3 3 6 5" xfId="10606" xr:uid="{55447544-F12F-4367-B413-83C0B892CC0C}"/>
    <cellStyle name="Normal 4 2 2 3 3 7" xfId="2504" xr:uid="{00000000-0005-0000-0000-000069120000}"/>
    <cellStyle name="Normal 4 2 2 3 3 7 2" xfId="6787" xr:uid="{00000000-0005-0000-0000-00006A120000}"/>
    <cellStyle name="Normal 4 2 2 3 3 7 2 2" xfId="23678" xr:uid="{D1D36CA8-8B21-430A-8769-6FAAEAB9A316}"/>
    <cellStyle name="Normal 4 2 2 3 3 7 2 3" xfId="15237" xr:uid="{396EF011-2C7F-44E8-9095-ECF7898FC6C2}"/>
    <cellStyle name="Normal 4 2 2 3 3 7 3" xfId="19460" xr:uid="{7910F6C1-2C86-4EE8-9D51-007DEA2540B7}"/>
    <cellStyle name="Normal 4 2 2 3 3 7 4" xfId="11019" xr:uid="{37115EA7-CB18-4626-86CE-1D8090AFDB99}"/>
    <cellStyle name="Normal 4 2 2 3 3 8" xfId="4722" xr:uid="{00000000-0005-0000-0000-00006B120000}"/>
    <cellStyle name="Normal 4 2 2 3 3 8 2" xfId="21613" xr:uid="{BB871EB9-1A0E-4F9B-A4F5-5ABC70847814}"/>
    <cellStyle name="Normal 4 2 2 3 3 8 3" xfId="13172" xr:uid="{F5A874E6-B64A-4B21-B249-4355BFE7E4AC}"/>
    <cellStyle name="Normal 4 2 2 3 3 9" xfId="17395" xr:uid="{2FE3770C-19B4-4B00-AA20-3DE7C9178D52}"/>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2 2 2" xfId="24173" xr:uid="{C86331B1-2EC6-4D00-B5C5-268B4E54CEE2}"/>
    <cellStyle name="Normal 4 2 2 3 4 2 2 2 3" xfId="15732" xr:uid="{C8E93BB1-5DCF-4E73-A455-2972BBE095B6}"/>
    <cellStyle name="Normal 4 2 2 3 4 2 2 3" xfId="19955" xr:uid="{1FEA76F6-9AFE-49F8-8F87-8079B171E73D}"/>
    <cellStyle name="Normal 4 2 2 3 4 2 2 4" xfId="11514" xr:uid="{F975A7A9-95BA-49FA-96D1-19E52614DF3F}"/>
    <cellStyle name="Normal 4 2 2 3 4 2 3" xfId="5137" xr:uid="{00000000-0005-0000-0000-000070120000}"/>
    <cellStyle name="Normal 4 2 2 3 4 2 3 2" xfId="22028" xr:uid="{74A0C409-5C23-4A0F-80A9-4CAB645B9ACA}"/>
    <cellStyle name="Normal 4 2 2 3 4 2 3 3" xfId="13587" xr:uid="{75FBDB84-1F35-4DF9-B342-0F21BAC563FA}"/>
    <cellStyle name="Normal 4 2 2 3 4 2 4" xfId="17810" xr:uid="{3D185140-C293-49A7-A6B5-5BF8C2A4D144}"/>
    <cellStyle name="Normal 4 2 2 3 4 2 5" xfId="9369" xr:uid="{AAB1EE04-8DB9-4063-AA1C-C7F7167BC5CF}"/>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2 2 2" xfId="24586" xr:uid="{1E04D425-A04D-4F80-8924-6F2322968E92}"/>
    <cellStyle name="Normal 4 2 2 3 4 3 2 2 3" xfId="16145" xr:uid="{C3EFB6AD-46D7-4315-9665-729C27425B77}"/>
    <cellStyle name="Normal 4 2 2 3 4 3 2 3" xfId="20368" xr:uid="{26EE7D54-CA4F-4E24-A25D-AFAB61CB35CB}"/>
    <cellStyle name="Normal 4 2 2 3 4 3 2 4" xfId="11927" xr:uid="{ADDA6D1A-CA7E-4565-96F3-859E7B005152}"/>
    <cellStyle name="Normal 4 2 2 3 4 3 3" xfId="5550" xr:uid="{00000000-0005-0000-0000-000074120000}"/>
    <cellStyle name="Normal 4 2 2 3 4 3 3 2" xfId="22441" xr:uid="{17B898D4-5AAF-4DC5-AE11-E82BEC6DE767}"/>
    <cellStyle name="Normal 4 2 2 3 4 3 3 3" xfId="14000" xr:uid="{6A902A66-0629-4F5B-A4BD-72D26773B0DE}"/>
    <cellStyle name="Normal 4 2 2 3 4 3 4" xfId="18223" xr:uid="{E865AB8D-EE4F-4120-AFBA-4748C2A32CCC}"/>
    <cellStyle name="Normal 4 2 2 3 4 3 5" xfId="9782" xr:uid="{C8F4F7F2-7206-4B8E-B9C2-0EA7AA3A4222}"/>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2 2 2" xfId="24999" xr:uid="{9AD768BE-5F1A-4618-AD14-A4B5DC12F94E}"/>
    <cellStyle name="Normal 4 2 2 3 4 4 2 2 3" xfId="16558" xr:uid="{8348D7C2-9198-4637-82ED-F642FF3C9594}"/>
    <cellStyle name="Normal 4 2 2 3 4 4 2 3" xfId="20781" xr:uid="{4BF719ED-FA92-4479-A42E-1854D6374298}"/>
    <cellStyle name="Normal 4 2 2 3 4 4 2 4" xfId="12340" xr:uid="{9CDD2BD3-37CE-4043-9865-9CB4DBC2054E}"/>
    <cellStyle name="Normal 4 2 2 3 4 4 3" xfId="5963" xr:uid="{00000000-0005-0000-0000-000078120000}"/>
    <cellStyle name="Normal 4 2 2 3 4 4 3 2" xfId="22854" xr:uid="{F2E44620-453B-4C36-80F4-FC4857BB6CD5}"/>
    <cellStyle name="Normal 4 2 2 3 4 4 3 3" xfId="14413" xr:uid="{CD02C7D2-F1E9-4E2D-A52E-1D1303080A32}"/>
    <cellStyle name="Normal 4 2 2 3 4 4 4" xfId="18636" xr:uid="{21BBED0A-21D3-4886-A20F-9AADCD2555FD}"/>
    <cellStyle name="Normal 4 2 2 3 4 4 5" xfId="10195" xr:uid="{13039BD5-59DB-4D18-A119-61D80081A327}"/>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2 2 2" xfId="25412" xr:uid="{552EB8F8-DBB6-4D5D-901D-D71EECE76B0E}"/>
    <cellStyle name="Normal 4 2 2 3 4 5 2 2 3" xfId="16971" xr:uid="{9AF1A0CE-1A75-4E49-9009-D344A1B70D2A}"/>
    <cellStyle name="Normal 4 2 2 3 4 5 2 3" xfId="21194" xr:uid="{CB696860-F7B9-4FC8-952E-8EE9FFE874B1}"/>
    <cellStyle name="Normal 4 2 2 3 4 5 2 4" xfId="12753" xr:uid="{07A2D734-F2C4-4DA2-B057-725F134403F6}"/>
    <cellStyle name="Normal 4 2 2 3 4 5 3" xfId="6376" xr:uid="{00000000-0005-0000-0000-00007C120000}"/>
    <cellStyle name="Normal 4 2 2 3 4 5 3 2" xfId="23267" xr:uid="{6BB4C9C5-A856-45FF-9651-EEB450EA3187}"/>
    <cellStyle name="Normal 4 2 2 3 4 5 3 3" xfId="14826" xr:uid="{0B633A19-C535-4366-9CE7-3E6582209110}"/>
    <cellStyle name="Normal 4 2 2 3 4 5 4" xfId="19049" xr:uid="{2F7BE6D2-503A-4648-9329-9E7262DDB3A8}"/>
    <cellStyle name="Normal 4 2 2 3 4 5 5" xfId="10608" xr:uid="{6EBC0F45-A2F6-42F1-9351-4579C19F7236}"/>
    <cellStyle name="Normal 4 2 2 3 4 6" xfId="2506" xr:uid="{00000000-0005-0000-0000-00007D120000}"/>
    <cellStyle name="Normal 4 2 2 3 4 6 2" xfId="6789" xr:uid="{00000000-0005-0000-0000-00007E120000}"/>
    <cellStyle name="Normal 4 2 2 3 4 6 2 2" xfId="23680" xr:uid="{3D5CE1DB-6307-4249-82F9-9541394F35E8}"/>
    <cellStyle name="Normal 4 2 2 3 4 6 2 3" xfId="15239" xr:uid="{1BAF40C6-A9A1-44BC-8EBD-8EDDA86FC35B}"/>
    <cellStyle name="Normal 4 2 2 3 4 6 3" xfId="19462" xr:uid="{57380110-9F91-45B6-88C6-95FC53353D19}"/>
    <cellStyle name="Normal 4 2 2 3 4 6 4" xfId="11021" xr:uid="{5C3FC97C-C412-4624-A6DE-28B223EFD7A0}"/>
    <cellStyle name="Normal 4 2 2 3 4 7" xfId="4724" xr:uid="{00000000-0005-0000-0000-00007F120000}"/>
    <cellStyle name="Normal 4 2 2 3 4 7 2" xfId="21615" xr:uid="{68F4A636-8274-4FE1-A5B3-DFE74D2E7968}"/>
    <cellStyle name="Normal 4 2 2 3 4 7 3" xfId="13174" xr:uid="{B58B14BE-9BE6-4341-AC42-37781416155E}"/>
    <cellStyle name="Normal 4 2 2 3 4 8" xfId="17397" xr:uid="{792FB148-C847-4B94-9CBB-130E46A06D50}"/>
    <cellStyle name="Normal 4 2 2 3 4 9" xfId="8956" xr:uid="{01C0893E-DDE4-4941-9CC7-C8C189106924}"/>
    <cellStyle name="Normal 4 2 2 3 5" xfId="816" xr:uid="{00000000-0005-0000-0000-000080120000}"/>
    <cellStyle name="Normal 4 2 2 3 5 2" xfId="3053" xr:uid="{00000000-0005-0000-0000-000081120000}"/>
    <cellStyle name="Normal 4 2 2 3 5 2 2" xfId="7275" xr:uid="{00000000-0005-0000-0000-000082120000}"/>
    <cellStyle name="Normal 4 2 2 3 5 2 2 2" xfId="24166" xr:uid="{986D42FB-1566-4AE1-8887-B36FD872F8C3}"/>
    <cellStyle name="Normal 4 2 2 3 5 2 2 3" xfId="15725" xr:uid="{58EA3D4D-5570-406C-9F8E-7D7BC3BC3032}"/>
    <cellStyle name="Normal 4 2 2 3 5 2 3" xfId="19948" xr:uid="{5154F4DE-3865-4B7A-880C-633D31FD83E0}"/>
    <cellStyle name="Normal 4 2 2 3 5 2 4" xfId="11507" xr:uid="{C50B053B-1CC8-45F9-9DF1-8B48F563EE59}"/>
    <cellStyle name="Normal 4 2 2 3 5 3" xfId="5130" xr:uid="{00000000-0005-0000-0000-000083120000}"/>
    <cellStyle name="Normal 4 2 2 3 5 3 2" xfId="22021" xr:uid="{4AC447EA-5701-4BA6-AB05-54E04211BEB6}"/>
    <cellStyle name="Normal 4 2 2 3 5 3 3" xfId="13580" xr:uid="{38347FDE-1924-475E-A524-0D42266376F1}"/>
    <cellStyle name="Normal 4 2 2 3 5 4" xfId="17803" xr:uid="{F2AD7BF2-D0DC-46F7-ACEF-85F75AD6CE10}"/>
    <cellStyle name="Normal 4 2 2 3 5 5" xfId="9362" xr:uid="{CA37A3D2-5695-4881-8A82-D7933CCC80A8}"/>
    <cellStyle name="Normal 4 2 2 3 6" xfId="1236" xr:uid="{00000000-0005-0000-0000-000084120000}"/>
    <cellStyle name="Normal 4 2 2 3 6 2" xfId="3466" xr:uid="{00000000-0005-0000-0000-000085120000}"/>
    <cellStyle name="Normal 4 2 2 3 6 2 2" xfId="7688" xr:uid="{00000000-0005-0000-0000-000086120000}"/>
    <cellStyle name="Normal 4 2 2 3 6 2 2 2" xfId="24579" xr:uid="{88A2F304-9471-489E-A309-2CE89D5088E7}"/>
    <cellStyle name="Normal 4 2 2 3 6 2 2 3" xfId="16138" xr:uid="{CD47FE43-18F1-45A3-AB73-417FF8C8809E}"/>
    <cellStyle name="Normal 4 2 2 3 6 2 3" xfId="20361" xr:uid="{1ABFC803-15B1-419D-B5A5-6DA22509EE02}"/>
    <cellStyle name="Normal 4 2 2 3 6 2 4" xfId="11920" xr:uid="{6CC1FC8A-6307-4064-BDC2-DF0EA798A39E}"/>
    <cellStyle name="Normal 4 2 2 3 6 3" xfId="5543" xr:uid="{00000000-0005-0000-0000-000087120000}"/>
    <cellStyle name="Normal 4 2 2 3 6 3 2" xfId="22434" xr:uid="{9BEDE9A2-C26F-42BD-935C-61C5A21A1E52}"/>
    <cellStyle name="Normal 4 2 2 3 6 3 3" xfId="13993" xr:uid="{70C3FAE6-E6A7-4818-8525-A7181BC5F15D}"/>
    <cellStyle name="Normal 4 2 2 3 6 4" xfId="18216" xr:uid="{D2535ADC-17E4-4E1D-8952-CEC3411CB711}"/>
    <cellStyle name="Normal 4 2 2 3 6 5" xfId="9775" xr:uid="{A8477C20-3D3A-4768-BF84-530915412BE4}"/>
    <cellStyle name="Normal 4 2 2 3 7" xfId="1649" xr:uid="{00000000-0005-0000-0000-000088120000}"/>
    <cellStyle name="Normal 4 2 2 3 7 2" xfId="3879" xr:uid="{00000000-0005-0000-0000-000089120000}"/>
    <cellStyle name="Normal 4 2 2 3 7 2 2" xfId="8101" xr:uid="{00000000-0005-0000-0000-00008A120000}"/>
    <cellStyle name="Normal 4 2 2 3 7 2 2 2" xfId="24992" xr:uid="{60D1AB51-EDC7-4D04-9596-C122D4C7722C}"/>
    <cellStyle name="Normal 4 2 2 3 7 2 2 3" xfId="16551" xr:uid="{752781CF-AA35-4BF5-83D7-484A63459AC7}"/>
    <cellStyle name="Normal 4 2 2 3 7 2 3" xfId="20774" xr:uid="{6AA02608-4EC9-4077-B019-21AB718E96EF}"/>
    <cellStyle name="Normal 4 2 2 3 7 2 4" xfId="12333" xr:uid="{86E3E727-D542-47A2-8D76-C09A5E72D8B5}"/>
    <cellStyle name="Normal 4 2 2 3 7 3" xfId="5956" xr:uid="{00000000-0005-0000-0000-00008B120000}"/>
    <cellStyle name="Normal 4 2 2 3 7 3 2" xfId="22847" xr:uid="{F89CD6E7-A97C-428F-8E9B-3FB2E1EBCCF3}"/>
    <cellStyle name="Normal 4 2 2 3 7 3 3" xfId="14406" xr:uid="{B1C7E4EF-C38F-4FFF-8DAE-815C26557470}"/>
    <cellStyle name="Normal 4 2 2 3 7 4" xfId="18629" xr:uid="{D64E56D3-435F-4ED9-885B-46BEB15B2A88}"/>
    <cellStyle name="Normal 4 2 2 3 7 5" xfId="10188" xr:uid="{41A23C2F-C5DD-4FE6-B61D-372E0A83FB8C}"/>
    <cellStyle name="Normal 4 2 2 3 8" xfId="2063" xr:uid="{00000000-0005-0000-0000-00008C120000}"/>
    <cellStyle name="Normal 4 2 2 3 8 2" xfId="4292" xr:uid="{00000000-0005-0000-0000-00008D120000}"/>
    <cellStyle name="Normal 4 2 2 3 8 2 2" xfId="8514" xr:uid="{00000000-0005-0000-0000-00008E120000}"/>
    <cellStyle name="Normal 4 2 2 3 8 2 2 2" xfId="25405" xr:uid="{0FA63475-2175-49DF-B990-2BB390EA2097}"/>
    <cellStyle name="Normal 4 2 2 3 8 2 2 3" xfId="16964" xr:uid="{A49ADEE2-24A6-4FF2-B4BB-89A1833335FA}"/>
    <cellStyle name="Normal 4 2 2 3 8 2 3" xfId="21187" xr:uid="{EE5E7575-77C9-4024-8B20-5B597091D8F5}"/>
    <cellStyle name="Normal 4 2 2 3 8 2 4" xfId="12746" xr:uid="{A520B2DC-C2AA-4AE8-A18A-75F7130455D3}"/>
    <cellStyle name="Normal 4 2 2 3 8 3" xfId="6369" xr:uid="{00000000-0005-0000-0000-00008F120000}"/>
    <cellStyle name="Normal 4 2 2 3 8 3 2" xfId="23260" xr:uid="{159E519A-3A0A-494A-87FF-5298F18194C7}"/>
    <cellStyle name="Normal 4 2 2 3 8 3 3" xfId="14819" xr:uid="{7C3971D6-8DE6-4059-AC10-5353C0A6B954}"/>
    <cellStyle name="Normal 4 2 2 3 8 4" xfId="19042" xr:uid="{B502E7BF-C76E-4E8B-AD37-07C61C2EB230}"/>
    <cellStyle name="Normal 4 2 2 3 8 5" xfId="10601" xr:uid="{1610E0B4-DDE1-4CC0-A54C-615482FFF016}"/>
    <cellStyle name="Normal 4 2 2 3 9" xfId="2499" xr:uid="{00000000-0005-0000-0000-000090120000}"/>
    <cellStyle name="Normal 4 2 2 3 9 2" xfId="6782" xr:uid="{00000000-0005-0000-0000-000091120000}"/>
    <cellStyle name="Normal 4 2 2 3 9 2 2" xfId="23673" xr:uid="{8865CBAE-F052-4381-B961-C6E4CCB5D6BE}"/>
    <cellStyle name="Normal 4 2 2 3 9 2 3" xfId="15232" xr:uid="{B1A4F315-1740-4AD3-A7D0-D1698B6DD6A4}"/>
    <cellStyle name="Normal 4 2 2 3 9 3" xfId="19455" xr:uid="{72291484-AC2A-49DC-8C7A-FB101A7AF5D2}"/>
    <cellStyle name="Normal 4 2 2 3 9 4" xfId="11014" xr:uid="{EAC8FF6D-EB69-43C4-A47C-41A6D0B13247}"/>
    <cellStyle name="Normal 4 2 2 4" xfId="347" xr:uid="{00000000-0005-0000-0000-000092120000}"/>
    <cellStyle name="Normal 4 2 2 4 10" xfId="17398" xr:uid="{567FA0E9-DD20-4BB4-AD28-5713566626EF}"/>
    <cellStyle name="Normal 4 2 2 4 11" xfId="8957" xr:uid="{14B91524-B09D-4A6E-8A5A-D97AA5953451}"/>
    <cellStyle name="Normal 4 2 2 4 2" xfId="348" xr:uid="{00000000-0005-0000-0000-000093120000}"/>
    <cellStyle name="Normal 4 2 2 4 2 10" xfId="8958" xr:uid="{BEDC26AA-5CAF-4CEF-8F00-2E82A9BE4199}"/>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2 2 2" xfId="24176" xr:uid="{697F9D1E-ADAD-413C-B40A-9037677AD42D}"/>
    <cellStyle name="Normal 4 2 2 4 2 2 2 2 2 3" xfId="15735" xr:uid="{66E13ACB-B581-46A5-95D1-C0FB89AE719F}"/>
    <cellStyle name="Normal 4 2 2 4 2 2 2 2 3" xfId="19958" xr:uid="{21258513-4526-4672-93CC-908F5136AF3B}"/>
    <cellStyle name="Normal 4 2 2 4 2 2 2 2 4" xfId="11517" xr:uid="{9556413E-582D-484B-B4D0-FA18BAD12916}"/>
    <cellStyle name="Normal 4 2 2 4 2 2 2 3" xfId="5140" xr:uid="{00000000-0005-0000-0000-000098120000}"/>
    <cellStyle name="Normal 4 2 2 4 2 2 2 3 2" xfId="22031" xr:uid="{48E0BE1E-4B82-4F57-B88F-E21A0369585D}"/>
    <cellStyle name="Normal 4 2 2 4 2 2 2 3 3" xfId="13590" xr:uid="{DB9EA998-822B-40E1-BB3E-5B4F1AA45A33}"/>
    <cellStyle name="Normal 4 2 2 4 2 2 2 4" xfId="17813" xr:uid="{D79792E9-6988-453E-AC1D-A231E6B5CB71}"/>
    <cellStyle name="Normal 4 2 2 4 2 2 2 5" xfId="9372" xr:uid="{317D0C43-A853-4C38-BFA5-33A85B53E13A}"/>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2 2 2" xfId="24589" xr:uid="{C56E3AF0-8BBA-47EB-A7E1-1D5AD5AA9A1C}"/>
    <cellStyle name="Normal 4 2 2 4 2 2 3 2 2 3" xfId="16148" xr:uid="{51ABB024-DD5E-40B2-90C2-2F91D8C508E8}"/>
    <cellStyle name="Normal 4 2 2 4 2 2 3 2 3" xfId="20371" xr:uid="{31779023-C630-460B-A0AB-CB3FC2B82DBE}"/>
    <cellStyle name="Normal 4 2 2 4 2 2 3 2 4" xfId="11930" xr:uid="{7D233773-80FC-41AA-BEB2-B38C96CD5BD8}"/>
    <cellStyle name="Normal 4 2 2 4 2 2 3 3" xfId="5553" xr:uid="{00000000-0005-0000-0000-00009C120000}"/>
    <cellStyle name="Normal 4 2 2 4 2 2 3 3 2" xfId="22444" xr:uid="{1F915C24-5BB7-49B4-AA71-8B88FC79C83C}"/>
    <cellStyle name="Normal 4 2 2 4 2 2 3 3 3" xfId="14003" xr:uid="{552F7304-BD68-4071-A6B9-543088BEE5FA}"/>
    <cellStyle name="Normal 4 2 2 4 2 2 3 4" xfId="18226" xr:uid="{CCA3B697-262F-4E22-905B-E0646EC8BC7E}"/>
    <cellStyle name="Normal 4 2 2 4 2 2 3 5" xfId="9785" xr:uid="{8F93A844-74F1-4F36-ACE1-4C21A154895F}"/>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2 2 2" xfId="25002" xr:uid="{FF805443-F9E0-4FFD-B956-198A5229FD12}"/>
    <cellStyle name="Normal 4 2 2 4 2 2 4 2 2 3" xfId="16561" xr:uid="{F7E54E31-D3D5-4F72-9BE8-82BA90D7EEDB}"/>
    <cellStyle name="Normal 4 2 2 4 2 2 4 2 3" xfId="20784" xr:uid="{68E87E79-648B-4CB9-817F-F6E0A86E3ED7}"/>
    <cellStyle name="Normal 4 2 2 4 2 2 4 2 4" xfId="12343" xr:uid="{D0413CBB-BE1D-4402-B8BD-415732F6B540}"/>
    <cellStyle name="Normal 4 2 2 4 2 2 4 3" xfId="5966" xr:uid="{00000000-0005-0000-0000-0000A0120000}"/>
    <cellStyle name="Normal 4 2 2 4 2 2 4 3 2" xfId="22857" xr:uid="{BB858A12-8ED2-49ED-A355-5DC27BF29479}"/>
    <cellStyle name="Normal 4 2 2 4 2 2 4 3 3" xfId="14416" xr:uid="{87410A66-F0AE-4819-A309-EB89EA3A4C39}"/>
    <cellStyle name="Normal 4 2 2 4 2 2 4 4" xfId="18639" xr:uid="{268F4860-A016-4BC5-BB02-B26C2EC36EE3}"/>
    <cellStyle name="Normal 4 2 2 4 2 2 4 5" xfId="10198" xr:uid="{7FB8CA70-5AB8-43C7-AFA5-92312E453E41}"/>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2 2 2" xfId="25415" xr:uid="{F33517AF-AA0F-4CFD-A181-71C29FEBCAD1}"/>
    <cellStyle name="Normal 4 2 2 4 2 2 5 2 2 3" xfId="16974" xr:uid="{C9CD8D13-1AFB-4D57-A998-B4B1AF73B325}"/>
    <cellStyle name="Normal 4 2 2 4 2 2 5 2 3" xfId="21197" xr:uid="{AAD2BA5E-8ED6-402B-B058-7513293D328E}"/>
    <cellStyle name="Normal 4 2 2 4 2 2 5 2 4" xfId="12756" xr:uid="{B9B79C5C-E5FC-499C-9FD9-59BAB523F11E}"/>
    <cellStyle name="Normal 4 2 2 4 2 2 5 3" xfId="6379" xr:uid="{00000000-0005-0000-0000-0000A4120000}"/>
    <cellStyle name="Normal 4 2 2 4 2 2 5 3 2" xfId="23270" xr:uid="{07F7B748-9E9F-4A51-BCC4-82549F9E8781}"/>
    <cellStyle name="Normal 4 2 2 4 2 2 5 3 3" xfId="14829" xr:uid="{FDC78B60-E736-47F5-91DB-A28E5622ED86}"/>
    <cellStyle name="Normal 4 2 2 4 2 2 5 4" xfId="19052" xr:uid="{6481079E-D8C0-4A3B-BFA8-6DB0517F5935}"/>
    <cellStyle name="Normal 4 2 2 4 2 2 5 5" xfId="10611" xr:uid="{2741A39F-5157-4846-8980-21EB7EED0AB5}"/>
    <cellStyle name="Normal 4 2 2 4 2 2 6" xfId="2509" xr:uid="{00000000-0005-0000-0000-0000A5120000}"/>
    <cellStyle name="Normal 4 2 2 4 2 2 6 2" xfId="6792" xr:uid="{00000000-0005-0000-0000-0000A6120000}"/>
    <cellStyle name="Normal 4 2 2 4 2 2 6 2 2" xfId="23683" xr:uid="{D8234C8E-5077-491C-9B7A-FFE513E48759}"/>
    <cellStyle name="Normal 4 2 2 4 2 2 6 2 3" xfId="15242" xr:uid="{2F4CAA68-9FA1-4627-ABA7-C4813521CD95}"/>
    <cellStyle name="Normal 4 2 2 4 2 2 6 3" xfId="19465" xr:uid="{25558349-B898-4473-BDF5-D106C1D98110}"/>
    <cellStyle name="Normal 4 2 2 4 2 2 6 4" xfId="11024" xr:uid="{67272293-4BE6-4690-A30B-1FDB1AE033A1}"/>
    <cellStyle name="Normal 4 2 2 4 2 2 7" xfId="4727" xr:uid="{00000000-0005-0000-0000-0000A7120000}"/>
    <cellStyle name="Normal 4 2 2 4 2 2 7 2" xfId="21618" xr:uid="{7C4FC130-1B79-4929-A2E9-BF51C778CF39}"/>
    <cellStyle name="Normal 4 2 2 4 2 2 7 3" xfId="13177" xr:uid="{A4144AF1-D63E-45F0-8DE8-0BEA53DFCA69}"/>
    <cellStyle name="Normal 4 2 2 4 2 2 8" xfId="17400" xr:uid="{EE7E2040-CB79-4768-B5CC-DCDEFFD76C1C}"/>
    <cellStyle name="Normal 4 2 2 4 2 2 9" xfId="8959" xr:uid="{2C390657-FF84-4A32-AA23-3714BBB72237}"/>
    <cellStyle name="Normal 4 2 2 4 2 3" xfId="825" xr:uid="{00000000-0005-0000-0000-0000A8120000}"/>
    <cellStyle name="Normal 4 2 2 4 2 3 2" xfId="3062" xr:uid="{00000000-0005-0000-0000-0000A9120000}"/>
    <cellStyle name="Normal 4 2 2 4 2 3 2 2" xfId="7284" xr:uid="{00000000-0005-0000-0000-0000AA120000}"/>
    <cellStyle name="Normal 4 2 2 4 2 3 2 2 2" xfId="24175" xr:uid="{0C2BB03F-DC9A-4FD4-82F5-AE670C4CE4A3}"/>
    <cellStyle name="Normal 4 2 2 4 2 3 2 2 3" xfId="15734" xr:uid="{FCC418A6-5D9E-4C07-AA49-C8405406E59F}"/>
    <cellStyle name="Normal 4 2 2 4 2 3 2 3" xfId="19957" xr:uid="{FC2A5BD9-2A12-47DA-9CE4-5E49A7F68170}"/>
    <cellStyle name="Normal 4 2 2 4 2 3 2 4" xfId="11516" xr:uid="{79D396E1-EF36-4D41-B2AE-695E90AF7727}"/>
    <cellStyle name="Normal 4 2 2 4 2 3 3" xfId="5139" xr:uid="{00000000-0005-0000-0000-0000AB120000}"/>
    <cellStyle name="Normal 4 2 2 4 2 3 3 2" xfId="22030" xr:uid="{E5FACC81-DCE9-4015-AB02-9DBCAF9AB2EF}"/>
    <cellStyle name="Normal 4 2 2 4 2 3 3 3" xfId="13589" xr:uid="{ED4BD3E6-E628-45EA-A664-94A5BF80D530}"/>
    <cellStyle name="Normal 4 2 2 4 2 3 4" xfId="17812" xr:uid="{6CE90064-2A07-4980-8645-5273B1944F6E}"/>
    <cellStyle name="Normal 4 2 2 4 2 3 5" xfId="9371" xr:uid="{CD3CD86F-2CF6-457D-8F7E-33CA773C5407}"/>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2 2 2" xfId="24588" xr:uid="{3B13A85F-E5BF-494C-A496-0AF97A6D63FB}"/>
    <cellStyle name="Normal 4 2 2 4 2 4 2 2 3" xfId="16147" xr:uid="{1E942918-3FE2-4E00-92C7-57112A3AFF4F}"/>
    <cellStyle name="Normal 4 2 2 4 2 4 2 3" xfId="20370" xr:uid="{8D5B5877-2BA7-4E76-A19A-13E33BA2FC59}"/>
    <cellStyle name="Normal 4 2 2 4 2 4 2 4" xfId="11929" xr:uid="{FE4417B3-A524-4E03-87C6-078ADAE9B9F0}"/>
    <cellStyle name="Normal 4 2 2 4 2 4 3" xfId="5552" xr:uid="{00000000-0005-0000-0000-0000AF120000}"/>
    <cellStyle name="Normal 4 2 2 4 2 4 3 2" xfId="22443" xr:uid="{C9065797-5AE5-4F8C-BDEE-B6AEEA1E3EFC}"/>
    <cellStyle name="Normal 4 2 2 4 2 4 3 3" xfId="14002" xr:uid="{4F62A71B-AAF4-4F8B-85AF-176DE2A73700}"/>
    <cellStyle name="Normal 4 2 2 4 2 4 4" xfId="18225" xr:uid="{15F2ACA8-552C-4969-B918-9E60AD2D9363}"/>
    <cellStyle name="Normal 4 2 2 4 2 4 5" xfId="9784" xr:uid="{9411A5EB-4D9A-43A6-890A-9214EA3CD3FA}"/>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2 2 2" xfId="25001" xr:uid="{3DF85242-3C74-4764-A932-B3455526503D}"/>
    <cellStyle name="Normal 4 2 2 4 2 5 2 2 3" xfId="16560" xr:uid="{43956E65-7D27-4DEA-A293-57344A3D0A1F}"/>
    <cellStyle name="Normal 4 2 2 4 2 5 2 3" xfId="20783" xr:uid="{91446D8C-8742-4556-B3A0-6D08CA3C175B}"/>
    <cellStyle name="Normal 4 2 2 4 2 5 2 4" xfId="12342" xr:uid="{D1F86EEF-33A5-444C-AE70-7A5904CD1162}"/>
    <cellStyle name="Normal 4 2 2 4 2 5 3" xfId="5965" xr:uid="{00000000-0005-0000-0000-0000B3120000}"/>
    <cellStyle name="Normal 4 2 2 4 2 5 3 2" xfId="22856" xr:uid="{A1F17180-F067-40F1-AD2B-9A1100B4368D}"/>
    <cellStyle name="Normal 4 2 2 4 2 5 3 3" xfId="14415" xr:uid="{C1F4AA58-D6DC-42E3-902E-FC4BB36ED8D3}"/>
    <cellStyle name="Normal 4 2 2 4 2 5 4" xfId="18638" xr:uid="{A7284B32-4C0E-4C04-B11F-2F8474967CF1}"/>
    <cellStyle name="Normal 4 2 2 4 2 5 5" xfId="10197" xr:uid="{23342587-1923-4D66-A67E-F60EB17D5D6D}"/>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2 2 2" xfId="25414" xr:uid="{4EE3764F-D872-4B61-A02D-3A905FCB4D34}"/>
    <cellStyle name="Normal 4 2 2 4 2 6 2 2 3" xfId="16973" xr:uid="{F38A4721-69BD-4CA2-BDFF-CE3E0D855561}"/>
    <cellStyle name="Normal 4 2 2 4 2 6 2 3" xfId="21196" xr:uid="{0E3700B5-5E14-4A7E-91C4-F2B0C181781D}"/>
    <cellStyle name="Normal 4 2 2 4 2 6 2 4" xfId="12755" xr:uid="{BB359F07-CB43-4B24-86DF-6478DBFE36A4}"/>
    <cellStyle name="Normal 4 2 2 4 2 6 3" xfId="6378" xr:uid="{00000000-0005-0000-0000-0000B7120000}"/>
    <cellStyle name="Normal 4 2 2 4 2 6 3 2" xfId="23269" xr:uid="{CE82E7DA-4BC0-4A17-AFB7-7060CC53C019}"/>
    <cellStyle name="Normal 4 2 2 4 2 6 3 3" xfId="14828" xr:uid="{B4918BDE-2874-4E01-8667-3CFCF6DA1E81}"/>
    <cellStyle name="Normal 4 2 2 4 2 6 4" xfId="19051" xr:uid="{007CF6BD-4525-4978-95F1-D611FB8225A0}"/>
    <cellStyle name="Normal 4 2 2 4 2 6 5" xfId="10610" xr:uid="{08B2EC86-EAB6-478E-8821-2B86B31A34E4}"/>
    <cellStyle name="Normal 4 2 2 4 2 7" xfId="2508" xr:uid="{00000000-0005-0000-0000-0000B8120000}"/>
    <cellStyle name="Normal 4 2 2 4 2 7 2" xfId="6791" xr:uid="{00000000-0005-0000-0000-0000B9120000}"/>
    <cellStyle name="Normal 4 2 2 4 2 7 2 2" xfId="23682" xr:uid="{7E1AB58D-3CDB-471E-8903-E8A36344D375}"/>
    <cellStyle name="Normal 4 2 2 4 2 7 2 3" xfId="15241" xr:uid="{976EA162-A392-4C41-BBAB-2BAF945AE8EC}"/>
    <cellStyle name="Normal 4 2 2 4 2 7 3" xfId="19464" xr:uid="{D74E16D8-3751-4D75-A828-E638AB5AA786}"/>
    <cellStyle name="Normal 4 2 2 4 2 7 4" xfId="11023" xr:uid="{1A5CBDC8-C6EA-4A17-ABEA-F2D6E9335536}"/>
    <cellStyle name="Normal 4 2 2 4 2 8" xfId="4726" xr:uid="{00000000-0005-0000-0000-0000BA120000}"/>
    <cellStyle name="Normal 4 2 2 4 2 8 2" xfId="21617" xr:uid="{82DB0F12-C45A-4369-B935-B520DC019673}"/>
    <cellStyle name="Normal 4 2 2 4 2 8 3" xfId="13176" xr:uid="{532F8930-0ECF-4D0E-9E2A-CFED44EDE5C5}"/>
    <cellStyle name="Normal 4 2 2 4 2 9" xfId="17399" xr:uid="{66C14E95-B660-414D-8B49-E8685096EAD3}"/>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2 2 2" xfId="24177" xr:uid="{99542252-7DAC-40DE-B3A0-74A4833530DD}"/>
    <cellStyle name="Normal 4 2 2 4 3 2 2 2 3" xfId="15736" xr:uid="{C2B8FCB1-E759-44FE-9D99-4D9CB74CCF42}"/>
    <cellStyle name="Normal 4 2 2 4 3 2 2 3" xfId="19959" xr:uid="{3DB52AA8-00DA-4CA5-98E4-EDD75AF828AE}"/>
    <cellStyle name="Normal 4 2 2 4 3 2 2 4" xfId="11518" xr:uid="{70AF9EB3-0A5C-4577-899B-4306FA84A6DD}"/>
    <cellStyle name="Normal 4 2 2 4 3 2 3" xfId="5141" xr:uid="{00000000-0005-0000-0000-0000BF120000}"/>
    <cellStyle name="Normal 4 2 2 4 3 2 3 2" xfId="22032" xr:uid="{F604A97B-4A7B-49A1-A120-46C1419203DE}"/>
    <cellStyle name="Normal 4 2 2 4 3 2 3 3" xfId="13591" xr:uid="{819C5C33-AF7F-4B2D-BF29-C48C83729333}"/>
    <cellStyle name="Normal 4 2 2 4 3 2 4" xfId="17814" xr:uid="{F21CDF68-9927-4391-B51D-4D1D3D8A120D}"/>
    <cellStyle name="Normal 4 2 2 4 3 2 5" xfId="9373" xr:uid="{0CA4D146-25BC-4055-A300-306ED9D755BF}"/>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2 2 2" xfId="24590" xr:uid="{D1C208D2-8316-4A86-AB53-D64409D808B2}"/>
    <cellStyle name="Normal 4 2 2 4 3 3 2 2 3" xfId="16149" xr:uid="{24AE6249-A7C6-4F4E-A547-37BCDF2F3E45}"/>
    <cellStyle name="Normal 4 2 2 4 3 3 2 3" xfId="20372" xr:uid="{CE2FAFBD-0CA2-4E80-8712-1EEB319FFA67}"/>
    <cellStyle name="Normal 4 2 2 4 3 3 2 4" xfId="11931" xr:uid="{9F7FC91C-6A56-4756-9514-3590A3F4DA8F}"/>
    <cellStyle name="Normal 4 2 2 4 3 3 3" xfId="5554" xr:uid="{00000000-0005-0000-0000-0000C3120000}"/>
    <cellStyle name="Normal 4 2 2 4 3 3 3 2" xfId="22445" xr:uid="{87F7DC52-F8C4-40B8-9E80-7A04C702CC8E}"/>
    <cellStyle name="Normal 4 2 2 4 3 3 3 3" xfId="14004" xr:uid="{A4036475-CFA7-4521-8F43-2FC44241B00D}"/>
    <cellStyle name="Normal 4 2 2 4 3 3 4" xfId="18227" xr:uid="{77F16BBF-1180-4C3B-99F8-E0EC4EC1783F}"/>
    <cellStyle name="Normal 4 2 2 4 3 3 5" xfId="9786" xr:uid="{F7D16DD3-FB13-4F2A-9ECF-63897CA79F6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2 2 2" xfId="25003" xr:uid="{0455C68B-F818-4D83-8AD9-EA81FFD1E879}"/>
    <cellStyle name="Normal 4 2 2 4 3 4 2 2 3" xfId="16562" xr:uid="{17508C86-5044-4369-A6B0-5DF3B133703F}"/>
    <cellStyle name="Normal 4 2 2 4 3 4 2 3" xfId="20785" xr:uid="{CA6C495E-1B41-4B1B-B12E-A17FD475C101}"/>
    <cellStyle name="Normal 4 2 2 4 3 4 2 4" xfId="12344" xr:uid="{99698B74-EC86-4F51-84A0-0E9E2E10489F}"/>
    <cellStyle name="Normal 4 2 2 4 3 4 3" xfId="5967" xr:uid="{00000000-0005-0000-0000-0000C7120000}"/>
    <cellStyle name="Normal 4 2 2 4 3 4 3 2" xfId="22858" xr:uid="{FFFAD7DC-4FCB-42E1-8E1D-5A45C607658A}"/>
    <cellStyle name="Normal 4 2 2 4 3 4 3 3" xfId="14417" xr:uid="{5D2BD2B9-4C50-4CC4-8D0C-69EAA3889991}"/>
    <cellStyle name="Normal 4 2 2 4 3 4 4" xfId="18640" xr:uid="{84FC110B-8D6A-4BED-BECA-C4A8AC433306}"/>
    <cellStyle name="Normal 4 2 2 4 3 4 5" xfId="10199" xr:uid="{F8A45D2E-8091-4BBB-926F-F82C492F650E}"/>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2 2 2" xfId="25416" xr:uid="{DA41C4BA-E622-4ECA-B079-DE57BBA85DF4}"/>
    <cellStyle name="Normal 4 2 2 4 3 5 2 2 3" xfId="16975" xr:uid="{8E081FD4-FCD1-4968-8272-79CBD5F8FCB5}"/>
    <cellStyle name="Normal 4 2 2 4 3 5 2 3" xfId="21198" xr:uid="{ECFACDD7-8524-4FFD-95FA-279872647F7A}"/>
    <cellStyle name="Normal 4 2 2 4 3 5 2 4" xfId="12757" xr:uid="{C2E58D06-BFAA-4F2C-82D2-DC079CF9F865}"/>
    <cellStyle name="Normal 4 2 2 4 3 5 3" xfId="6380" xr:uid="{00000000-0005-0000-0000-0000CB120000}"/>
    <cellStyle name="Normal 4 2 2 4 3 5 3 2" xfId="23271" xr:uid="{D42CAB5B-879A-45AE-BA9B-885D316ABC9C}"/>
    <cellStyle name="Normal 4 2 2 4 3 5 3 3" xfId="14830" xr:uid="{80B0CB99-07B8-4D89-8F91-1FB20F07D2D0}"/>
    <cellStyle name="Normal 4 2 2 4 3 5 4" xfId="19053" xr:uid="{D2E0435B-BB08-435A-92E2-CBC2729E022B}"/>
    <cellStyle name="Normal 4 2 2 4 3 5 5" xfId="10612" xr:uid="{FAF364FE-18A2-4501-98DF-404EC1D5D11D}"/>
    <cellStyle name="Normal 4 2 2 4 3 6" xfId="2510" xr:uid="{00000000-0005-0000-0000-0000CC120000}"/>
    <cellStyle name="Normal 4 2 2 4 3 6 2" xfId="6793" xr:uid="{00000000-0005-0000-0000-0000CD120000}"/>
    <cellStyle name="Normal 4 2 2 4 3 6 2 2" xfId="23684" xr:uid="{F156CCA2-CAB7-4F73-BAAA-A7FCC1D763E0}"/>
    <cellStyle name="Normal 4 2 2 4 3 6 2 3" xfId="15243" xr:uid="{FC0CF6C6-8544-41E1-BB48-362A82BF3809}"/>
    <cellStyle name="Normal 4 2 2 4 3 6 3" xfId="19466" xr:uid="{42617AD7-5DF2-4DCF-A0AE-E706936BD6DA}"/>
    <cellStyle name="Normal 4 2 2 4 3 6 4" xfId="11025" xr:uid="{2A900076-C70C-4E25-8303-DB217764C05C}"/>
    <cellStyle name="Normal 4 2 2 4 3 7" xfId="4728" xr:uid="{00000000-0005-0000-0000-0000CE120000}"/>
    <cellStyle name="Normal 4 2 2 4 3 7 2" xfId="21619" xr:uid="{35FCD24D-2E0C-47BF-A54D-0FD6ADE57D7E}"/>
    <cellStyle name="Normal 4 2 2 4 3 7 3" xfId="13178" xr:uid="{EFC32843-9F2D-412E-8DC4-6A7E8716D06C}"/>
    <cellStyle name="Normal 4 2 2 4 3 8" xfId="17401" xr:uid="{73A7DAEA-3502-4B69-8418-80E8C0B68926}"/>
    <cellStyle name="Normal 4 2 2 4 3 9" xfId="8960" xr:uid="{1E161B7A-635B-4BC7-8E18-C4D675B2FADB}"/>
    <cellStyle name="Normal 4 2 2 4 4" xfId="824" xr:uid="{00000000-0005-0000-0000-0000CF120000}"/>
    <cellStyle name="Normal 4 2 2 4 4 2" xfId="3061" xr:uid="{00000000-0005-0000-0000-0000D0120000}"/>
    <cellStyle name="Normal 4 2 2 4 4 2 2" xfId="7283" xr:uid="{00000000-0005-0000-0000-0000D1120000}"/>
    <cellStyle name="Normal 4 2 2 4 4 2 2 2" xfId="24174" xr:uid="{87B71654-654E-449D-89D2-E5ACE41BA856}"/>
    <cellStyle name="Normal 4 2 2 4 4 2 2 3" xfId="15733" xr:uid="{A3F194C7-CF1F-45CF-924C-AFEDA527DA12}"/>
    <cellStyle name="Normal 4 2 2 4 4 2 3" xfId="19956" xr:uid="{B97E0FAF-8B60-43FB-8192-C8A961483557}"/>
    <cellStyle name="Normal 4 2 2 4 4 2 4" xfId="11515" xr:uid="{527E6952-52B4-4463-BAC0-F7DF5D8DE7C4}"/>
    <cellStyle name="Normal 4 2 2 4 4 3" xfId="5138" xr:uid="{00000000-0005-0000-0000-0000D2120000}"/>
    <cellStyle name="Normal 4 2 2 4 4 3 2" xfId="22029" xr:uid="{76EA1A0B-6086-4FD1-9F1E-2DEC86F02967}"/>
    <cellStyle name="Normal 4 2 2 4 4 3 3" xfId="13588" xr:uid="{1A42721D-F162-48B4-B81B-E4AAA985E0B3}"/>
    <cellStyle name="Normal 4 2 2 4 4 4" xfId="17811" xr:uid="{913AD7AE-74E5-461C-B1E8-B1E3A010E04B}"/>
    <cellStyle name="Normal 4 2 2 4 4 5" xfId="9370" xr:uid="{C2F8F511-87E9-44CE-BED4-E22ECBF1387F}"/>
    <cellStyle name="Normal 4 2 2 4 5" xfId="1244" xr:uid="{00000000-0005-0000-0000-0000D3120000}"/>
    <cellStyle name="Normal 4 2 2 4 5 2" xfId="3474" xr:uid="{00000000-0005-0000-0000-0000D4120000}"/>
    <cellStyle name="Normal 4 2 2 4 5 2 2" xfId="7696" xr:uid="{00000000-0005-0000-0000-0000D5120000}"/>
    <cellStyle name="Normal 4 2 2 4 5 2 2 2" xfId="24587" xr:uid="{DC792A91-8BE9-4729-8A3A-7B1197F0AEC7}"/>
    <cellStyle name="Normal 4 2 2 4 5 2 2 3" xfId="16146" xr:uid="{4203DFDF-9801-466F-B06B-A18FD139D693}"/>
    <cellStyle name="Normal 4 2 2 4 5 2 3" xfId="20369" xr:uid="{06E96137-E482-41B2-BFCE-CE9F97A11686}"/>
    <cellStyle name="Normal 4 2 2 4 5 2 4" xfId="11928" xr:uid="{9CC393F3-DDD3-420E-877A-FE86613008C4}"/>
    <cellStyle name="Normal 4 2 2 4 5 3" xfId="5551" xr:uid="{00000000-0005-0000-0000-0000D6120000}"/>
    <cellStyle name="Normal 4 2 2 4 5 3 2" xfId="22442" xr:uid="{E1207813-B344-41F8-9701-D23AB1159B3F}"/>
    <cellStyle name="Normal 4 2 2 4 5 3 3" xfId="14001" xr:uid="{713C514E-C4B9-4E40-96F1-B1B809C24704}"/>
    <cellStyle name="Normal 4 2 2 4 5 4" xfId="18224" xr:uid="{160FB99C-90BC-42AB-B5CC-54F753CD6EDE}"/>
    <cellStyle name="Normal 4 2 2 4 5 5" xfId="9783" xr:uid="{F788CA85-BBAA-4C32-B739-3D058DA2C1A4}"/>
    <cellStyle name="Normal 4 2 2 4 6" xfId="1657" xr:uid="{00000000-0005-0000-0000-0000D7120000}"/>
    <cellStyle name="Normal 4 2 2 4 6 2" xfId="3887" xr:uid="{00000000-0005-0000-0000-0000D8120000}"/>
    <cellStyle name="Normal 4 2 2 4 6 2 2" xfId="8109" xr:uid="{00000000-0005-0000-0000-0000D9120000}"/>
    <cellStyle name="Normal 4 2 2 4 6 2 2 2" xfId="25000" xr:uid="{45132D8F-80F6-4066-900E-00947B44F4C4}"/>
    <cellStyle name="Normal 4 2 2 4 6 2 2 3" xfId="16559" xr:uid="{BB0CB05F-A0AA-40D0-81C2-DD9CCB3FA90C}"/>
    <cellStyle name="Normal 4 2 2 4 6 2 3" xfId="20782" xr:uid="{2C9FB932-3DB2-4E01-ABD7-185FD6AEB2A7}"/>
    <cellStyle name="Normal 4 2 2 4 6 2 4" xfId="12341" xr:uid="{F267985E-8218-454E-BA0D-D59B0F7835E6}"/>
    <cellStyle name="Normal 4 2 2 4 6 3" xfId="5964" xr:uid="{00000000-0005-0000-0000-0000DA120000}"/>
    <cellStyle name="Normal 4 2 2 4 6 3 2" xfId="22855" xr:uid="{E7FD73C6-54C6-4C76-AD13-97976820CB11}"/>
    <cellStyle name="Normal 4 2 2 4 6 3 3" xfId="14414" xr:uid="{5F982FBD-F39C-4185-961C-32E4AF7BD0E0}"/>
    <cellStyle name="Normal 4 2 2 4 6 4" xfId="18637" xr:uid="{0979257E-87B3-4A11-BD05-797ED06643B1}"/>
    <cellStyle name="Normal 4 2 2 4 6 5" xfId="10196" xr:uid="{5C21E521-3E20-495F-92EC-9EA8278DB3BE}"/>
    <cellStyle name="Normal 4 2 2 4 7" xfId="2071" xr:uid="{00000000-0005-0000-0000-0000DB120000}"/>
    <cellStyle name="Normal 4 2 2 4 7 2" xfId="4300" xr:uid="{00000000-0005-0000-0000-0000DC120000}"/>
    <cellStyle name="Normal 4 2 2 4 7 2 2" xfId="8522" xr:uid="{00000000-0005-0000-0000-0000DD120000}"/>
    <cellStyle name="Normal 4 2 2 4 7 2 2 2" xfId="25413" xr:uid="{114EC800-640F-48D3-BE20-68A76A942AE0}"/>
    <cellStyle name="Normal 4 2 2 4 7 2 2 3" xfId="16972" xr:uid="{93359526-2D88-48DA-BD41-04EAD52D4373}"/>
    <cellStyle name="Normal 4 2 2 4 7 2 3" xfId="21195" xr:uid="{53245B7A-E7E6-40BF-A6C9-43E05FCA9B48}"/>
    <cellStyle name="Normal 4 2 2 4 7 2 4" xfId="12754" xr:uid="{F60088ED-1690-4110-9793-6CE6BBFF14DB}"/>
    <cellStyle name="Normal 4 2 2 4 7 3" xfId="6377" xr:uid="{00000000-0005-0000-0000-0000DE120000}"/>
    <cellStyle name="Normal 4 2 2 4 7 3 2" xfId="23268" xr:uid="{24B28260-2C51-411F-A71C-968F09B9BD6C}"/>
    <cellStyle name="Normal 4 2 2 4 7 3 3" xfId="14827" xr:uid="{B74DB723-7B09-4E4D-B216-2F6162341B4E}"/>
    <cellStyle name="Normal 4 2 2 4 7 4" xfId="19050" xr:uid="{74075A2E-4A67-4231-8F57-F2A91095FD4F}"/>
    <cellStyle name="Normal 4 2 2 4 7 5" xfId="10609" xr:uid="{F76A18C4-DAD8-4389-9742-63DC9CC87A6B}"/>
    <cellStyle name="Normal 4 2 2 4 8" xfId="2507" xr:uid="{00000000-0005-0000-0000-0000DF120000}"/>
    <cellStyle name="Normal 4 2 2 4 8 2" xfId="6790" xr:uid="{00000000-0005-0000-0000-0000E0120000}"/>
    <cellStyle name="Normal 4 2 2 4 8 2 2" xfId="23681" xr:uid="{D2648778-AA8E-480E-90F8-0987B5064984}"/>
    <cellStyle name="Normal 4 2 2 4 8 2 3" xfId="15240" xr:uid="{373E664B-7593-46BA-8FA3-A96F08252C6C}"/>
    <cellStyle name="Normal 4 2 2 4 8 3" xfId="19463" xr:uid="{4E1DB6A7-3614-4CC4-BD9D-A5265F1E050E}"/>
    <cellStyle name="Normal 4 2 2 4 8 4" xfId="11022" xr:uid="{5F6C0D53-30E3-4FA2-B79F-F598FB00922E}"/>
    <cellStyle name="Normal 4 2 2 4 9" xfId="4725" xr:uid="{00000000-0005-0000-0000-0000E1120000}"/>
    <cellStyle name="Normal 4 2 2 4 9 2" xfId="21616" xr:uid="{6F3046AD-24E4-48B3-B11A-6E752810FB71}"/>
    <cellStyle name="Normal 4 2 2 4 9 3" xfId="13175" xr:uid="{9A6D41CF-B6C7-49B2-9009-77D5261EB95D}"/>
    <cellStyle name="Normal 4 2 2 5" xfId="351" xr:uid="{00000000-0005-0000-0000-0000E2120000}"/>
    <cellStyle name="Normal 4 2 2 5 10" xfId="8961" xr:uid="{D1187432-E1F4-42D5-BE37-B548A71BBDE4}"/>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2 2 2" xfId="24179" xr:uid="{B7EB6032-B2A9-426C-8626-65210EFBA09B}"/>
    <cellStyle name="Normal 4 2 2 5 2 2 2 2 3" xfId="15738" xr:uid="{66735037-372C-45DC-8158-E86CE22191A7}"/>
    <cellStyle name="Normal 4 2 2 5 2 2 2 3" xfId="19961" xr:uid="{3DF704A8-642E-493E-BB0A-9FF1E54AC070}"/>
    <cellStyle name="Normal 4 2 2 5 2 2 2 4" xfId="11520" xr:uid="{849EFF39-C29F-49A2-90B3-812244D6C4B3}"/>
    <cellStyle name="Normal 4 2 2 5 2 2 3" xfId="5143" xr:uid="{00000000-0005-0000-0000-0000E7120000}"/>
    <cellStyle name="Normal 4 2 2 5 2 2 3 2" xfId="22034" xr:uid="{92D5A0C4-1205-4E5E-B4BD-D48B1D6FFD80}"/>
    <cellStyle name="Normal 4 2 2 5 2 2 3 3" xfId="13593" xr:uid="{26B9287B-0BDC-47B8-996D-DD6190C4FDF0}"/>
    <cellStyle name="Normal 4 2 2 5 2 2 4" xfId="17816" xr:uid="{A5B05E39-6096-4140-B996-8767D9B83DD6}"/>
    <cellStyle name="Normal 4 2 2 5 2 2 5" xfId="9375" xr:uid="{37F31A7E-CC06-4B7C-B979-54AB176FE945}"/>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2 2 2" xfId="24592" xr:uid="{4DCDC8EA-42A1-44F1-9F60-F0E3D21EE6DB}"/>
    <cellStyle name="Normal 4 2 2 5 2 3 2 2 3" xfId="16151" xr:uid="{2979B884-D895-4977-84A0-6A5C84FF4315}"/>
    <cellStyle name="Normal 4 2 2 5 2 3 2 3" xfId="20374" xr:uid="{2D78C136-5CC6-4975-B783-545941B65A9B}"/>
    <cellStyle name="Normal 4 2 2 5 2 3 2 4" xfId="11933" xr:uid="{8BF60314-5EBA-443D-A82E-6709FEA396B1}"/>
    <cellStyle name="Normal 4 2 2 5 2 3 3" xfId="5556" xr:uid="{00000000-0005-0000-0000-0000EB120000}"/>
    <cellStyle name="Normal 4 2 2 5 2 3 3 2" xfId="22447" xr:uid="{6AD64755-C6CE-45D0-8B81-5CCF245C75C6}"/>
    <cellStyle name="Normal 4 2 2 5 2 3 3 3" xfId="14006" xr:uid="{5517E50E-86A4-4C46-9431-5E8CEF5BBCEA}"/>
    <cellStyle name="Normal 4 2 2 5 2 3 4" xfId="18229" xr:uid="{A9CDD10D-7AE9-484C-B433-60AA2FD538F1}"/>
    <cellStyle name="Normal 4 2 2 5 2 3 5" xfId="9788" xr:uid="{5EAA236A-5B3A-4AD5-AD99-862D6C9A24D9}"/>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2 2 2" xfId="25005" xr:uid="{33B5AB88-1D6B-4FAF-B394-25A603E8A0E3}"/>
    <cellStyle name="Normal 4 2 2 5 2 4 2 2 3" xfId="16564" xr:uid="{633E82E6-D84C-4DC1-9698-0BC0F65CAE57}"/>
    <cellStyle name="Normal 4 2 2 5 2 4 2 3" xfId="20787" xr:uid="{7C79B592-C81D-4018-96E2-B2AFD65D4874}"/>
    <cellStyle name="Normal 4 2 2 5 2 4 2 4" xfId="12346" xr:uid="{BF739702-A8F7-4773-B1EF-8CD8B1A9B1C8}"/>
    <cellStyle name="Normal 4 2 2 5 2 4 3" xfId="5969" xr:uid="{00000000-0005-0000-0000-0000EF120000}"/>
    <cellStyle name="Normal 4 2 2 5 2 4 3 2" xfId="22860" xr:uid="{94458BD2-639B-4938-8A44-8EDFBFFCED26}"/>
    <cellStyle name="Normal 4 2 2 5 2 4 3 3" xfId="14419" xr:uid="{9A969B43-731F-446A-A037-D0732DA6EDAC}"/>
    <cellStyle name="Normal 4 2 2 5 2 4 4" xfId="18642" xr:uid="{F41FD516-CA1C-4DC9-B7E6-7EDA36A9E051}"/>
    <cellStyle name="Normal 4 2 2 5 2 4 5" xfId="10201" xr:uid="{6FF60C5F-5100-4636-B8C1-18AE12E29A95}"/>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2 2 2" xfId="25418" xr:uid="{BB01C7B9-C405-496F-AD6F-8116DDFB62F0}"/>
    <cellStyle name="Normal 4 2 2 5 2 5 2 2 3" xfId="16977" xr:uid="{F2AA31F4-7A5E-4F41-80FA-E703007D46BA}"/>
    <cellStyle name="Normal 4 2 2 5 2 5 2 3" xfId="21200" xr:uid="{6A83D494-CF6B-4F65-8B73-2EF8457AFE59}"/>
    <cellStyle name="Normal 4 2 2 5 2 5 2 4" xfId="12759" xr:uid="{244FD340-4924-4167-93AC-71CC3C78EE21}"/>
    <cellStyle name="Normal 4 2 2 5 2 5 3" xfId="6382" xr:uid="{00000000-0005-0000-0000-0000F3120000}"/>
    <cellStyle name="Normal 4 2 2 5 2 5 3 2" xfId="23273" xr:uid="{C8C66A2F-8ABF-4C34-A41B-83B596E10A9F}"/>
    <cellStyle name="Normal 4 2 2 5 2 5 3 3" xfId="14832" xr:uid="{37AD3CD6-8DD5-4486-B05E-0760E1D59A0D}"/>
    <cellStyle name="Normal 4 2 2 5 2 5 4" xfId="19055" xr:uid="{B9B96335-39E0-486F-B622-998C19E17E94}"/>
    <cellStyle name="Normal 4 2 2 5 2 5 5" xfId="10614" xr:uid="{A45686E3-1099-484F-9AC8-C889E9E7FF3B}"/>
    <cellStyle name="Normal 4 2 2 5 2 6" xfId="2512" xr:uid="{00000000-0005-0000-0000-0000F4120000}"/>
    <cellStyle name="Normal 4 2 2 5 2 6 2" xfId="6795" xr:uid="{00000000-0005-0000-0000-0000F5120000}"/>
    <cellStyle name="Normal 4 2 2 5 2 6 2 2" xfId="23686" xr:uid="{2D81571A-9AFB-48C1-ACED-A9E5E175B114}"/>
    <cellStyle name="Normal 4 2 2 5 2 6 2 3" xfId="15245" xr:uid="{96C2AFF6-F126-4411-8BEC-34A8134EF821}"/>
    <cellStyle name="Normal 4 2 2 5 2 6 3" xfId="19468" xr:uid="{C094CAE6-C504-411C-BF6D-3D6DA7DDE42C}"/>
    <cellStyle name="Normal 4 2 2 5 2 6 4" xfId="11027" xr:uid="{B130F60C-3494-40F4-8D65-D784ACE63985}"/>
    <cellStyle name="Normal 4 2 2 5 2 7" xfId="4730" xr:uid="{00000000-0005-0000-0000-0000F6120000}"/>
    <cellStyle name="Normal 4 2 2 5 2 7 2" xfId="21621" xr:uid="{134E9F4F-1D6E-473F-8612-67BA400C297F}"/>
    <cellStyle name="Normal 4 2 2 5 2 7 3" xfId="13180" xr:uid="{D3FF30C9-75E5-4187-A3E8-0D59C04640C6}"/>
    <cellStyle name="Normal 4 2 2 5 2 8" xfId="17403" xr:uid="{F2DCDCD8-D0F0-4C60-A19B-C5007EB0CAE4}"/>
    <cellStyle name="Normal 4 2 2 5 2 9" xfId="8962" xr:uid="{B5400CF0-5695-4468-9167-9E73AFFF5A5A}"/>
    <cellStyle name="Normal 4 2 2 5 3" xfId="828" xr:uid="{00000000-0005-0000-0000-0000F7120000}"/>
    <cellStyle name="Normal 4 2 2 5 3 2" xfId="3065" xr:uid="{00000000-0005-0000-0000-0000F8120000}"/>
    <cellStyle name="Normal 4 2 2 5 3 2 2" xfId="7287" xr:uid="{00000000-0005-0000-0000-0000F9120000}"/>
    <cellStyle name="Normal 4 2 2 5 3 2 2 2" xfId="24178" xr:uid="{B233EACF-04C7-410F-88DD-7B5B16D7F0A5}"/>
    <cellStyle name="Normal 4 2 2 5 3 2 2 3" xfId="15737" xr:uid="{EAD0563E-7A62-40CC-B038-3C5DC026AFE7}"/>
    <cellStyle name="Normal 4 2 2 5 3 2 3" xfId="19960" xr:uid="{421DA36A-7F9C-442E-906F-DEB3064F24FA}"/>
    <cellStyle name="Normal 4 2 2 5 3 2 4" xfId="11519" xr:uid="{E7947CB9-C75F-4BDB-9176-EC3D7FE8ED78}"/>
    <cellStyle name="Normal 4 2 2 5 3 3" xfId="5142" xr:uid="{00000000-0005-0000-0000-0000FA120000}"/>
    <cellStyle name="Normal 4 2 2 5 3 3 2" xfId="22033" xr:uid="{D737A77B-4ED9-4F52-A10C-73C2E73F9686}"/>
    <cellStyle name="Normal 4 2 2 5 3 3 3" xfId="13592" xr:uid="{9D2C0131-7CAE-42A3-AFDE-0272F4F8E237}"/>
    <cellStyle name="Normal 4 2 2 5 3 4" xfId="17815" xr:uid="{CF67B236-BD35-44B4-BBA8-1DDB5CF51F4C}"/>
    <cellStyle name="Normal 4 2 2 5 3 5" xfId="9374" xr:uid="{70B8463F-8067-4F4F-8F6E-7F267B2A9AC9}"/>
    <cellStyle name="Normal 4 2 2 5 4" xfId="1248" xr:uid="{00000000-0005-0000-0000-0000FB120000}"/>
    <cellStyle name="Normal 4 2 2 5 4 2" xfId="3478" xr:uid="{00000000-0005-0000-0000-0000FC120000}"/>
    <cellStyle name="Normal 4 2 2 5 4 2 2" xfId="7700" xr:uid="{00000000-0005-0000-0000-0000FD120000}"/>
    <cellStyle name="Normal 4 2 2 5 4 2 2 2" xfId="24591" xr:uid="{0E96FC99-5A53-4EBE-8F20-464F566DDAFD}"/>
    <cellStyle name="Normal 4 2 2 5 4 2 2 3" xfId="16150" xr:uid="{F885CB55-8D1A-40F5-92D0-2C1147FF7ECF}"/>
    <cellStyle name="Normal 4 2 2 5 4 2 3" xfId="20373" xr:uid="{77590DA9-118E-4796-B239-F92C3F344025}"/>
    <cellStyle name="Normal 4 2 2 5 4 2 4" xfId="11932" xr:uid="{2BD55D06-69F1-4A22-87B4-C5BD2C6206DB}"/>
    <cellStyle name="Normal 4 2 2 5 4 3" xfId="5555" xr:uid="{00000000-0005-0000-0000-0000FE120000}"/>
    <cellStyle name="Normal 4 2 2 5 4 3 2" xfId="22446" xr:uid="{6E81C414-DF34-48EA-9B86-6366B4BD8ACC}"/>
    <cellStyle name="Normal 4 2 2 5 4 3 3" xfId="14005" xr:uid="{885C97B3-CD5D-4C11-8116-F5E3F32FB511}"/>
    <cellStyle name="Normal 4 2 2 5 4 4" xfId="18228" xr:uid="{F9A5BA9A-3653-438C-B534-E58E41F7ED1F}"/>
    <cellStyle name="Normal 4 2 2 5 4 5" xfId="9787" xr:uid="{1B3CD36E-1EC3-4116-979C-7116A8096861}"/>
    <cellStyle name="Normal 4 2 2 5 5" xfId="1661" xr:uid="{00000000-0005-0000-0000-0000FF120000}"/>
    <cellStyle name="Normal 4 2 2 5 5 2" xfId="3891" xr:uid="{00000000-0005-0000-0000-000000130000}"/>
    <cellStyle name="Normal 4 2 2 5 5 2 2" xfId="8113" xr:uid="{00000000-0005-0000-0000-000001130000}"/>
    <cellStyle name="Normal 4 2 2 5 5 2 2 2" xfId="25004" xr:uid="{9E729E5C-F8F1-41EE-8CFB-7E5E851A39CA}"/>
    <cellStyle name="Normal 4 2 2 5 5 2 2 3" xfId="16563" xr:uid="{C5BA1B2C-A3F1-49A5-9189-AD452A61024B}"/>
    <cellStyle name="Normal 4 2 2 5 5 2 3" xfId="20786" xr:uid="{CB6A0866-1D0A-4967-AE59-920E09B23E3D}"/>
    <cellStyle name="Normal 4 2 2 5 5 2 4" xfId="12345" xr:uid="{C54FE48C-3BF6-40F4-901B-B658EFF44B79}"/>
    <cellStyle name="Normal 4 2 2 5 5 3" xfId="5968" xr:uid="{00000000-0005-0000-0000-000002130000}"/>
    <cellStyle name="Normal 4 2 2 5 5 3 2" xfId="22859" xr:uid="{07E0AF35-1966-42C1-A756-F21AF8886335}"/>
    <cellStyle name="Normal 4 2 2 5 5 3 3" xfId="14418" xr:uid="{66C0EFBE-0AF0-47C2-8D42-2CC7E06B14C8}"/>
    <cellStyle name="Normal 4 2 2 5 5 4" xfId="18641" xr:uid="{98A0759B-D24C-4AC9-82FB-E4FD4813BF75}"/>
    <cellStyle name="Normal 4 2 2 5 5 5" xfId="10200" xr:uid="{69CC5148-7928-4D3E-9094-966849567CD9}"/>
    <cellStyle name="Normal 4 2 2 5 6" xfId="2075" xr:uid="{00000000-0005-0000-0000-000003130000}"/>
    <cellStyle name="Normal 4 2 2 5 6 2" xfId="4304" xr:uid="{00000000-0005-0000-0000-000004130000}"/>
    <cellStyle name="Normal 4 2 2 5 6 2 2" xfId="8526" xr:uid="{00000000-0005-0000-0000-000005130000}"/>
    <cellStyle name="Normal 4 2 2 5 6 2 2 2" xfId="25417" xr:uid="{3D2556A5-9DDC-4941-9379-E69BD1CE1E5E}"/>
    <cellStyle name="Normal 4 2 2 5 6 2 2 3" xfId="16976" xr:uid="{8E7BBF98-8CFD-42A1-A625-CAFD19B4327F}"/>
    <cellStyle name="Normal 4 2 2 5 6 2 3" xfId="21199" xr:uid="{97579B47-DA82-4515-A3E5-8077F7CDA413}"/>
    <cellStyle name="Normal 4 2 2 5 6 2 4" xfId="12758" xr:uid="{C42A1D0F-658E-4126-8CBB-80E6E3CE80CA}"/>
    <cellStyle name="Normal 4 2 2 5 6 3" xfId="6381" xr:uid="{00000000-0005-0000-0000-000006130000}"/>
    <cellStyle name="Normal 4 2 2 5 6 3 2" xfId="23272" xr:uid="{A1A0AAD9-4713-4FF6-8C3C-9E4BE267DF56}"/>
    <cellStyle name="Normal 4 2 2 5 6 3 3" xfId="14831" xr:uid="{3C81A1CF-DF4B-417B-9D0E-2417E889D55E}"/>
    <cellStyle name="Normal 4 2 2 5 6 4" xfId="19054" xr:uid="{30C7A0B6-8122-4322-8CC3-5BF516425881}"/>
    <cellStyle name="Normal 4 2 2 5 6 5" xfId="10613" xr:uid="{91EB9144-0D07-43A6-998C-18DCBDC9B54D}"/>
    <cellStyle name="Normal 4 2 2 5 7" xfId="2511" xr:uid="{00000000-0005-0000-0000-000007130000}"/>
    <cellStyle name="Normal 4 2 2 5 7 2" xfId="6794" xr:uid="{00000000-0005-0000-0000-000008130000}"/>
    <cellStyle name="Normal 4 2 2 5 7 2 2" xfId="23685" xr:uid="{B60780E5-6186-4CF4-9026-06C7ECC65BF9}"/>
    <cellStyle name="Normal 4 2 2 5 7 2 3" xfId="15244" xr:uid="{C5A448EF-AD09-4114-BAE6-4CBB9DBD999E}"/>
    <cellStyle name="Normal 4 2 2 5 7 3" xfId="19467" xr:uid="{B6A235D8-3467-491D-856F-39CE23EC376E}"/>
    <cellStyle name="Normal 4 2 2 5 7 4" xfId="11026" xr:uid="{ADFB9F6A-EB74-4B4F-8115-FD2F00231CB6}"/>
    <cellStyle name="Normal 4 2 2 5 8" xfId="4729" xr:uid="{00000000-0005-0000-0000-000009130000}"/>
    <cellStyle name="Normal 4 2 2 5 8 2" xfId="21620" xr:uid="{53A58D22-A0EE-4E80-90AB-7925958A9292}"/>
    <cellStyle name="Normal 4 2 2 5 8 3" xfId="13179" xr:uid="{8D8DEA5E-7606-4460-A050-0D00EC3631E1}"/>
    <cellStyle name="Normal 4 2 2 5 9" xfId="17402" xr:uid="{27805B69-09C4-4DA5-8E85-AE287CE0D64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2 2 2" xfId="24180" xr:uid="{9F27D7AC-A5D2-4E4E-9518-B438EF722E0A}"/>
    <cellStyle name="Normal 4 2 2 6 2 2 2 3" xfId="15739" xr:uid="{E65AD47B-72A5-4068-9C46-2CE70E657A84}"/>
    <cellStyle name="Normal 4 2 2 6 2 2 3" xfId="19962" xr:uid="{72F51AF5-3C62-4FEA-8AFA-679858AFA911}"/>
    <cellStyle name="Normal 4 2 2 6 2 2 4" xfId="11521" xr:uid="{D0278D28-D855-466B-A56F-B265509C80B7}"/>
    <cellStyle name="Normal 4 2 2 6 2 3" xfId="5144" xr:uid="{00000000-0005-0000-0000-00000E130000}"/>
    <cellStyle name="Normal 4 2 2 6 2 3 2" xfId="22035" xr:uid="{092BE7D1-3B26-4D6F-AA8F-F9EBC854493B}"/>
    <cellStyle name="Normal 4 2 2 6 2 3 3" xfId="13594" xr:uid="{995DBA5F-811F-43F4-A506-128A5ED91780}"/>
    <cellStyle name="Normal 4 2 2 6 2 4" xfId="17817" xr:uid="{BE087062-A17F-4C8D-9FF6-0AAA6C804C0C}"/>
    <cellStyle name="Normal 4 2 2 6 2 5" xfId="9376" xr:uid="{ED7A4E4F-7B2C-4F2A-AAD4-F140FD36D3CE}"/>
    <cellStyle name="Normal 4 2 2 6 3" xfId="1250" xr:uid="{00000000-0005-0000-0000-00000F130000}"/>
    <cellStyle name="Normal 4 2 2 6 3 2" xfId="3480" xr:uid="{00000000-0005-0000-0000-000010130000}"/>
    <cellStyle name="Normal 4 2 2 6 3 2 2" xfId="7702" xr:uid="{00000000-0005-0000-0000-000011130000}"/>
    <cellStyle name="Normal 4 2 2 6 3 2 2 2" xfId="24593" xr:uid="{02FAF31B-9BA8-4674-9215-16EB5C0B1336}"/>
    <cellStyle name="Normal 4 2 2 6 3 2 2 3" xfId="16152" xr:uid="{87555123-F992-46A1-9175-D56A3460B4AA}"/>
    <cellStyle name="Normal 4 2 2 6 3 2 3" xfId="20375" xr:uid="{48EC8170-A8A3-4164-AF48-8A3EBD5B9CAC}"/>
    <cellStyle name="Normal 4 2 2 6 3 2 4" xfId="11934" xr:uid="{16D1947D-7DEA-4F21-AE6F-FDD83B594D66}"/>
    <cellStyle name="Normal 4 2 2 6 3 3" xfId="5557" xr:uid="{00000000-0005-0000-0000-000012130000}"/>
    <cellStyle name="Normal 4 2 2 6 3 3 2" xfId="22448" xr:uid="{40E80D8B-6637-4836-A185-2E64AF3B0523}"/>
    <cellStyle name="Normal 4 2 2 6 3 3 3" xfId="14007" xr:uid="{12C1BAFA-5064-438B-BCC9-1952E679F37E}"/>
    <cellStyle name="Normal 4 2 2 6 3 4" xfId="18230" xr:uid="{EA866C03-7381-4ED2-B4E3-EAC5EE571046}"/>
    <cellStyle name="Normal 4 2 2 6 3 5" xfId="9789" xr:uid="{E0F62223-2403-4F50-918E-9C8121105A08}"/>
    <cellStyle name="Normal 4 2 2 6 4" xfId="1663" xr:uid="{00000000-0005-0000-0000-000013130000}"/>
    <cellStyle name="Normal 4 2 2 6 4 2" xfId="3893" xr:uid="{00000000-0005-0000-0000-000014130000}"/>
    <cellStyle name="Normal 4 2 2 6 4 2 2" xfId="8115" xr:uid="{00000000-0005-0000-0000-000015130000}"/>
    <cellStyle name="Normal 4 2 2 6 4 2 2 2" xfId="25006" xr:uid="{1B4E5222-8C48-49FF-B235-64376C5E7789}"/>
    <cellStyle name="Normal 4 2 2 6 4 2 2 3" xfId="16565" xr:uid="{C9880E84-C39A-4945-8ABD-0F3BC9477866}"/>
    <cellStyle name="Normal 4 2 2 6 4 2 3" xfId="20788" xr:uid="{7189CDD2-9EFC-474F-BC8B-049C44EE23F5}"/>
    <cellStyle name="Normal 4 2 2 6 4 2 4" xfId="12347" xr:uid="{D80B083C-C0BE-41FA-945F-195A0294C325}"/>
    <cellStyle name="Normal 4 2 2 6 4 3" xfId="5970" xr:uid="{00000000-0005-0000-0000-000016130000}"/>
    <cellStyle name="Normal 4 2 2 6 4 3 2" xfId="22861" xr:uid="{2D453D4B-3F1F-405C-B1EC-2EB279D2F7C8}"/>
    <cellStyle name="Normal 4 2 2 6 4 3 3" xfId="14420" xr:uid="{F7B99155-E1E9-42C2-BB39-C804F9D51E76}"/>
    <cellStyle name="Normal 4 2 2 6 4 4" xfId="18643" xr:uid="{7075A876-1380-4EC1-B0B8-E9C9888F3EDC}"/>
    <cellStyle name="Normal 4 2 2 6 4 5" xfId="10202" xr:uid="{3A2473A3-6DCB-4920-8D26-E0F9E62AEA8F}"/>
    <cellStyle name="Normal 4 2 2 6 5" xfId="2077" xr:uid="{00000000-0005-0000-0000-000017130000}"/>
    <cellStyle name="Normal 4 2 2 6 5 2" xfId="4306" xr:uid="{00000000-0005-0000-0000-000018130000}"/>
    <cellStyle name="Normal 4 2 2 6 5 2 2" xfId="8528" xr:uid="{00000000-0005-0000-0000-000019130000}"/>
    <cellStyle name="Normal 4 2 2 6 5 2 2 2" xfId="25419" xr:uid="{FC9E3939-540D-43A6-B567-8EDA8B709748}"/>
    <cellStyle name="Normal 4 2 2 6 5 2 2 3" xfId="16978" xr:uid="{55F6A44E-9759-40FB-9C10-D4787994FC8F}"/>
    <cellStyle name="Normal 4 2 2 6 5 2 3" xfId="21201" xr:uid="{9B243A16-0777-436B-911B-91AFC66F01FE}"/>
    <cellStyle name="Normal 4 2 2 6 5 2 4" xfId="12760" xr:uid="{52FFC82F-CD56-4405-84CC-1524994C9496}"/>
    <cellStyle name="Normal 4 2 2 6 5 3" xfId="6383" xr:uid="{00000000-0005-0000-0000-00001A130000}"/>
    <cellStyle name="Normal 4 2 2 6 5 3 2" xfId="23274" xr:uid="{85601179-401E-4BBF-AAEB-D375AE397106}"/>
    <cellStyle name="Normal 4 2 2 6 5 3 3" xfId="14833" xr:uid="{98ECAD99-F2F6-497D-BAF6-4CB5C4FA71F6}"/>
    <cellStyle name="Normal 4 2 2 6 5 4" xfId="19056" xr:uid="{4898BD89-0E77-4BBC-9DED-7A91D415602C}"/>
    <cellStyle name="Normal 4 2 2 6 5 5" xfId="10615" xr:uid="{A62591CD-4560-4FDE-8074-5DF762A08905}"/>
    <cellStyle name="Normal 4 2 2 6 6" xfId="2513" xr:uid="{00000000-0005-0000-0000-00001B130000}"/>
    <cellStyle name="Normal 4 2 2 6 6 2" xfId="6796" xr:uid="{00000000-0005-0000-0000-00001C130000}"/>
    <cellStyle name="Normal 4 2 2 6 6 2 2" xfId="23687" xr:uid="{69ABA0F6-760B-4F4D-A87F-DE8D659D54E6}"/>
    <cellStyle name="Normal 4 2 2 6 6 2 3" xfId="15246" xr:uid="{49553B4A-226A-47DD-A800-C706B96D26DC}"/>
    <cellStyle name="Normal 4 2 2 6 6 3" xfId="19469" xr:uid="{4D460A21-EC20-4884-9595-885824B611D1}"/>
    <cellStyle name="Normal 4 2 2 6 6 4" xfId="11028" xr:uid="{C5882103-9147-49C1-BFB4-2CFBE8F568BC}"/>
    <cellStyle name="Normal 4 2 2 6 7" xfId="4731" xr:uid="{00000000-0005-0000-0000-00001D130000}"/>
    <cellStyle name="Normal 4 2 2 6 7 2" xfId="21622" xr:uid="{AF9DD250-A31C-46EF-A243-1DE7B9FB2475}"/>
    <cellStyle name="Normal 4 2 2 6 7 3" xfId="13181" xr:uid="{21F6FEB8-D41D-494F-BD51-925A0DD44614}"/>
    <cellStyle name="Normal 4 2 2 6 8" xfId="17404" xr:uid="{5573B267-23EA-47DE-AABF-31223AC83BA7}"/>
    <cellStyle name="Normal 4 2 2 6 9" xfId="8963" xr:uid="{DF7EE65A-2962-44F2-9360-3958641072C5}"/>
    <cellStyle name="Normal 4 2 2 7" xfId="815" xr:uid="{00000000-0005-0000-0000-00001E130000}"/>
    <cellStyle name="Normal 4 2 2 7 2" xfId="3052" xr:uid="{00000000-0005-0000-0000-00001F130000}"/>
    <cellStyle name="Normal 4 2 2 7 2 2" xfId="7274" xr:uid="{00000000-0005-0000-0000-000020130000}"/>
    <cellStyle name="Normal 4 2 2 7 2 2 2" xfId="24165" xr:uid="{AEB15A0C-741C-44BF-AF5B-D4E1B3D9AD02}"/>
    <cellStyle name="Normal 4 2 2 7 2 2 3" xfId="15724" xr:uid="{AFAA1388-272A-42CA-8FF2-E5070F737274}"/>
    <cellStyle name="Normal 4 2 2 7 2 3" xfId="19947" xr:uid="{561B4E09-B053-45AF-9AF8-E34E6040A0B9}"/>
    <cellStyle name="Normal 4 2 2 7 2 4" xfId="11506" xr:uid="{99E53633-DF07-4CDB-8CBD-54AF9CEA6667}"/>
    <cellStyle name="Normal 4 2 2 7 3" xfId="5129" xr:uid="{00000000-0005-0000-0000-000021130000}"/>
    <cellStyle name="Normal 4 2 2 7 3 2" xfId="22020" xr:uid="{DAD15162-DC05-49E7-B4C0-F9AAC155843C}"/>
    <cellStyle name="Normal 4 2 2 7 3 3" xfId="13579" xr:uid="{128AC6BE-BF2C-4059-9D99-76CE9E75B575}"/>
    <cellStyle name="Normal 4 2 2 7 4" xfId="17802" xr:uid="{3791BAA0-C432-4FB0-9EDF-A236BA6E212F}"/>
    <cellStyle name="Normal 4 2 2 7 5" xfId="9361" xr:uid="{68DD04F4-C471-4CF8-8476-F783F8F5C992}"/>
    <cellStyle name="Normal 4 2 2 8" xfId="1235" xr:uid="{00000000-0005-0000-0000-000022130000}"/>
    <cellStyle name="Normal 4 2 2 8 2" xfId="3465" xr:uid="{00000000-0005-0000-0000-000023130000}"/>
    <cellStyle name="Normal 4 2 2 8 2 2" xfId="7687" xr:uid="{00000000-0005-0000-0000-000024130000}"/>
    <cellStyle name="Normal 4 2 2 8 2 2 2" xfId="24578" xr:uid="{D174FCE8-D203-4D32-A944-1C3541FFE18B}"/>
    <cellStyle name="Normal 4 2 2 8 2 2 3" xfId="16137" xr:uid="{71601671-C887-44DC-9AA5-DF6B1B2494B1}"/>
    <cellStyle name="Normal 4 2 2 8 2 3" xfId="20360" xr:uid="{58CAB741-57B1-49EE-B92D-F1A44A37A24B}"/>
    <cellStyle name="Normal 4 2 2 8 2 4" xfId="11919" xr:uid="{28053CA1-F2B4-4150-93D1-F4091B777F52}"/>
    <cellStyle name="Normal 4 2 2 8 3" xfId="5542" xr:uid="{00000000-0005-0000-0000-000025130000}"/>
    <cellStyle name="Normal 4 2 2 8 3 2" xfId="22433" xr:uid="{CD258272-ACE0-4B16-9073-F9C399AEC4FA}"/>
    <cellStyle name="Normal 4 2 2 8 3 3" xfId="13992" xr:uid="{94C3590D-E399-4F5F-A40C-76D44198EBB8}"/>
    <cellStyle name="Normal 4 2 2 8 4" xfId="18215" xr:uid="{F1A65808-C51C-41A6-B021-01B34C8DF0A2}"/>
    <cellStyle name="Normal 4 2 2 8 5" xfId="9774" xr:uid="{70338009-8574-40AE-A3D2-660BF890F449}"/>
    <cellStyle name="Normal 4 2 2 9" xfId="1648" xr:uid="{00000000-0005-0000-0000-000026130000}"/>
    <cellStyle name="Normal 4 2 2 9 2" xfId="3878" xr:uid="{00000000-0005-0000-0000-000027130000}"/>
    <cellStyle name="Normal 4 2 2 9 2 2" xfId="8100" xr:uid="{00000000-0005-0000-0000-000028130000}"/>
    <cellStyle name="Normal 4 2 2 9 2 2 2" xfId="24991" xr:uid="{11C6DA9B-D0AC-44C0-B799-5E2F07C2BC53}"/>
    <cellStyle name="Normal 4 2 2 9 2 2 3" xfId="16550" xr:uid="{53B4130B-E25D-47D0-A25C-58E3B502F1ED}"/>
    <cellStyle name="Normal 4 2 2 9 2 3" xfId="20773" xr:uid="{9D722229-96C7-4AFF-9916-F039A546D42B}"/>
    <cellStyle name="Normal 4 2 2 9 2 4" xfId="12332" xr:uid="{4F10DBF2-DF92-4006-B456-E76B27B0331B}"/>
    <cellStyle name="Normal 4 2 2 9 3" xfId="5955" xr:uid="{00000000-0005-0000-0000-000029130000}"/>
    <cellStyle name="Normal 4 2 2 9 3 2" xfId="22846" xr:uid="{DD53ACF3-818D-44B3-9904-F2D1768B8A23}"/>
    <cellStyle name="Normal 4 2 2 9 3 3" xfId="14405" xr:uid="{4A26E1C3-5707-4C68-8984-5EFF458F9A8F}"/>
    <cellStyle name="Normal 4 2 2 9 4" xfId="18628" xr:uid="{0AACF155-483A-43CC-B4BF-3F8BAD7FE579}"/>
    <cellStyle name="Normal 4 2 2 9 5" xfId="10187" xr:uid="{F3E1E6E4-6DFD-426F-8B92-86F3DB1A3CC7}"/>
    <cellStyle name="Normal 4 2 3" xfId="354" xr:uid="{00000000-0005-0000-0000-00002A130000}"/>
    <cellStyle name="Normal 4 2 4" xfId="355" xr:uid="{00000000-0005-0000-0000-00002B130000}"/>
    <cellStyle name="Normal 4 2 4 10" xfId="4732" xr:uid="{00000000-0005-0000-0000-00002C130000}"/>
    <cellStyle name="Normal 4 2 4 10 2" xfId="21623" xr:uid="{805D2BCC-1B49-4988-BEA2-A94409D0A94F}"/>
    <cellStyle name="Normal 4 2 4 10 3" xfId="13182" xr:uid="{F190FC37-95C2-4C80-A8E4-E5D2F757EF84}"/>
    <cellStyle name="Normal 4 2 4 11" xfId="17405" xr:uid="{E5C09E81-89C3-4D88-9576-FB210B654A21}"/>
    <cellStyle name="Normal 4 2 4 12" xfId="8964" xr:uid="{453BDB9D-0828-4A81-B00B-679AFA706B33}"/>
    <cellStyle name="Normal 4 2 4 2" xfId="356" xr:uid="{00000000-0005-0000-0000-00002D130000}"/>
    <cellStyle name="Normal 4 2 4 2 10" xfId="17406" xr:uid="{D48D2A26-BEA6-4810-9321-C59CA926AB64}"/>
    <cellStyle name="Normal 4 2 4 2 11" xfId="8965" xr:uid="{7F36E92E-412C-484B-B78E-C9CED879D879}"/>
    <cellStyle name="Normal 4 2 4 2 2" xfId="357" xr:uid="{00000000-0005-0000-0000-00002E130000}"/>
    <cellStyle name="Normal 4 2 4 2 2 10" xfId="8966" xr:uid="{1C73D94F-D782-4174-BAB8-0D0D92D5520B}"/>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2 2 2" xfId="24184" xr:uid="{4428E38D-7065-4662-A8B0-6BCB6BA89705}"/>
    <cellStyle name="Normal 4 2 4 2 2 2 2 2 2 3" xfId="15743" xr:uid="{BA2AE7F2-01D9-47A8-A2B2-8FEAD3EEC4E4}"/>
    <cellStyle name="Normal 4 2 4 2 2 2 2 2 3" xfId="19966" xr:uid="{0D25F1EE-5A56-4FD4-AF10-5E526B81D149}"/>
    <cellStyle name="Normal 4 2 4 2 2 2 2 2 4" xfId="11525" xr:uid="{0A3D7108-565A-479D-82EF-11A9C770C892}"/>
    <cellStyle name="Normal 4 2 4 2 2 2 2 3" xfId="5148" xr:uid="{00000000-0005-0000-0000-000033130000}"/>
    <cellStyle name="Normal 4 2 4 2 2 2 2 3 2" xfId="22039" xr:uid="{88ACA1CC-ED23-4058-A17F-DB5637B41878}"/>
    <cellStyle name="Normal 4 2 4 2 2 2 2 3 3" xfId="13598" xr:uid="{3B672945-4F3C-4349-9ECB-D166C76751BE}"/>
    <cellStyle name="Normal 4 2 4 2 2 2 2 4" xfId="17821" xr:uid="{0BE579B6-E536-4457-AFFD-806BFB9724F0}"/>
    <cellStyle name="Normal 4 2 4 2 2 2 2 5" xfId="9380" xr:uid="{EDC84557-5D64-4131-99CE-2DA7955F6653}"/>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2 2 2" xfId="24597" xr:uid="{6E05498A-56C8-4AA6-92E3-E2CD13E11D6F}"/>
    <cellStyle name="Normal 4 2 4 2 2 2 3 2 2 3" xfId="16156" xr:uid="{96DCAAC1-54CB-44E6-92D3-3391A5712F41}"/>
    <cellStyle name="Normal 4 2 4 2 2 2 3 2 3" xfId="20379" xr:uid="{1B69A142-207B-4211-B476-E0DACBEF57F2}"/>
    <cellStyle name="Normal 4 2 4 2 2 2 3 2 4" xfId="11938" xr:uid="{D44C12C4-C0F4-4422-A480-931C20D27A56}"/>
    <cellStyle name="Normal 4 2 4 2 2 2 3 3" xfId="5561" xr:uid="{00000000-0005-0000-0000-000037130000}"/>
    <cellStyle name="Normal 4 2 4 2 2 2 3 3 2" xfId="22452" xr:uid="{CC441BD2-36B2-430B-9712-E143F13E3C3A}"/>
    <cellStyle name="Normal 4 2 4 2 2 2 3 3 3" xfId="14011" xr:uid="{6105BE3D-7C25-4FE8-BF91-20F21DF99A83}"/>
    <cellStyle name="Normal 4 2 4 2 2 2 3 4" xfId="18234" xr:uid="{324638E4-FE40-4545-B202-C4949B757827}"/>
    <cellStyle name="Normal 4 2 4 2 2 2 3 5" xfId="9793" xr:uid="{87BCEB0A-2DD0-4B6B-92F2-818312F64A59}"/>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2 2 2" xfId="25010" xr:uid="{798D9513-1BB4-496D-9EC5-AA93A2AF3848}"/>
    <cellStyle name="Normal 4 2 4 2 2 2 4 2 2 3" xfId="16569" xr:uid="{B36E9F43-FC40-4AF2-A813-3F128EA47D1A}"/>
    <cellStyle name="Normal 4 2 4 2 2 2 4 2 3" xfId="20792" xr:uid="{163CA33F-8C7A-4547-9171-665576BCB808}"/>
    <cellStyle name="Normal 4 2 4 2 2 2 4 2 4" xfId="12351" xr:uid="{6C84B708-13AE-4839-A2A5-F3FA234ECD8F}"/>
    <cellStyle name="Normal 4 2 4 2 2 2 4 3" xfId="5974" xr:uid="{00000000-0005-0000-0000-00003B130000}"/>
    <cellStyle name="Normal 4 2 4 2 2 2 4 3 2" xfId="22865" xr:uid="{CF6276B5-C90D-4201-BF4E-31EDAB22A302}"/>
    <cellStyle name="Normal 4 2 4 2 2 2 4 3 3" xfId="14424" xr:uid="{9C399346-4C42-49D4-881B-C0A647AAE697}"/>
    <cellStyle name="Normal 4 2 4 2 2 2 4 4" xfId="18647" xr:uid="{9ADAF7D4-999A-498A-B2A1-18B214404A18}"/>
    <cellStyle name="Normal 4 2 4 2 2 2 4 5" xfId="10206" xr:uid="{F88E8A9C-7265-4CEA-9020-85CCDDBF2334}"/>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2 2 2" xfId="25423" xr:uid="{2E00D336-56BB-498F-ABF6-FC0EF2097AD5}"/>
    <cellStyle name="Normal 4 2 4 2 2 2 5 2 2 3" xfId="16982" xr:uid="{40DAC23A-F9D3-42E5-9D05-2F02D7CA6551}"/>
    <cellStyle name="Normal 4 2 4 2 2 2 5 2 3" xfId="21205" xr:uid="{05DD7675-8E0B-4F72-A75E-7D1B72798403}"/>
    <cellStyle name="Normal 4 2 4 2 2 2 5 2 4" xfId="12764" xr:uid="{AB80277E-5041-4493-9337-D07A6E754852}"/>
    <cellStyle name="Normal 4 2 4 2 2 2 5 3" xfId="6387" xr:uid="{00000000-0005-0000-0000-00003F130000}"/>
    <cellStyle name="Normal 4 2 4 2 2 2 5 3 2" xfId="23278" xr:uid="{4B2251D6-E86E-4080-AB0F-9DEA6F088892}"/>
    <cellStyle name="Normal 4 2 4 2 2 2 5 3 3" xfId="14837" xr:uid="{8EC1C590-AF75-4D97-BE1A-BD1651030395}"/>
    <cellStyle name="Normal 4 2 4 2 2 2 5 4" xfId="19060" xr:uid="{C8C4A051-6555-461C-B5EB-C074ECD8CA22}"/>
    <cellStyle name="Normal 4 2 4 2 2 2 5 5" xfId="10619" xr:uid="{C41F3152-72AE-46C7-8446-BA4F5B571766}"/>
    <cellStyle name="Normal 4 2 4 2 2 2 6" xfId="2517" xr:uid="{00000000-0005-0000-0000-000040130000}"/>
    <cellStyle name="Normal 4 2 4 2 2 2 6 2" xfId="6800" xr:uid="{00000000-0005-0000-0000-000041130000}"/>
    <cellStyle name="Normal 4 2 4 2 2 2 6 2 2" xfId="23691" xr:uid="{168BB2F6-2B71-4550-B513-225CC6A75D08}"/>
    <cellStyle name="Normal 4 2 4 2 2 2 6 2 3" xfId="15250" xr:uid="{2196D022-BE36-47AB-BC57-4EA2C5F1B214}"/>
    <cellStyle name="Normal 4 2 4 2 2 2 6 3" xfId="19473" xr:uid="{C25D49BC-33D3-4A60-8507-5AD0CB6F16C8}"/>
    <cellStyle name="Normal 4 2 4 2 2 2 6 4" xfId="11032" xr:uid="{EF30D96C-6A6E-4523-B757-2F9F9AF3703E}"/>
    <cellStyle name="Normal 4 2 4 2 2 2 7" xfId="4735" xr:uid="{00000000-0005-0000-0000-000042130000}"/>
    <cellStyle name="Normal 4 2 4 2 2 2 7 2" xfId="21626" xr:uid="{BFAF847D-627F-4F15-BA55-4806711E16B8}"/>
    <cellStyle name="Normal 4 2 4 2 2 2 7 3" xfId="13185" xr:uid="{51F20D3A-8DF2-4849-963C-BB80FED8E298}"/>
    <cellStyle name="Normal 4 2 4 2 2 2 8" xfId="17408" xr:uid="{7CC03BF0-C484-4696-841F-1856FC03AFCA}"/>
    <cellStyle name="Normal 4 2 4 2 2 2 9" xfId="8967" xr:uid="{B02BEDF7-918F-475A-9FAA-E7A535737256}"/>
    <cellStyle name="Normal 4 2 4 2 2 3" xfId="833" xr:uid="{00000000-0005-0000-0000-000043130000}"/>
    <cellStyle name="Normal 4 2 4 2 2 3 2" xfId="3070" xr:uid="{00000000-0005-0000-0000-000044130000}"/>
    <cellStyle name="Normal 4 2 4 2 2 3 2 2" xfId="7292" xr:uid="{00000000-0005-0000-0000-000045130000}"/>
    <cellStyle name="Normal 4 2 4 2 2 3 2 2 2" xfId="24183" xr:uid="{D1D44B61-17C6-4E02-8ACA-01B5FA2ED2B9}"/>
    <cellStyle name="Normal 4 2 4 2 2 3 2 2 3" xfId="15742" xr:uid="{670B58CB-816C-4771-B120-30B84D8A60F2}"/>
    <cellStyle name="Normal 4 2 4 2 2 3 2 3" xfId="19965" xr:uid="{333F377E-72E4-4384-8EC6-6AB77498DA27}"/>
    <cellStyle name="Normal 4 2 4 2 2 3 2 4" xfId="11524" xr:uid="{6964CD11-E17F-4554-91DA-9E0199F7CB8D}"/>
    <cellStyle name="Normal 4 2 4 2 2 3 3" xfId="5147" xr:uid="{00000000-0005-0000-0000-000046130000}"/>
    <cellStyle name="Normal 4 2 4 2 2 3 3 2" xfId="22038" xr:uid="{B3EF19C4-B01A-41D2-81D7-7F293DA5D5FF}"/>
    <cellStyle name="Normal 4 2 4 2 2 3 3 3" xfId="13597" xr:uid="{1E3F208E-BE59-42EA-A5A6-069B8D283229}"/>
    <cellStyle name="Normal 4 2 4 2 2 3 4" xfId="17820" xr:uid="{5FFE48ED-9458-47C2-9E79-56FB99D93748}"/>
    <cellStyle name="Normal 4 2 4 2 2 3 5" xfId="9379" xr:uid="{EBCCFEFB-4AE4-4E5D-A222-A8C42CEBBC44}"/>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2 2 2" xfId="24596" xr:uid="{0EC9E5B8-1AC0-4DFF-80D4-B77C3D8B9205}"/>
    <cellStyle name="Normal 4 2 4 2 2 4 2 2 3" xfId="16155" xr:uid="{53E83CEB-F4E9-4DAA-86AF-EEC276DD28C3}"/>
    <cellStyle name="Normal 4 2 4 2 2 4 2 3" xfId="20378" xr:uid="{612A2C4E-B636-493E-81FA-C35551B4194A}"/>
    <cellStyle name="Normal 4 2 4 2 2 4 2 4" xfId="11937" xr:uid="{6505353A-6F99-4042-831A-C176840FD3C1}"/>
    <cellStyle name="Normal 4 2 4 2 2 4 3" xfId="5560" xr:uid="{00000000-0005-0000-0000-00004A130000}"/>
    <cellStyle name="Normal 4 2 4 2 2 4 3 2" xfId="22451" xr:uid="{FCC6495B-FE2F-4F08-89E1-21691B0D2001}"/>
    <cellStyle name="Normal 4 2 4 2 2 4 3 3" xfId="14010" xr:uid="{53BB4F73-E94D-4A29-B8AF-713052E25169}"/>
    <cellStyle name="Normal 4 2 4 2 2 4 4" xfId="18233" xr:uid="{FC5F5247-95B9-41CF-B4C8-7FDA01DFACEE}"/>
    <cellStyle name="Normal 4 2 4 2 2 4 5" xfId="9792" xr:uid="{57932316-8A4E-419D-8BA0-202A92CD97EC}"/>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2 2 2" xfId="25009" xr:uid="{D107B06A-91DF-478A-A682-47EF69239F03}"/>
    <cellStyle name="Normal 4 2 4 2 2 5 2 2 3" xfId="16568" xr:uid="{EAE512D3-C691-4456-AA14-131C178B08EE}"/>
    <cellStyle name="Normal 4 2 4 2 2 5 2 3" xfId="20791" xr:uid="{EC1DB83A-0C7A-4635-8DB6-7A929CBAD03A}"/>
    <cellStyle name="Normal 4 2 4 2 2 5 2 4" xfId="12350" xr:uid="{538301B1-B72C-440A-B240-C69B31B55C11}"/>
    <cellStyle name="Normal 4 2 4 2 2 5 3" xfId="5973" xr:uid="{00000000-0005-0000-0000-00004E130000}"/>
    <cellStyle name="Normal 4 2 4 2 2 5 3 2" xfId="22864" xr:uid="{A056DC9B-5AA9-46B4-8996-4ACF540F65D6}"/>
    <cellStyle name="Normal 4 2 4 2 2 5 3 3" xfId="14423" xr:uid="{49E36DE3-737A-434F-AC8D-E947B2B0B2ED}"/>
    <cellStyle name="Normal 4 2 4 2 2 5 4" xfId="18646" xr:uid="{D6471E85-F86F-4359-8D07-9A645FE2E76B}"/>
    <cellStyle name="Normal 4 2 4 2 2 5 5" xfId="10205" xr:uid="{B2F2171B-45D5-416E-9D42-9DCF33CDE47C}"/>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2 2 2" xfId="25422" xr:uid="{A52872E6-6E07-463C-AB3A-C0322254473E}"/>
    <cellStyle name="Normal 4 2 4 2 2 6 2 2 3" xfId="16981" xr:uid="{C3F062C7-62B4-4A68-BC43-37A8E61E64EC}"/>
    <cellStyle name="Normal 4 2 4 2 2 6 2 3" xfId="21204" xr:uid="{CA381E58-A942-4C6F-AC3E-A47CEA1A7826}"/>
    <cellStyle name="Normal 4 2 4 2 2 6 2 4" xfId="12763" xr:uid="{826D1325-6B23-4076-9674-8123D0D7F525}"/>
    <cellStyle name="Normal 4 2 4 2 2 6 3" xfId="6386" xr:uid="{00000000-0005-0000-0000-000052130000}"/>
    <cellStyle name="Normal 4 2 4 2 2 6 3 2" xfId="23277" xr:uid="{18C27781-55D8-4D0D-A1EA-F948F106EF59}"/>
    <cellStyle name="Normal 4 2 4 2 2 6 3 3" xfId="14836" xr:uid="{0F6CBF5B-1421-428B-86C4-27F60E123221}"/>
    <cellStyle name="Normal 4 2 4 2 2 6 4" xfId="19059" xr:uid="{84FDD9FE-A594-42F7-A8E4-72439F669BEE}"/>
    <cellStyle name="Normal 4 2 4 2 2 6 5" xfId="10618" xr:uid="{6ADCE2C0-293B-4EB3-9379-0394142DBA87}"/>
    <cellStyle name="Normal 4 2 4 2 2 7" xfId="2516" xr:uid="{00000000-0005-0000-0000-000053130000}"/>
    <cellStyle name="Normal 4 2 4 2 2 7 2" xfId="6799" xr:uid="{00000000-0005-0000-0000-000054130000}"/>
    <cellStyle name="Normal 4 2 4 2 2 7 2 2" xfId="23690" xr:uid="{916492EF-06AC-411B-AEC9-4D398F8674D4}"/>
    <cellStyle name="Normal 4 2 4 2 2 7 2 3" xfId="15249" xr:uid="{C340668B-E23D-4D30-80DF-60B714A72893}"/>
    <cellStyle name="Normal 4 2 4 2 2 7 3" xfId="19472" xr:uid="{2117891F-C6CB-4C1E-863B-16D5C51B95B8}"/>
    <cellStyle name="Normal 4 2 4 2 2 7 4" xfId="11031" xr:uid="{AFB2E8A5-1F7F-4403-9935-0BC83CD109CA}"/>
    <cellStyle name="Normal 4 2 4 2 2 8" xfId="4734" xr:uid="{00000000-0005-0000-0000-000055130000}"/>
    <cellStyle name="Normal 4 2 4 2 2 8 2" xfId="21625" xr:uid="{6410055A-E160-4F4B-B64C-4228BA532444}"/>
    <cellStyle name="Normal 4 2 4 2 2 8 3" xfId="13184" xr:uid="{2841689A-9195-4EF0-B954-992876932EEE}"/>
    <cellStyle name="Normal 4 2 4 2 2 9" xfId="17407" xr:uid="{EDB22AC9-F2CF-4F1C-ACFA-EDE72556204A}"/>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2 2 2" xfId="24185" xr:uid="{7AFC2211-7236-43C3-AC7C-ADAB7183003F}"/>
    <cellStyle name="Normal 4 2 4 2 3 2 2 2 3" xfId="15744" xr:uid="{707BDDC8-8601-4A2A-961D-E608E03985BE}"/>
    <cellStyle name="Normal 4 2 4 2 3 2 2 3" xfId="19967" xr:uid="{E878AAC5-DD63-4206-9354-563D04C75CF4}"/>
    <cellStyle name="Normal 4 2 4 2 3 2 2 4" xfId="11526" xr:uid="{4AA257B8-033E-4A6B-B891-4971E5AC527D}"/>
    <cellStyle name="Normal 4 2 4 2 3 2 3" xfId="5149" xr:uid="{00000000-0005-0000-0000-00005A130000}"/>
    <cellStyle name="Normal 4 2 4 2 3 2 3 2" xfId="22040" xr:uid="{103D1007-855C-480F-ADAE-CCF7B036D80E}"/>
    <cellStyle name="Normal 4 2 4 2 3 2 3 3" xfId="13599" xr:uid="{DC80AE9D-63C2-4D2A-B8FB-4106E15E019C}"/>
    <cellStyle name="Normal 4 2 4 2 3 2 4" xfId="17822" xr:uid="{3196B8CA-A081-4265-9851-C8C01FFD473A}"/>
    <cellStyle name="Normal 4 2 4 2 3 2 5" xfId="9381" xr:uid="{0BBD58D5-5CC7-44A3-B58C-EB73A39B06E9}"/>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2 2 2" xfId="24598" xr:uid="{220A91E4-D8EA-4232-9463-DB7B22D83E5A}"/>
    <cellStyle name="Normal 4 2 4 2 3 3 2 2 3" xfId="16157" xr:uid="{2A5ABAAF-8E92-442C-BD79-C005564BFECE}"/>
    <cellStyle name="Normal 4 2 4 2 3 3 2 3" xfId="20380" xr:uid="{5FA0802C-932B-4EED-A4B6-97B1C69D7C2C}"/>
    <cellStyle name="Normal 4 2 4 2 3 3 2 4" xfId="11939" xr:uid="{9682BA02-1A63-4D4F-BD78-586AC453D8BA}"/>
    <cellStyle name="Normal 4 2 4 2 3 3 3" xfId="5562" xr:uid="{00000000-0005-0000-0000-00005E130000}"/>
    <cellStyle name="Normal 4 2 4 2 3 3 3 2" xfId="22453" xr:uid="{0BA3C85F-EAD1-45FB-886C-2017AA3BC794}"/>
    <cellStyle name="Normal 4 2 4 2 3 3 3 3" xfId="14012" xr:uid="{8EAE0179-884E-489E-8581-1C150D9C9DEE}"/>
    <cellStyle name="Normal 4 2 4 2 3 3 4" xfId="18235" xr:uid="{46648503-34A3-4CF3-B818-214EA7D20B72}"/>
    <cellStyle name="Normal 4 2 4 2 3 3 5" xfId="9794" xr:uid="{8986B0B0-5529-49A3-964E-80A8979340C5}"/>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2 2 2" xfId="25011" xr:uid="{5B61803C-91CD-479B-87A3-E79997ADC23D}"/>
    <cellStyle name="Normal 4 2 4 2 3 4 2 2 3" xfId="16570" xr:uid="{B1C7CFC6-806C-4FA0-95B3-9C150AE843FF}"/>
    <cellStyle name="Normal 4 2 4 2 3 4 2 3" xfId="20793" xr:uid="{E254F54B-9F34-40DA-8642-F23C9AD216F1}"/>
    <cellStyle name="Normal 4 2 4 2 3 4 2 4" xfId="12352" xr:uid="{198E42D1-971D-49FF-B6AE-77774724194C}"/>
    <cellStyle name="Normal 4 2 4 2 3 4 3" xfId="5975" xr:uid="{00000000-0005-0000-0000-000062130000}"/>
    <cellStyle name="Normal 4 2 4 2 3 4 3 2" xfId="22866" xr:uid="{B0982DEB-C89F-4B0D-AD95-7EF389D723F0}"/>
    <cellStyle name="Normal 4 2 4 2 3 4 3 3" xfId="14425" xr:uid="{6E3F30F2-58B7-4C97-92F4-B6AC9B782598}"/>
    <cellStyle name="Normal 4 2 4 2 3 4 4" xfId="18648" xr:uid="{29BC0E81-13E9-4558-A9A3-4D1EFA1FE7C1}"/>
    <cellStyle name="Normal 4 2 4 2 3 4 5" xfId="10207" xr:uid="{D5376AB2-A21D-43D1-B8E2-609714EA6D2F}"/>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2 2 2" xfId="25424" xr:uid="{2D2DC936-9593-41BE-97F6-6BFDD5132C7E}"/>
    <cellStyle name="Normal 4 2 4 2 3 5 2 2 3" xfId="16983" xr:uid="{EE4EBBD9-871B-4403-98B2-217371BEC8A8}"/>
    <cellStyle name="Normal 4 2 4 2 3 5 2 3" xfId="21206" xr:uid="{46FB574B-6E55-4486-98F9-CDADCD5E94D5}"/>
    <cellStyle name="Normal 4 2 4 2 3 5 2 4" xfId="12765" xr:uid="{4DB134BD-C059-4DE1-99DB-6AA32D822A67}"/>
    <cellStyle name="Normal 4 2 4 2 3 5 3" xfId="6388" xr:uid="{00000000-0005-0000-0000-000066130000}"/>
    <cellStyle name="Normal 4 2 4 2 3 5 3 2" xfId="23279" xr:uid="{4C09F775-8001-43AD-85DA-1E7A86B32F05}"/>
    <cellStyle name="Normal 4 2 4 2 3 5 3 3" xfId="14838" xr:uid="{D543FC29-BD8C-4429-B2F2-5E41611676C5}"/>
    <cellStyle name="Normal 4 2 4 2 3 5 4" xfId="19061" xr:uid="{EA1BB9A9-4388-42FE-9B19-829DCB9FF530}"/>
    <cellStyle name="Normal 4 2 4 2 3 5 5" xfId="10620" xr:uid="{5AD22F02-9461-4C20-8673-2960594A2781}"/>
    <cellStyle name="Normal 4 2 4 2 3 6" xfId="2518" xr:uid="{00000000-0005-0000-0000-000067130000}"/>
    <cellStyle name="Normal 4 2 4 2 3 6 2" xfId="6801" xr:uid="{00000000-0005-0000-0000-000068130000}"/>
    <cellStyle name="Normal 4 2 4 2 3 6 2 2" xfId="23692" xr:uid="{8236741C-EA93-416B-A314-EADB1653C6E7}"/>
    <cellStyle name="Normal 4 2 4 2 3 6 2 3" xfId="15251" xr:uid="{11B1A528-9C23-445D-9C00-412B67B0FA7F}"/>
    <cellStyle name="Normal 4 2 4 2 3 6 3" xfId="19474" xr:uid="{AD29368C-C368-4E17-8E93-8669316A0DA5}"/>
    <cellStyle name="Normal 4 2 4 2 3 6 4" xfId="11033" xr:uid="{A5220C9D-4BF7-405D-9C80-3A790E1EE741}"/>
    <cellStyle name="Normal 4 2 4 2 3 7" xfId="4736" xr:uid="{00000000-0005-0000-0000-000069130000}"/>
    <cellStyle name="Normal 4 2 4 2 3 7 2" xfId="21627" xr:uid="{A705E347-BCEF-4DCA-90AE-F2119FA24317}"/>
    <cellStyle name="Normal 4 2 4 2 3 7 3" xfId="13186" xr:uid="{4DBC397A-DA6A-4A74-80C4-23343CD95ED5}"/>
    <cellStyle name="Normal 4 2 4 2 3 8" xfId="17409" xr:uid="{746EC5E0-6CE4-4D54-A557-6F3856EECC16}"/>
    <cellStyle name="Normal 4 2 4 2 3 9" xfId="8968" xr:uid="{35DD11A3-0A62-4A4A-85AE-63D9473751ED}"/>
    <cellStyle name="Normal 4 2 4 2 4" xfId="832" xr:uid="{00000000-0005-0000-0000-00006A130000}"/>
    <cellStyle name="Normal 4 2 4 2 4 2" xfId="3069" xr:uid="{00000000-0005-0000-0000-00006B130000}"/>
    <cellStyle name="Normal 4 2 4 2 4 2 2" xfId="7291" xr:uid="{00000000-0005-0000-0000-00006C130000}"/>
    <cellStyle name="Normal 4 2 4 2 4 2 2 2" xfId="24182" xr:uid="{22BDE00C-7697-45FC-9C93-18720943AB77}"/>
    <cellStyle name="Normal 4 2 4 2 4 2 2 3" xfId="15741" xr:uid="{9CCE5A81-1602-40E0-AE15-35CB1DA074E6}"/>
    <cellStyle name="Normal 4 2 4 2 4 2 3" xfId="19964" xr:uid="{F6356A41-8BAF-49C5-9A20-FC19F0AC72C4}"/>
    <cellStyle name="Normal 4 2 4 2 4 2 4" xfId="11523" xr:uid="{3D8D3F32-C013-4491-BB4F-57A6C3DD844F}"/>
    <cellStyle name="Normal 4 2 4 2 4 3" xfId="5146" xr:uid="{00000000-0005-0000-0000-00006D130000}"/>
    <cellStyle name="Normal 4 2 4 2 4 3 2" xfId="22037" xr:uid="{BF714FC2-A856-42B8-A1CC-B9D250CDD08C}"/>
    <cellStyle name="Normal 4 2 4 2 4 3 3" xfId="13596" xr:uid="{4E68E059-4C5A-4BAD-BB03-0B9B5F08DABD}"/>
    <cellStyle name="Normal 4 2 4 2 4 4" xfId="17819" xr:uid="{E7287449-C0A4-4979-8487-AAE0B5D8B658}"/>
    <cellStyle name="Normal 4 2 4 2 4 5" xfId="9378" xr:uid="{5DAC6432-493F-4F77-996F-6417AF609AE2}"/>
    <cellStyle name="Normal 4 2 4 2 5" xfId="1252" xr:uid="{00000000-0005-0000-0000-00006E130000}"/>
    <cellStyle name="Normal 4 2 4 2 5 2" xfId="3482" xr:uid="{00000000-0005-0000-0000-00006F130000}"/>
    <cellStyle name="Normal 4 2 4 2 5 2 2" xfId="7704" xr:uid="{00000000-0005-0000-0000-000070130000}"/>
    <cellStyle name="Normal 4 2 4 2 5 2 2 2" xfId="24595" xr:uid="{293FC238-B8EB-4BD0-B533-318A0C2DBF17}"/>
    <cellStyle name="Normal 4 2 4 2 5 2 2 3" xfId="16154" xr:uid="{F959927E-C484-4579-86D4-A05B4B3E9FEC}"/>
    <cellStyle name="Normal 4 2 4 2 5 2 3" xfId="20377" xr:uid="{88AC5319-0DE4-49AE-9586-D92EE43BB1F1}"/>
    <cellStyle name="Normal 4 2 4 2 5 2 4" xfId="11936" xr:uid="{F1DC3599-478F-474C-9459-C3EAA04F2774}"/>
    <cellStyle name="Normal 4 2 4 2 5 3" xfId="5559" xr:uid="{00000000-0005-0000-0000-000071130000}"/>
    <cellStyle name="Normal 4 2 4 2 5 3 2" xfId="22450" xr:uid="{9027EA62-F0A4-4699-A171-88845E548FFC}"/>
    <cellStyle name="Normal 4 2 4 2 5 3 3" xfId="14009" xr:uid="{098AF081-04D0-4E21-ADD3-DCDA0BC58E9D}"/>
    <cellStyle name="Normal 4 2 4 2 5 4" xfId="18232" xr:uid="{C88730CC-23BB-48EB-950F-F601DCB172A4}"/>
    <cellStyle name="Normal 4 2 4 2 5 5" xfId="9791" xr:uid="{90920673-69ED-45C4-A071-9E312573D783}"/>
    <cellStyle name="Normal 4 2 4 2 6" xfId="1665" xr:uid="{00000000-0005-0000-0000-000072130000}"/>
    <cellStyle name="Normal 4 2 4 2 6 2" xfId="3895" xr:uid="{00000000-0005-0000-0000-000073130000}"/>
    <cellStyle name="Normal 4 2 4 2 6 2 2" xfId="8117" xr:uid="{00000000-0005-0000-0000-000074130000}"/>
    <cellStyle name="Normal 4 2 4 2 6 2 2 2" xfId="25008" xr:uid="{E8B96AD0-D299-4E56-9EF8-EDA75D74C8D3}"/>
    <cellStyle name="Normal 4 2 4 2 6 2 2 3" xfId="16567" xr:uid="{47224DC4-DEA9-4CE0-BA08-91ADEA4593AC}"/>
    <cellStyle name="Normal 4 2 4 2 6 2 3" xfId="20790" xr:uid="{81D20B82-1630-4EBA-8E02-1594773295E6}"/>
    <cellStyle name="Normal 4 2 4 2 6 2 4" xfId="12349" xr:uid="{AC0D7A45-C917-401A-8DE2-41A01EBA517E}"/>
    <cellStyle name="Normal 4 2 4 2 6 3" xfId="5972" xr:uid="{00000000-0005-0000-0000-000075130000}"/>
    <cellStyle name="Normal 4 2 4 2 6 3 2" xfId="22863" xr:uid="{C55DA7BD-ADAC-4CB6-BEFE-23A985EE9A1B}"/>
    <cellStyle name="Normal 4 2 4 2 6 3 3" xfId="14422" xr:uid="{E8B3D149-7B37-4FC2-8F39-46ADDB13151D}"/>
    <cellStyle name="Normal 4 2 4 2 6 4" xfId="18645" xr:uid="{5E7DA0CA-EF23-4115-A422-E3889BDC784B}"/>
    <cellStyle name="Normal 4 2 4 2 6 5" xfId="10204" xr:uid="{9A306975-5C3E-4E17-929D-7C41E13E94A4}"/>
    <cellStyle name="Normal 4 2 4 2 7" xfId="2079" xr:uid="{00000000-0005-0000-0000-000076130000}"/>
    <cellStyle name="Normal 4 2 4 2 7 2" xfId="4308" xr:uid="{00000000-0005-0000-0000-000077130000}"/>
    <cellStyle name="Normal 4 2 4 2 7 2 2" xfId="8530" xr:uid="{00000000-0005-0000-0000-000078130000}"/>
    <cellStyle name="Normal 4 2 4 2 7 2 2 2" xfId="25421" xr:uid="{B1CFC18A-CA77-4DEE-90E2-BC6A4F03416D}"/>
    <cellStyle name="Normal 4 2 4 2 7 2 2 3" xfId="16980" xr:uid="{21EA6944-56BB-4ACA-90A7-4E1B23DEBF6E}"/>
    <cellStyle name="Normal 4 2 4 2 7 2 3" xfId="21203" xr:uid="{4E0A5087-3771-4873-9DAB-41EB1F3DF8FE}"/>
    <cellStyle name="Normal 4 2 4 2 7 2 4" xfId="12762" xr:uid="{6ED10C3A-C721-4402-BC10-8B1DDB8C0724}"/>
    <cellStyle name="Normal 4 2 4 2 7 3" xfId="6385" xr:uid="{00000000-0005-0000-0000-000079130000}"/>
    <cellStyle name="Normal 4 2 4 2 7 3 2" xfId="23276" xr:uid="{68260A5E-3885-4427-A681-57D244005ED6}"/>
    <cellStyle name="Normal 4 2 4 2 7 3 3" xfId="14835" xr:uid="{16BA6B1C-FD05-42F0-8857-73227B93EB6E}"/>
    <cellStyle name="Normal 4 2 4 2 7 4" xfId="19058" xr:uid="{7DC8FDE9-6CF4-485E-BB43-65D11BF1742B}"/>
    <cellStyle name="Normal 4 2 4 2 7 5" xfId="10617" xr:uid="{E55014C3-233C-4206-A579-A8481C7E84FE}"/>
    <cellStyle name="Normal 4 2 4 2 8" xfId="2515" xr:uid="{00000000-0005-0000-0000-00007A130000}"/>
    <cellStyle name="Normal 4 2 4 2 8 2" xfId="6798" xr:uid="{00000000-0005-0000-0000-00007B130000}"/>
    <cellStyle name="Normal 4 2 4 2 8 2 2" xfId="23689" xr:uid="{FD439619-A54F-4170-83C1-9A81642C83C8}"/>
    <cellStyle name="Normal 4 2 4 2 8 2 3" xfId="15248" xr:uid="{D9249B8D-2F01-4D05-9038-8F216F65FBBE}"/>
    <cellStyle name="Normal 4 2 4 2 8 3" xfId="19471" xr:uid="{71A7745C-EC18-495C-859C-1BD3E5F8EAFF}"/>
    <cellStyle name="Normal 4 2 4 2 8 4" xfId="11030" xr:uid="{C27DBADD-FE37-4019-85B3-06EC2850A733}"/>
    <cellStyle name="Normal 4 2 4 2 9" xfId="4733" xr:uid="{00000000-0005-0000-0000-00007C130000}"/>
    <cellStyle name="Normal 4 2 4 2 9 2" xfId="21624" xr:uid="{5921C053-E6E3-49B8-9A24-3B71121F3338}"/>
    <cellStyle name="Normal 4 2 4 2 9 3" xfId="13183" xr:uid="{3DF92E22-A8EB-4091-80FC-F90FC5DE1FC3}"/>
    <cellStyle name="Normal 4 2 4 3" xfId="360" xr:uid="{00000000-0005-0000-0000-00007D130000}"/>
    <cellStyle name="Normal 4 2 4 3 10" xfId="8969" xr:uid="{8580F4A8-72F0-4533-B53E-E4D387BCB6FF}"/>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2 2 2" xfId="24187" xr:uid="{1773D4A2-BB3E-4AA4-92D2-5D1C519AD968}"/>
    <cellStyle name="Normal 4 2 4 3 2 2 2 2 3" xfId="15746" xr:uid="{7608EDA8-99CE-4D08-9379-398033D56E55}"/>
    <cellStyle name="Normal 4 2 4 3 2 2 2 3" xfId="19969" xr:uid="{F2046A07-C233-4858-9835-8C46EEB94E5F}"/>
    <cellStyle name="Normal 4 2 4 3 2 2 2 4" xfId="11528" xr:uid="{DF5F62BE-25BA-4EBF-97E6-23F7AF20BED9}"/>
    <cellStyle name="Normal 4 2 4 3 2 2 3" xfId="5151" xr:uid="{00000000-0005-0000-0000-000082130000}"/>
    <cellStyle name="Normal 4 2 4 3 2 2 3 2" xfId="22042" xr:uid="{5705F193-95EE-49C7-82E1-7D1FC3EA7A0C}"/>
    <cellStyle name="Normal 4 2 4 3 2 2 3 3" xfId="13601" xr:uid="{DBE38968-C919-4FA0-AD40-0DC49BA87ECD}"/>
    <cellStyle name="Normal 4 2 4 3 2 2 4" xfId="17824" xr:uid="{25DCFE44-79E5-471A-B585-25A462E6ABAF}"/>
    <cellStyle name="Normal 4 2 4 3 2 2 5" xfId="9383" xr:uid="{9C77F2A3-C258-4FC3-B425-222CD3212D46}"/>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2 2 2" xfId="24600" xr:uid="{F8AEEA43-0093-4AF3-8F10-E4A0605082B4}"/>
    <cellStyle name="Normal 4 2 4 3 2 3 2 2 3" xfId="16159" xr:uid="{18AB9DE2-C697-4F9C-BDE5-B5A50B7372D0}"/>
    <cellStyle name="Normal 4 2 4 3 2 3 2 3" xfId="20382" xr:uid="{44EE02F7-14FE-40F6-824D-54ACE92AFDC2}"/>
    <cellStyle name="Normal 4 2 4 3 2 3 2 4" xfId="11941" xr:uid="{05F506C1-8D56-42C6-8CB6-4E70B2D9CB0E}"/>
    <cellStyle name="Normal 4 2 4 3 2 3 3" xfId="5564" xr:uid="{00000000-0005-0000-0000-000086130000}"/>
    <cellStyle name="Normal 4 2 4 3 2 3 3 2" xfId="22455" xr:uid="{32853CDA-B926-4120-A1F7-395CB2EE7100}"/>
    <cellStyle name="Normal 4 2 4 3 2 3 3 3" xfId="14014" xr:uid="{544E149B-F2AC-42A9-92C3-FEFF9BAB8DB3}"/>
    <cellStyle name="Normal 4 2 4 3 2 3 4" xfId="18237" xr:uid="{4223EFA4-8A94-4B8F-88A4-BC3A7F23460D}"/>
    <cellStyle name="Normal 4 2 4 3 2 3 5" xfId="9796" xr:uid="{85EA2D87-E0FF-4CE3-B70C-4BCE200132DB}"/>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2 2 2" xfId="25013" xr:uid="{EB2CD640-0B8D-4804-A7FA-97A70FA59365}"/>
    <cellStyle name="Normal 4 2 4 3 2 4 2 2 3" xfId="16572" xr:uid="{5EDAAE80-5CCA-4E82-8F39-4B7C3F802FF6}"/>
    <cellStyle name="Normal 4 2 4 3 2 4 2 3" xfId="20795" xr:uid="{CB1EAAEF-0B0D-4019-8B50-DB6F33394887}"/>
    <cellStyle name="Normal 4 2 4 3 2 4 2 4" xfId="12354" xr:uid="{DFBC94A5-C3CF-49CB-B65A-7E0D8D184F31}"/>
    <cellStyle name="Normal 4 2 4 3 2 4 3" xfId="5977" xr:uid="{00000000-0005-0000-0000-00008A130000}"/>
    <cellStyle name="Normal 4 2 4 3 2 4 3 2" xfId="22868" xr:uid="{6DB2B375-6389-44F2-BC7E-7EB11B244B1F}"/>
    <cellStyle name="Normal 4 2 4 3 2 4 3 3" xfId="14427" xr:uid="{CAD1DC64-1F92-4F5B-898A-335C99A976D0}"/>
    <cellStyle name="Normal 4 2 4 3 2 4 4" xfId="18650" xr:uid="{81053E62-B655-4367-A58A-141FC252376F}"/>
    <cellStyle name="Normal 4 2 4 3 2 4 5" xfId="10209" xr:uid="{79CDEAD8-5DD2-4416-BFA8-FA73002B1729}"/>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2 2 2" xfId="25426" xr:uid="{8F2B5EDB-6F74-4280-AF85-E79842A78427}"/>
    <cellStyle name="Normal 4 2 4 3 2 5 2 2 3" xfId="16985" xr:uid="{CDA18BCB-61BE-4B30-A212-6E156CE3BEA8}"/>
    <cellStyle name="Normal 4 2 4 3 2 5 2 3" xfId="21208" xr:uid="{6A29EAEF-3F57-41A4-AE37-3D0BEE4B6A56}"/>
    <cellStyle name="Normal 4 2 4 3 2 5 2 4" xfId="12767" xr:uid="{4A98F7EF-944B-4312-8927-AA7E2EF57FD2}"/>
    <cellStyle name="Normal 4 2 4 3 2 5 3" xfId="6390" xr:uid="{00000000-0005-0000-0000-00008E130000}"/>
    <cellStyle name="Normal 4 2 4 3 2 5 3 2" xfId="23281" xr:uid="{F7B395E4-D85D-4E7F-87CA-34F9B8F5D967}"/>
    <cellStyle name="Normal 4 2 4 3 2 5 3 3" xfId="14840" xr:uid="{8A3FFE64-FDA2-4F18-9034-11F499AAD2E6}"/>
    <cellStyle name="Normal 4 2 4 3 2 5 4" xfId="19063" xr:uid="{9185A2EF-E220-40DF-BD62-BF03DABDE6F7}"/>
    <cellStyle name="Normal 4 2 4 3 2 5 5" xfId="10622" xr:uid="{72A4C3CA-5465-4FFF-9158-A619064A5667}"/>
    <cellStyle name="Normal 4 2 4 3 2 6" xfId="2520" xr:uid="{00000000-0005-0000-0000-00008F130000}"/>
    <cellStyle name="Normal 4 2 4 3 2 6 2" xfId="6803" xr:uid="{00000000-0005-0000-0000-000090130000}"/>
    <cellStyle name="Normal 4 2 4 3 2 6 2 2" xfId="23694" xr:uid="{D0B10304-E3B2-4A30-B8D4-22D116DFC690}"/>
    <cellStyle name="Normal 4 2 4 3 2 6 2 3" xfId="15253" xr:uid="{B7F26B6F-A681-4315-B59F-A8CE4079773D}"/>
    <cellStyle name="Normal 4 2 4 3 2 6 3" xfId="19476" xr:uid="{03D31701-1F02-49A2-BB03-38FE9EFE3813}"/>
    <cellStyle name="Normal 4 2 4 3 2 6 4" xfId="11035" xr:uid="{2B7E0726-4440-481E-8312-88BCB8689D0C}"/>
    <cellStyle name="Normal 4 2 4 3 2 7" xfId="4738" xr:uid="{00000000-0005-0000-0000-000091130000}"/>
    <cellStyle name="Normal 4 2 4 3 2 7 2" xfId="21629" xr:uid="{DB04C903-A329-4069-84AD-646333B67472}"/>
    <cellStyle name="Normal 4 2 4 3 2 7 3" xfId="13188" xr:uid="{35ACD0EC-5B96-4B11-BF77-C17E7738E917}"/>
    <cellStyle name="Normal 4 2 4 3 2 8" xfId="17411" xr:uid="{00AF5A18-B0AF-4486-A0B2-FA8BFAEED207}"/>
    <cellStyle name="Normal 4 2 4 3 2 9" xfId="8970" xr:uid="{D3C670D9-D757-4605-9076-6E670F36C93D}"/>
    <cellStyle name="Normal 4 2 4 3 3" xfId="836" xr:uid="{00000000-0005-0000-0000-000092130000}"/>
    <cellStyle name="Normal 4 2 4 3 3 2" xfId="3073" xr:uid="{00000000-0005-0000-0000-000093130000}"/>
    <cellStyle name="Normal 4 2 4 3 3 2 2" xfId="7295" xr:uid="{00000000-0005-0000-0000-000094130000}"/>
    <cellStyle name="Normal 4 2 4 3 3 2 2 2" xfId="24186" xr:uid="{3CF46D86-BC83-43D7-B1B4-58F5AC4758B2}"/>
    <cellStyle name="Normal 4 2 4 3 3 2 2 3" xfId="15745" xr:uid="{8DF4A577-DF6F-4221-9A15-E18D61136D42}"/>
    <cellStyle name="Normal 4 2 4 3 3 2 3" xfId="19968" xr:uid="{CDFD5E78-450E-4D66-9676-55130B3DDC2B}"/>
    <cellStyle name="Normal 4 2 4 3 3 2 4" xfId="11527" xr:uid="{EC8EEDB7-7689-4EE4-9356-B8A3AA4FE21C}"/>
    <cellStyle name="Normal 4 2 4 3 3 3" xfId="5150" xr:uid="{00000000-0005-0000-0000-000095130000}"/>
    <cellStyle name="Normal 4 2 4 3 3 3 2" xfId="22041" xr:uid="{5A45A7F1-5AF6-40ED-8FC9-FDA2BEA8EE3A}"/>
    <cellStyle name="Normal 4 2 4 3 3 3 3" xfId="13600" xr:uid="{A670E485-BCB0-477D-9158-5BCEA01386C0}"/>
    <cellStyle name="Normal 4 2 4 3 3 4" xfId="17823" xr:uid="{D7997600-F6C4-4D39-BE6C-807856BBA05C}"/>
    <cellStyle name="Normal 4 2 4 3 3 5" xfId="9382" xr:uid="{60B27C50-81FA-4F20-9362-8FFE3027EBDA}"/>
    <cellStyle name="Normal 4 2 4 3 4" xfId="1256" xr:uid="{00000000-0005-0000-0000-000096130000}"/>
    <cellStyle name="Normal 4 2 4 3 4 2" xfId="3486" xr:uid="{00000000-0005-0000-0000-000097130000}"/>
    <cellStyle name="Normal 4 2 4 3 4 2 2" xfId="7708" xr:uid="{00000000-0005-0000-0000-000098130000}"/>
    <cellStyle name="Normal 4 2 4 3 4 2 2 2" xfId="24599" xr:uid="{CD2288E5-44E4-40F8-AAA3-48DD53DAFEF8}"/>
    <cellStyle name="Normal 4 2 4 3 4 2 2 3" xfId="16158" xr:uid="{C08BE78D-1A2D-406F-BDC9-652B31146BCA}"/>
    <cellStyle name="Normal 4 2 4 3 4 2 3" xfId="20381" xr:uid="{80078F1C-1856-44EC-84EB-E703FE56FF69}"/>
    <cellStyle name="Normal 4 2 4 3 4 2 4" xfId="11940" xr:uid="{120EEF80-A263-480B-BEE3-946C5F6170E9}"/>
    <cellStyle name="Normal 4 2 4 3 4 3" xfId="5563" xr:uid="{00000000-0005-0000-0000-000099130000}"/>
    <cellStyle name="Normal 4 2 4 3 4 3 2" xfId="22454" xr:uid="{9180434E-83F3-4CAF-AD6F-C1234F8DEFEF}"/>
    <cellStyle name="Normal 4 2 4 3 4 3 3" xfId="14013" xr:uid="{57587077-57DA-479B-BC56-0A37DFD0FDE9}"/>
    <cellStyle name="Normal 4 2 4 3 4 4" xfId="18236" xr:uid="{C56B9A46-197A-49B5-9D1C-2A67015A907E}"/>
    <cellStyle name="Normal 4 2 4 3 4 5" xfId="9795" xr:uid="{AE7C2189-28A8-45CC-A44B-356094D5A67E}"/>
    <cellStyle name="Normal 4 2 4 3 5" xfId="1669" xr:uid="{00000000-0005-0000-0000-00009A130000}"/>
    <cellStyle name="Normal 4 2 4 3 5 2" xfId="3899" xr:uid="{00000000-0005-0000-0000-00009B130000}"/>
    <cellStyle name="Normal 4 2 4 3 5 2 2" xfId="8121" xr:uid="{00000000-0005-0000-0000-00009C130000}"/>
    <cellStyle name="Normal 4 2 4 3 5 2 2 2" xfId="25012" xr:uid="{15F0745E-3D56-434F-963B-C3DC48350D5D}"/>
    <cellStyle name="Normal 4 2 4 3 5 2 2 3" xfId="16571" xr:uid="{27BE28AB-CC81-431F-8E6C-4A821A212152}"/>
    <cellStyle name="Normal 4 2 4 3 5 2 3" xfId="20794" xr:uid="{600ED8A7-3172-450A-9884-E71A455398BE}"/>
    <cellStyle name="Normal 4 2 4 3 5 2 4" xfId="12353" xr:uid="{071E8F3D-7162-4E23-91E1-F2E93BFCC252}"/>
    <cellStyle name="Normal 4 2 4 3 5 3" xfId="5976" xr:uid="{00000000-0005-0000-0000-00009D130000}"/>
    <cellStyle name="Normal 4 2 4 3 5 3 2" xfId="22867" xr:uid="{8B45733A-8158-4928-90B6-837746FF964E}"/>
    <cellStyle name="Normal 4 2 4 3 5 3 3" xfId="14426" xr:uid="{3B632BF1-E5E8-4E88-B48D-B425781B946E}"/>
    <cellStyle name="Normal 4 2 4 3 5 4" xfId="18649" xr:uid="{03D829C7-9E46-44B1-9BCE-9B9762AC8B75}"/>
    <cellStyle name="Normal 4 2 4 3 5 5" xfId="10208" xr:uid="{7BE1A1E2-13B4-4803-9AF5-E35F4C261FB7}"/>
    <cellStyle name="Normal 4 2 4 3 6" xfId="2083" xr:uid="{00000000-0005-0000-0000-00009E130000}"/>
    <cellStyle name="Normal 4 2 4 3 6 2" xfId="4312" xr:uid="{00000000-0005-0000-0000-00009F130000}"/>
    <cellStyle name="Normal 4 2 4 3 6 2 2" xfId="8534" xr:uid="{00000000-0005-0000-0000-0000A0130000}"/>
    <cellStyle name="Normal 4 2 4 3 6 2 2 2" xfId="25425" xr:uid="{FE76E52A-E9FE-4716-9ABA-791AE7BBEB90}"/>
    <cellStyle name="Normal 4 2 4 3 6 2 2 3" xfId="16984" xr:uid="{04DFFCEB-FF94-45BE-858B-2D1BCD908731}"/>
    <cellStyle name="Normal 4 2 4 3 6 2 3" xfId="21207" xr:uid="{0012D019-6936-4341-99BB-63B0D9B1ACD3}"/>
    <cellStyle name="Normal 4 2 4 3 6 2 4" xfId="12766" xr:uid="{A9D7B4B8-811F-4816-A9DA-E2EFC5F5E152}"/>
    <cellStyle name="Normal 4 2 4 3 6 3" xfId="6389" xr:uid="{00000000-0005-0000-0000-0000A1130000}"/>
    <cellStyle name="Normal 4 2 4 3 6 3 2" xfId="23280" xr:uid="{08D649DD-A5A8-46B4-89CE-F958ABC2B9A4}"/>
    <cellStyle name="Normal 4 2 4 3 6 3 3" xfId="14839" xr:uid="{E8270955-4869-4197-B999-69FCFC35EB47}"/>
    <cellStyle name="Normal 4 2 4 3 6 4" xfId="19062" xr:uid="{021BC7BD-4E2E-4F2D-BC8D-98A4BAD1E0C6}"/>
    <cellStyle name="Normal 4 2 4 3 6 5" xfId="10621" xr:uid="{1C06D22E-C7C3-4FC6-BC62-A59FF5835FF3}"/>
    <cellStyle name="Normal 4 2 4 3 7" xfId="2519" xr:uid="{00000000-0005-0000-0000-0000A2130000}"/>
    <cellStyle name="Normal 4 2 4 3 7 2" xfId="6802" xr:uid="{00000000-0005-0000-0000-0000A3130000}"/>
    <cellStyle name="Normal 4 2 4 3 7 2 2" xfId="23693" xr:uid="{2FD97EA0-AA24-4452-876B-39A8D9AA5C63}"/>
    <cellStyle name="Normal 4 2 4 3 7 2 3" xfId="15252" xr:uid="{92194C2C-D5EA-43C9-890D-AC1FA8E09786}"/>
    <cellStyle name="Normal 4 2 4 3 7 3" xfId="19475" xr:uid="{0AF61DA4-0E79-487C-BA9F-98D5C6FF2106}"/>
    <cellStyle name="Normal 4 2 4 3 7 4" xfId="11034" xr:uid="{66F66FAA-DA43-41CB-A2F1-9CC9FE57DFED}"/>
    <cellStyle name="Normal 4 2 4 3 8" xfId="4737" xr:uid="{00000000-0005-0000-0000-0000A4130000}"/>
    <cellStyle name="Normal 4 2 4 3 8 2" xfId="21628" xr:uid="{EB8DF4F4-4EE5-48AD-84CB-71DA658225DD}"/>
    <cellStyle name="Normal 4 2 4 3 8 3" xfId="13187" xr:uid="{761E85E3-AB2E-453F-A08C-8120C6D167DA}"/>
    <cellStyle name="Normal 4 2 4 3 9" xfId="17410" xr:uid="{B6320BC0-304B-4891-BF09-2C126BB97D73}"/>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2 2 2" xfId="24188" xr:uid="{01802557-76A7-4A01-8530-7B4952F46DEA}"/>
    <cellStyle name="Normal 4 2 4 4 2 2 2 3" xfId="15747" xr:uid="{2B900000-7BAA-4E4F-88AC-72B3BB18890B}"/>
    <cellStyle name="Normal 4 2 4 4 2 2 3" xfId="19970" xr:uid="{F42C225E-E895-4C95-A0D3-6B70E20C62C4}"/>
    <cellStyle name="Normal 4 2 4 4 2 2 4" xfId="11529" xr:uid="{C51099BA-C147-4429-9A18-275A02D44599}"/>
    <cellStyle name="Normal 4 2 4 4 2 3" xfId="5152" xr:uid="{00000000-0005-0000-0000-0000A9130000}"/>
    <cellStyle name="Normal 4 2 4 4 2 3 2" xfId="22043" xr:uid="{EBB82337-712E-440B-9F0F-08956927E158}"/>
    <cellStyle name="Normal 4 2 4 4 2 3 3" xfId="13602" xr:uid="{5524B44A-72A3-4617-9F74-434DAB43C072}"/>
    <cellStyle name="Normal 4 2 4 4 2 4" xfId="17825" xr:uid="{68F226C8-736C-4746-A094-367EB8A3D44A}"/>
    <cellStyle name="Normal 4 2 4 4 2 5" xfId="9384" xr:uid="{576CF217-7BEE-46F2-A362-58C8DFE5EFCF}"/>
    <cellStyle name="Normal 4 2 4 4 3" xfId="1258" xr:uid="{00000000-0005-0000-0000-0000AA130000}"/>
    <cellStyle name="Normal 4 2 4 4 3 2" xfId="3488" xr:uid="{00000000-0005-0000-0000-0000AB130000}"/>
    <cellStyle name="Normal 4 2 4 4 3 2 2" xfId="7710" xr:uid="{00000000-0005-0000-0000-0000AC130000}"/>
    <cellStyle name="Normal 4 2 4 4 3 2 2 2" xfId="24601" xr:uid="{4BFB498E-6F57-4BC4-B344-95E904569E92}"/>
    <cellStyle name="Normal 4 2 4 4 3 2 2 3" xfId="16160" xr:uid="{3239416F-7AD8-49D1-9E4F-4213DF97CCB2}"/>
    <cellStyle name="Normal 4 2 4 4 3 2 3" xfId="20383" xr:uid="{0E160B4F-D894-47DF-8764-B466F34DD661}"/>
    <cellStyle name="Normal 4 2 4 4 3 2 4" xfId="11942" xr:uid="{27741C87-B399-44DC-B15A-9EA2AE76CA8D}"/>
    <cellStyle name="Normal 4 2 4 4 3 3" xfId="5565" xr:uid="{00000000-0005-0000-0000-0000AD130000}"/>
    <cellStyle name="Normal 4 2 4 4 3 3 2" xfId="22456" xr:uid="{194B5219-AE79-47FB-8B0C-0585B5F790EF}"/>
    <cellStyle name="Normal 4 2 4 4 3 3 3" xfId="14015" xr:uid="{6AFA793F-627B-413F-8E1C-872CE1D4EF54}"/>
    <cellStyle name="Normal 4 2 4 4 3 4" xfId="18238" xr:uid="{56A739C6-E262-4ABA-A376-5342CA3116E5}"/>
    <cellStyle name="Normal 4 2 4 4 3 5" xfId="9797" xr:uid="{FF8EDD3D-7EEA-4CC5-B521-D11929CC5EC3}"/>
    <cellStyle name="Normal 4 2 4 4 4" xfId="1671" xr:uid="{00000000-0005-0000-0000-0000AE130000}"/>
    <cellStyle name="Normal 4 2 4 4 4 2" xfId="3901" xr:uid="{00000000-0005-0000-0000-0000AF130000}"/>
    <cellStyle name="Normal 4 2 4 4 4 2 2" xfId="8123" xr:uid="{00000000-0005-0000-0000-0000B0130000}"/>
    <cellStyle name="Normal 4 2 4 4 4 2 2 2" xfId="25014" xr:uid="{82D85AF6-FCE2-4592-A581-276428C8683B}"/>
    <cellStyle name="Normal 4 2 4 4 4 2 2 3" xfId="16573" xr:uid="{F5390D87-73F6-43C5-8E18-02C9A96F90A6}"/>
    <cellStyle name="Normal 4 2 4 4 4 2 3" xfId="20796" xr:uid="{50BA6CB5-CFF4-4800-9BC0-98B5BD673169}"/>
    <cellStyle name="Normal 4 2 4 4 4 2 4" xfId="12355" xr:uid="{B6908041-A820-4450-B38B-E48E65239A32}"/>
    <cellStyle name="Normal 4 2 4 4 4 3" xfId="5978" xr:uid="{00000000-0005-0000-0000-0000B1130000}"/>
    <cellStyle name="Normal 4 2 4 4 4 3 2" xfId="22869" xr:uid="{1F9F003E-3E87-49D5-B0B2-9400ACF791CD}"/>
    <cellStyle name="Normal 4 2 4 4 4 3 3" xfId="14428" xr:uid="{3E3BA4C8-7438-4B07-83C4-511575A901E5}"/>
    <cellStyle name="Normal 4 2 4 4 4 4" xfId="18651" xr:uid="{9C9B1D2D-D84B-4320-8A30-3B26845A52CF}"/>
    <cellStyle name="Normal 4 2 4 4 4 5" xfId="10210" xr:uid="{49766168-565D-4587-8EF2-413BC3B899CF}"/>
    <cellStyle name="Normal 4 2 4 4 5" xfId="2085" xr:uid="{00000000-0005-0000-0000-0000B2130000}"/>
    <cellStyle name="Normal 4 2 4 4 5 2" xfId="4314" xr:uid="{00000000-0005-0000-0000-0000B3130000}"/>
    <cellStyle name="Normal 4 2 4 4 5 2 2" xfId="8536" xr:uid="{00000000-0005-0000-0000-0000B4130000}"/>
    <cellStyle name="Normal 4 2 4 4 5 2 2 2" xfId="25427" xr:uid="{2DCF71EB-212E-42B2-9701-E3D003F91D24}"/>
    <cellStyle name="Normal 4 2 4 4 5 2 2 3" xfId="16986" xr:uid="{8BDA4DD4-38EE-474A-802D-72E15D16F278}"/>
    <cellStyle name="Normal 4 2 4 4 5 2 3" xfId="21209" xr:uid="{6EB52FBE-9D86-4F08-A41F-89B0E3372EE8}"/>
    <cellStyle name="Normal 4 2 4 4 5 2 4" xfId="12768" xr:uid="{6A4A587D-491B-420B-A878-4F579ECB59CE}"/>
    <cellStyle name="Normal 4 2 4 4 5 3" xfId="6391" xr:uid="{00000000-0005-0000-0000-0000B5130000}"/>
    <cellStyle name="Normal 4 2 4 4 5 3 2" xfId="23282" xr:uid="{82D1A063-4EB8-4EEE-B250-D5251E14B815}"/>
    <cellStyle name="Normal 4 2 4 4 5 3 3" xfId="14841" xr:uid="{B6A0EA5A-F2FE-461D-B437-F0FF4CC888C3}"/>
    <cellStyle name="Normal 4 2 4 4 5 4" xfId="19064" xr:uid="{C0D4D6C6-5CC7-4FEA-A4DF-FE91BDECEFA2}"/>
    <cellStyle name="Normal 4 2 4 4 5 5" xfId="10623" xr:uid="{DFC9508C-4B5C-46F6-8B14-271CF59727FD}"/>
    <cellStyle name="Normal 4 2 4 4 6" xfId="2521" xr:uid="{00000000-0005-0000-0000-0000B6130000}"/>
    <cellStyle name="Normal 4 2 4 4 6 2" xfId="6804" xr:uid="{00000000-0005-0000-0000-0000B7130000}"/>
    <cellStyle name="Normal 4 2 4 4 6 2 2" xfId="23695" xr:uid="{73A1321D-40E5-47BA-8926-234520332E09}"/>
    <cellStyle name="Normal 4 2 4 4 6 2 3" xfId="15254" xr:uid="{C656EE2C-EBCC-42D6-9453-E51E32C56AEF}"/>
    <cellStyle name="Normal 4 2 4 4 6 3" xfId="19477" xr:uid="{BD7B433B-B37B-4B49-9A96-BC8F17762921}"/>
    <cellStyle name="Normal 4 2 4 4 6 4" xfId="11036" xr:uid="{87B75F66-CD27-49B7-B83E-6525A919FD1B}"/>
    <cellStyle name="Normal 4 2 4 4 7" xfId="4739" xr:uid="{00000000-0005-0000-0000-0000B8130000}"/>
    <cellStyle name="Normal 4 2 4 4 7 2" xfId="21630" xr:uid="{A2559B44-5AD6-47E8-8282-DFB5779A20BB}"/>
    <cellStyle name="Normal 4 2 4 4 7 3" xfId="13189" xr:uid="{DB43A98D-7D27-4377-A3F7-EB1521EB299A}"/>
    <cellStyle name="Normal 4 2 4 4 8" xfId="17412" xr:uid="{E0826E81-FDD0-4BB2-AA40-FF7D88D12EFA}"/>
    <cellStyle name="Normal 4 2 4 4 9" xfId="8971" xr:uid="{54FD2235-4986-4B80-B939-D1FC3ECF8E5D}"/>
    <cellStyle name="Normal 4 2 4 5" xfId="831" xr:uid="{00000000-0005-0000-0000-0000B9130000}"/>
    <cellStyle name="Normal 4 2 4 5 2" xfId="3068" xr:uid="{00000000-0005-0000-0000-0000BA130000}"/>
    <cellStyle name="Normal 4 2 4 5 2 2" xfId="7290" xr:uid="{00000000-0005-0000-0000-0000BB130000}"/>
    <cellStyle name="Normal 4 2 4 5 2 2 2" xfId="24181" xr:uid="{88879736-900D-40DE-BFB0-28B759606F5F}"/>
    <cellStyle name="Normal 4 2 4 5 2 2 3" xfId="15740" xr:uid="{5E07E6FD-E027-4140-9C07-D6F1066C6269}"/>
    <cellStyle name="Normal 4 2 4 5 2 3" xfId="19963" xr:uid="{95E843BE-38B6-4A75-B8DB-CB6E99DC39E2}"/>
    <cellStyle name="Normal 4 2 4 5 2 4" xfId="11522" xr:uid="{FF58D8E7-BBC9-4058-B292-2F86B97AC7ED}"/>
    <cellStyle name="Normal 4 2 4 5 3" xfId="5145" xr:uid="{00000000-0005-0000-0000-0000BC130000}"/>
    <cellStyle name="Normal 4 2 4 5 3 2" xfId="22036" xr:uid="{AF2270A1-E8BC-4059-8ECB-9F894AF343AC}"/>
    <cellStyle name="Normal 4 2 4 5 3 3" xfId="13595" xr:uid="{CD55AE4F-F0A5-4861-8453-CBEABC9FA194}"/>
    <cellStyle name="Normal 4 2 4 5 4" xfId="17818" xr:uid="{33D236DB-B288-48E0-A266-6965F01DE53D}"/>
    <cellStyle name="Normal 4 2 4 5 5" xfId="9377" xr:uid="{64E7202D-BD7F-463C-8FDB-DB34762B7579}"/>
    <cellStyle name="Normal 4 2 4 6" xfId="1251" xr:uid="{00000000-0005-0000-0000-0000BD130000}"/>
    <cellStyle name="Normal 4 2 4 6 2" xfId="3481" xr:uid="{00000000-0005-0000-0000-0000BE130000}"/>
    <cellStyle name="Normal 4 2 4 6 2 2" xfId="7703" xr:uid="{00000000-0005-0000-0000-0000BF130000}"/>
    <cellStyle name="Normal 4 2 4 6 2 2 2" xfId="24594" xr:uid="{F4915062-A099-4BAF-A2EF-BBAB72C07FE5}"/>
    <cellStyle name="Normal 4 2 4 6 2 2 3" xfId="16153" xr:uid="{2E992A1F-44C0-4B68-825C-49C9044D463E}"/>
    <cellStyle name="Normal 4 2 4 6 2 3" xfId="20376" xr:uid="{74B35F3A-129C-49DB-8047-53E09822C9E0}"/>
    <cellStyle name="Normal 4 2 4 6 2 4" xfId="11935" xr:uid="{4653F25C-871C-47EC-8D93-6DAA341CED7E}"/>
    <cellStyle name="Normal 4 2 4 6 3" xfId="5558" xr:uid="{00000000-0005-0000-0000-0000C0130000}"/>
    <cellStyle name="Normal 4 2 4 6 3 2" xfId="22449" xr:uid="{7968D613-8AEE-4538-9670-17BCE07D2A14}"/>
    <cellStyle name="Normal 4 2 4 6 3 3" xfId="14008" xr:uid="{A2B566DF-EC3E-41CD-ADAF-0AD143EDE9BB}"/>
    <cellStyle name="Normal 4 2 4 6 4" xfId="18231" xr:uid="{FE553D0B-DB60-4801-B4A4-A62E31462B06}"/>
    <cellStyle name="Normal 4 2 4 6 5" xfId="9790" xr:uid="{140FDD15-BF48-43EC-A82D-1C9825C68E16}"/>
    <cellStyle name="Normal 4 2 4 7" xfId="1664" xr:uid="{00000000-0005-0000-0000-0000C1130000}"/>
    <cellStyle name="Normal 4 2 4 7 2" xfId="3894" xr:uid="{00000000-0005-0000-0000-0000C2130000}"/>
    <cellStyle name="Normal 4 2 4 7 2 2" xfId="8116" xr:uid="{00000000-0005-0000-0000-0000C3130000}"/>
    <cellStyle name="Normal 4 2 4 7 2 2 2" xfId="25007" xr:uid="{1C68CA97-87A0-4CFF-919F-33498909A94F}"/>
    <cellStyle name="Normal 4 2 4 7 2 2 3" xfId="16566" xr:uid="{C4CF2E93-46F2-495F-A8F9-CA62892E255D}"/>
    <cellStyle name="Normal 4 2 4 7 2 3" xfId="20789" xr:uid="{EDB6230B-A8FE-4E7C-AD9B-5DF39D1ED4C9}"/>
    <cellStyle name="Normal 4 2 4 7 2 4" xfId="12348" xr:uid="{14449A5C-85DE-48C3-8FED-59FC991B765A}"/>
    <cellStyle name="Normal 4 2 4 7 3" xfId="5971" xr:uid="{00000000-0005-0000-0000-0000C4130000}"/>
    <cellStyle name="Normal 4 2 4 7 3 2" xfId="22862" xr:uid="{3F43CCDC-DD1B-49E4-99F4-32A35F39ECC4}"/>
    <cellStyle name="Normal 4 2 4 7 3 3" xfId="14421" xr:uid="{D3B8EF33-185B-43FB-AE81-CEAB15F16B6B}"/>
    <cellStyle name="Normal 4 2 4 7 4" xfId="18644" xr:uid="{1F7A7DA7-DDE4-4EFB-AE35-2E538A65DAF6}"/>
    <cellStyle name="Normal 4 2 4 7 5" xfId="10203" xr:uid="{AC0B398B-FEA3-47A7-8A7A-A79D5FEDE2C4}"/>
    <cellStyle name="Normal 4 2 4 8" xfId="2078" xr:uid="{00000000-0005-0000-0000-0000C5130000}"/>
    <cellStyle name="Normal 4 2 4 8 2" xfId="4307" xr:uid="{00000000-0005-0000-0000-0000C6130000}"/>
    <cellStyle name="Normal 4 2 4 8 2 2" xfId="8529" xr:uid="{00000000-0005-0000-0000-0000C7130000}"/>
    <cellStyle name="Normal 4 2 4 8 2 2 2" xfId="25420" xr:uid="{C9A52857-ABE3-4022-8D2C-FEC4D08CF599}"/>
    <cellStyle name="Normal 4 2 4 8 2 2 3" xfId="16979" xr:uid="{EBF2D53B-A4CB-4182-9A46-88C96EA32EA5}"/>
    <cellStyle name="Normal 4 2 4 8 2 3" xfId="21202" xr:uid="{89223185-B9C3-4457-9352-C08086134A42}"/>
    <cellStyle name="Normal 4 2 4 8 2 4" xfId="12761" xr:uid="{CFF7CD7F-D59F-4A13-8361-A3D473B380AC}"/>
    <cellStyle name="Normal 4 2 4 8 3" xfId="6384" xr:uid="{00000000-0005-0000-0000-0000C8130000}"/>
    <cellStyle name="Normal 4 2 4 8 3 2" xfId="23275" xr:uid="{945539C4-9C8C-427B-B33D-CCBCAEEB1AA6}"/>
    <cellStyle name="Normal 4 2 4 8 3 3" xfId="14834" xr:uid="{E5D81D72-158B-49CE-928E-11607966E08B}"/>
    <cellStyle name="Normal 4 2 4 8 4" xfId="19057" xr:uid="{62FC4CF1-6180-4355-B76B-13741542A7A8}"/>
    <cellStyle name="Normal 4 2 4 8 5" xfId="10616" xr:uid="{B1ABEC1F-676A-4537-B4C4-0497E52A6BDD}"/>
    <cellStyle name="Normal 4 2 4 9" xfId="2514" xr:uid="{00000000-0005-0000-0000-0000C9130000}"/>
    <cellStyle name="Normal 4 2 4 9 2" xfId="6797" xr:uid="{00000000-0005-0000-0000-0000CA130000}"/>
    <cellStyle name="Normal 4 2 4 9 2 2" xfId="23688" xr:uid="{53618D87-BE77-4B9F-B68E-540CF077D36E}"/>
    <cellStyle name="Normal 4 2 4 9 2 3" xfId="15247" xr:uid="{699D70A0-E1D3-48E8-AAAE-1030FD1136C7}"/>
    <cellStyle name="Normal 4 2 4 9 3" xfId="19470" xr:uid="{F3C15877-BAA6-48B3-BE9C-EC70F813DAB4}"/>
    <cellStyle name="Normal 4 2 4 9 4" xfId="11029" xr:uid="{3E7D707E-0B5A-4AD3-A292-859B308031F6}"/>
    <cellStyle name="Normal 4 2 5" xfId="363" xr:uid="{00000000-0005-0000-0000-0000CB130000}"/>
    <cellStyle name="Normal 4 2 5 10" xfId="8972" xr:uid="{84B0F2FD-BF84-448D-9461-40E316E0B8FA}"/>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2 2 2" xfId="24190" xr:uid="{591E400F-6AD4-4471-BC74-A428B02713E4}"/>
    <cellStyle name="Normal 4 2 5 2 2 2 2 3" xfId="15749" xr:uid="{98A45CA3-FE0F-43F4-9C96-E0A9EC64ADA1}"/>
    <cellStyle name="Normal 4 2 5 2 2 2 3" xfId="19972" xr:uid="{90E35AC4-992C-41BD-98DE-52E8F24FDE97}"/>
    <cellStyle name="Normal 4 2 5 2 2 2 4" xfId="11531" xr:uid="{3AE9CC9B-169A-4B9C-A692-0AF3098ECA7F}"/>
    <cellStyle name="Normal 4 2 5 2 2 3" xfId="5154" xr:uid="{00000000-0005-0000-0000-0000D0130000}"/>
    <cellStyle name="Normal 4 2 5 2 2 3 2" xfId="22045" xr:uid="{07888E35-825E-4F0E-B350-B5E0C882467C}"/>
    <cellStyle name="Normal 4 2 5 2 2 3 3" xfId="13604" xr:uid="{8131D2D2-F151-421B-8D94-838A6AD2F1C3}"/>
    <cellStyle name="Normal 4 2 5 2 2 4" xfId="17827" xr:uid="{FACFD179-53A5-4E64-8404-D65C5835603C}"/>
    <cellStyle name="Normal 4 2 5 2 2 5" xfId="9386" xr:uid="{9BA3B333-8B9F-4368-80E6-8FB8A022B13A}"/>
    <cellStyle name="Normal 4 2 5 2 3" xfId="1260" xr:uid="{00000000-0005-0000-0000-0000D1130000}"/>
    <cellStyle name="Normal 4 2 5 2 3 2" xfId="3490" xr:uid="{00000000-0005-0000-0000-0000D2130000}"/>
    <cellStyle name="Normal 4 2 5 2 3 2 2" xfId="7712" xr:uid="{00000000-0005-0000-0000-0000D3130000}"/>
    <cellStyle name="Normal 4 2 5 2 3 2 2 2" xfId="24603" xr:uid="{19E91D1C-8F95-4ABF-A770-CC8B971D32F7}"/>
    <cellStyle name="Normal 4 2 5 2 3 2 2 3" xfId="16162" xr:uid="{0F8A4D0B-7502-486D-A242-9653CE3881B0}"/>
    <cellStyle name="Normal 4 2 5 2 3 2 3" xfId="20385" xr:uid="{3F4D7C49-883E-4E33-8BB5-96AC0A05A3A5}"/>
    <cellStyle name="Normal 4 2 5 2 3 2 4" xfId="11944" xr:uid="{2A16F391-0EB4-41F9-8C57-7CFC72DAF4A4}"/>
    <cellStyle name="Normal 4 2 5 2 3 3" xfId="5567" xr:uid="{00000000-0005-0000-0000-0000D4130000}"/>
    <cellStyle name="Normal 4 2 5 2 3 3 2" xfId="22458" xr:uid="{963893EE-0643-4BBA-A6CB-528A60E7B697}"/>
    <cellStyle name="Normal 4 2 5 2 3 3 3" xfId="14017" xr:uid="{C55905B4-57E4-479E-B524-76C821CAB348}"/>
    <cellStyle name="Normal 4 2 5 2 3 4" xfId="18240" xr:uid="{AC3803BF-0731-446E-9F57-046CB3FFA39A}"/>
    <cellStyle name="Normal 4 2 5 2 3 5" xfId="9799" xr:uid="{78C23F7C-04C7-4028-A379-DC1AB4ED2180}"/>
    <cellStyle name="Normal 4 2 5 2 4" xfId="1673" xr:uid="{00000000-0005-0000-0000-0000D5130000}"/>
    <cellStyle name="Normal 4 2 5 2 4 2" xfId="3903" xr:uid="{00000000-0005-0000-0000-0000D6130000}"/>
    <cellStyle name="Normal 4 2 5 2 4 2 2" xfId="8125" xr:uid="{00000000-0005-0000-0000-0000D7130000}"/>
    <cellStyle name="Normal 4 2 5 2 4 2 2 2" xfId="25016" xr:uid="{ED9CCAF4-38EA-42A3-A910-80BFF118B7AE}"/>
    <cellStyle name="Normal 4 2 5 2 4 2 2 3" xfId="16575" xr:uid="{C9049BB4-E9AC-422A-ADBB-26BBEF41B010}"/>
    <cellStyle name="Normal 4 2 5 2 4 2 3" xfId="20798" xr:uid="{B691DA59-9655-41A9-9DCB-71BED841FFBD}"/>
    <cellStyle name="Normal 4 2 5 2 4 2 4" xfId="12357" xr:uid="{52579AC5-356C-491E-A249-753BB2B89AD4}"/>
    <cellStyle name="Normal 4 2 5 2 4 3" xfId="5980" xr:uid="{00000000-0005-0000-0000-0000D8130000}"/>
    <cellStyle name="Normal 4 2 5 2 4 3 2" xfId="22871" xr:uid="{3F5252B3-382A-454E-9649-97FD8F00368B}"/>
    <cellStyle name="Normal 4 2 5 2 4 3 3" xfId="14430" xr:uid="{D45DDD55-68EA-4E2C-93B0-710AD58A9849}"/>
    <cellStyle name="Normal 4 2 5 2 4 4" xfId="18653" xr:uid="{5F9B6BA1-8A6C-47B7-9FEA-540F1CB4F2E6}"/>
    <cellStyle name="Normal 4 2 5 2 4 5" xfId="10212" xr:uid="{9E4B8709-F259-4E99-861F-724443384202}"/>
    <cellStyle name="Normal 4 2 5 2 5" xfId="2087" xr:uid="{00000000-0005-0000-0000-0000D9130000}"/>
    <cellStyle name="Normal 4 2 5 2 5 2" xfId="4316" xr:uid="{00000000-0005-0000-0000-0000DA130000}"/>
    <cellStyle name="Normal 4 2 5 2 5 2 2" xfId="8538" xr:uid="{00000000-0005-0000-0000-0000DB130000}"/>
    <cellStyle name="Normal 4 2 5 2 5 2 2 2" xfId="25429" xr:uid="{38B32D40-07E9-4116-BEF0-9A3B5B2D731F}"/>
    <cellStyle name="Normal 4 2 5 2 5 2 2 3" xfId="16988" xr:uid="{88C38A1F-0968-4667-8118-55759E20BC19}"/>
    <cellStyle name="Normal 4 2 5 2 5 2 3" xfId="21211" xr:uid="{BA2E2C65-B5E0-4309-9F28-09559EF0C117}"/>
    <cellStyle name="Normal 4 2 5 2 5 2 4" xfId="12770" xr:uid="{70F2E568-DA59-4392-BCC0-7BEB5B24D92C}"/>
    <cellStyle name="Normal 4 2 5 2 5 3" xfId="6393" xr:uid="{00000000-0005-0000-0000-0000DC130000}"/>
    <cellStyle name="Normal 4 2 5 2 5 3 2" xfId="23284" xr:uid="{7FC88AD3-F590-4337-BB24-15DD8E1CBC3C}"/>
    <cellStyle name="Normal 4 2 5 2 5 3 3" xfId="14843" xr:uid="{2DC2FA4A-05F0-4F5E-B5C7-852259E3009A}"/>
    <cellStyle name="Normal 4 2 5 2 5 4" xfId="19066" xr:uid="{0CE0A201-9513-4ADB-9C44-E9F8C0285CFD}"/>
    <cellStyle name="Normal 4 2 5 2 5 5" xfId="10625" xr:uid="{10F4F50B-A077-4193-8A6B-2790800C49C5}"/>
    <cellStyle name="Normal 4 2 5 2 6" xfId="2523" xr:uid="{00000000-0005-0000-0000-0000DD130000}"/>
    <cellStyle name="Normal 4 2 5 2 6 2" xfId="6806" xr:uid="{00000000-0005-0000-0000-0000DE130000}"/>
    <cellStyle name="Normal 4 2 5 2 6 2 2" xfId="23697" xr:uid="{6D3515B6-2C20-4089-924F-F1A7F025531E}"/>
    <cellStyle name="Normal 4 2 5 2 6 2 3" xfId="15256" xr:uid="{6A0F7E98-8414-4248-917C-D798908AEFF1}"/>
    <cellStyle name="Normal 4 2 5 2 6 3" xfId="19479" xr:uid="{9904322D-AFF1-42F7-873F-70EE219ED441}"/>
    <cellStyle name="Normal 4 2 5 2 6 4" xfId="11038" xr:uid="{598DA698-E65F-4698-8597-142F721B05EB}"/>
    <cellStyle name="Normal 4 2 5 2 7" xfId="4741" xr:uid="{00000000-0005-0000-0000-0000DF130000}"/>
    <cellStyle name="Normal 4 2 5 2 7 2" xfId="21632" xr:uid="{426F5704-544C-45E4-AECE-2057180D90EB}"/>
    <cellStyle name="Normal 4 2 5 2 7 3" xfId="13191" xr:uid="{85C73D79-6D50-433E-BB3E-5396EB3D6FD1}"/>
    <cellStyle name="Normal 4 2 5 2 8" xfId="17414" xr:uid="{58F34C5E-570E-41AA-86BD-7A82264EAD56}"/>
    <cellStyle name="Normal 4 2 5 2 9" xfId="8973" xr:uid="{3DD4811E-3962-4D5B-A0FA-28D90264BAEE}"/>
    <cellStyle name="Normal 4 2 5 3" xfId="839" xr:uid="{00000000-0005-0000-0000-0000E0130000}"/>
    <cellStyle name="Normal 4 2 5 3 2" xfId="3076" xr:uid="{00000000-0005-0000-0000-0000E1130000}"/>
    <cellStyle name="Normal 4 2 5 3 2 2" xfId="7298" xr:uid="{00000000-0005-0000-0000-0000E2130000}"/>
    <cellStyle name="Normal 4 2 5 3 2 2 2" xfId="24189" xr:uid="{6A6954C1-60D9-4AF5-88FE-02539359FAA7}"/>
    <cellStyle name="Normal 4 2 5 3 2 2 3" xfId="15748" xr:uid="{69CA6CAA-74E8-4824-841F-E7FC8313BD35}"/>
    <cellStyle name="Normal 4 2 5 3 2 3" xfId="19971" xr:uid="{85B7B914-C670-4F25-BFE6-959420563803}"/>
    <cellStyle name="Normal 4 2 5 3 2 4" xfId="11530" xr:uid="{25498E78-D9BE-4A11-9A6F-A4871769183A}"/>
    <cellStyle name="Normal 4 2 5 3 3" xfId="5153" xr:uid="{00000000-0005-0000-0000-0000E3130000}"/>
    <cellStyle name="Normal 4 2 5 3 3 2" xfId="22044" xr:uid="{7B5F44D3-930B-461B-BD19-23A6DDAFC143}"/>
    <cellStyle name="Normal 4 2 5 3 3 3" xfId="13603" xr:uid="{ABBC8E19-61B2-4BD0-85C3-938DE5AC91FF}"/>
    <cellStyle name="Normal 4 2 5 3 4" xfId="17826" xr:uid="{D4D632CB-8A32-4494-B21B-41DD99EB70E7}"/>
    <cellStyle name="Normal 4 2 5 3 5" xfId="9385" xr:uid="{215F4C12-C1A3-496A-9F6A-AB52E6BE8D09}"/>
    <cellStyle name="Normal 4 2 5 4" xfId="1259" xr:uid="{00000000-0005-0000-0000-0000E4130000}"/>
    <cellStyle name="Normal 4 2 5 4 2" xfId="3489" xr:uid="{00000000-0005-0000-0000-0000E5130000}"/>
    <cellStyle name="Normal 4 2 5 4 2 2" xfId="7711" xr:uid="{00000000-0005-0000-0000-0000E6130000}"/>
    <cellStyle name="Normal 4 2 5 4 2 2 2" xfId="24602" xr:uid="{FB379572-D277-4435-B735-DAF8EC653529}"/>
    <cellStyle name="Normal 4 2 5 4 2 2 3" xfId="16161" xr:uid="{669686C9-C835-4D0A-A044-6F512B09726E}"/>
    <cellStyle name="Normal 4 2 5 4 2 3" xfId="20384" xr:uid="{ED2AD945-6D09-4960-9810-D5BE006B09BE}"/>
    <cellStyle name="Normal 4 2 5 4 2 4" xfId="11943" xr:uid="{775B0756-E728-43B2-864D-4D2162CCB637}"/>
    <cellStyle name="Normal 4 2 5 4 3" xfId="5566" xr:uid="{00000000-0005-0000-0000-0000E7130000}"/>
    <cellStyle name="Normal 4 2 5 4 3 2" xfId="22457" xr:uid="{23DC5FFE-7511-4F3B-8B7D-69D42B809318}"/>
    <cellStyle name="Normal 4 2 5 4 3 3" xfId="14016" xr:uid="{818B6D1A-E897-416D-ABA1-4ADCF22B69BF}"/>
    <cellStyle name="Normal 4 2 5 4 4" xfId="18239" xr:uid="{1A1073CC-BECE-4FD0-B34E-9BE615DBE88D}"/>
    <cellStyle name="Normal 4 2 5 4 5" xfId="9798" xr:uid="{7F2F7361-7653-4037-83FF-0968EE6E62CB}"/>
    <cellStyle name="Normal 4 2 5 5" xfId="1672" xr:uid="{00000000-0005-0000-0000-0000E8130000}"/>
    <cellStyle name="Normal 4 2 5 5 2" xfId="3902" xr:uid="{00000000-0005-0000-0000-0000E9130000}"/>
    <cellStyle name="Normal 4 2 5 5 2 2" xfId="8124" xr:uid="{00000000-0005-0000-0000-0000EA130000}"/>
    <cellStyle name="Normal 4 2 5 5 2 2 2" xfId="25015" xr:uid="{FB5ED563-2EBC-4DD1-8602-191F23485314}"/>
    <cellStyle name="Normal 4 2 5 5 2 2 3" xfId="16574" xr:uid="{14E3975A-34FA-4297-8784-3D7CAAFDDEE7}"/>
    <cellStyle name="Normal 4 2 5 5 2 3" xfId="20797" xr:uid="{9C98523A-4CB5-4D6B-821D-4A284989047E}"/>
    <cellStyle name="Normal 4 2 5 5 2 4" xfId="12356" xr:uid="{138C0117-1614-4F32-B8D7-B8A1ED5A316E}"/>
    <cellStyle name="Normal 4 2 5 5 3" xfId="5979" xr:uid="{00000000-0005-0000-0000-0000EB130000}"/>
    <cellStyle name="Normal 4 2 5 5 3 2" xfId="22870" xr:uid="{1C569CF3-BA4E-4945-A18A-38D71CC78574}"/>
    <cellStyle name="Normal 4 2 5 5 3 3" xfId="14429" xr:uid="{0DAFBFD1-2081-46E6-98B8-B421290026E6}"/>
    <cellStyle name="Normal 4 2 5 5 4" xfId="18652" xr:uid="{060F0342-5A76-4833-9E58-7BF44C894918}"/>
    <cellStyle name="Normal 4 2 5 5 5" xfId="10211" xr:uid="{4A866198-B2CF-4228-9167-8D6BAB614815}"/>
    <cellStyle name="Normal 4 2 5 6" xfId="2086" xr:uid="{00000000-0005-0000-0000-0000EC130000}"/>
    <cellStyle name="Normal 4 2 5 6 2" xfId="4315" xr:uid="{00000000-0005-0000-0000-0000ED130000}"/>
    <cellStyle name="Normal 4 2 5 6 2 2" xfId="8537" xr:uid="{00000000-0005-0000-0000-0000EE130000}"/>
    <cellStyle name="Normal 4 2 5 6 2 2 2" xfId="25428" xr:uid="{B993FB48-9EE8-48BE-BD83-05A8F3DE9D9D}"/>
    <cellStyle name="Normal 4 2 5 6 2 2 3" xfId="16987" xr:uid="{D4B9863B-DF23-4FF9-87CA-938111E6DA6E}"/>
    <cellStyle name="Normal 4 2 5 6 2 3" xfId="21210" xr:uid="{AA3333C7-4606-4ECE-9B11-1C17896F7B0E}"/>
    <cellStyle name="Normal 4 2 5 6 2 4" xfId="12769" xr:uid="{36A686FE-08E6-4836-9770-B99670A92568}"/>
    <cellStyle name="Normal 4 2 5 6 3" xfId="6392" xr:uid="{00000000-0005-0000-0000-0000EF130000}"/>
    <cellStyle name="Normal 4 2 5 6 3 2" xfId="23283" xr:uid="{6798CC51-D460-467C-A486-96C9DC98B040}"/>
    <cellStyle name="Normal 4 2 5 6 3 3" xfId="14842" xr:uid="{B3F770D6-25F8-40D6-A102-EEE9764C121D}"/>
    <cellStyle name="Normal 4 2 5 6 4" xfId="19065" xr:uid="{45339FF3-2E80-455A-9C3C-39CB68DC5199}"/>
    <cellStyle name="Normal 4 2 5 6 5" xfId="10624" xr:uid="{FFC2AF1B-BB96-4DA6-9F4B-21B91D583FCB}"/>
    <cellStyle name="Normal 4 2 5 7" xfId="2522" xr:uid="{00000000-0005-0000-0000-0000F0130000}"/>
    <cellStyle name="Normal 4 2 5 7 2" xfId="6805" xr:uid="{00000000-0005-0000-0000-0000F1130000}"/>
    <cellStyle name="Normal 4 2 5 7 2 2" xfId="23696" xr:uid="{7638EA49-A5ED-46D6-B9BF-7BE87B4C9765}"/>
    <cellStyle name="Normal 4 2 5 7 2 3" xfId="15255" xr:uid="{9E389198-AABD-4AB1-9002-FE5670EA16AE}"/>
    <cellStyle name="Normal 4 2 5 7 3" xfId="19478" xr:uid="{476C65B5-8AD2-49F1-A5D0-C38A2BEE88F0}"/>
    <cellStyle name="Normal 4 2 5 7 4" xfId="11037" xr:uid="{7F412305-38F7-44EB-84FC-7D38224F4AF7}"/>
    <cellStyle name="Normal 4 2 5 8" xfId="4740" xr:uid="{00000000-0005-0000-0000-0000F2130000}"/>
    <cellStyle name="Normal 4 2 5 8 2" xfId="21631" xr:uid="{AEE53D9C-B504-4548-BD54-667A536176A6}"/>
    <cellStyle name="Normal 4 2 5 8 3" xfId="13190" xr:uid="{795A6371-1CA0-4E8C-AE8B-AA21DB904ABD}"/>
    <cellStyle name="Normal 4 2 5 9" xfId="17413" xr:uid="{8A8B6757-F44D-4C37-9BE7-CAFF36BAA96D}"/>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2 2 2" xfId="24191" xr:uid="{6F6F6B7E-79D9-4FB2-8761-5350A32DB30C}"/>
    <cellStyle name="Normal 4 2 6 2 2 2 3" xfId="15750" xr:uid="{CF2E779B-0C8A-488F-9CE6-C9AD88CAD307}"/>
    <cellStyle name="Normal 4 2 6 2 2 3" xfId="19973" xr:uid="{6F4BB47D-E93C-4914-86D7-97B2E808D506}"/>
    <cellStyle name="Normal 4 2 6 2 2 4" xfId="11532" xr:uid="{96FE1821-6BC9-4177-99FA-FAD0B77FB3BB}"/>
    <cellStyle name="Normal 4 2 6 2 3" xfId="5155" xr:uid="{00000000-0005-0000-0000-0000F7130000}"/>
    <cellStyle name="Normal 4 2 6 2 3 2" xfId="22046" xr:uid="{EFF59E6E-0CCA-4B28-B7FF-CDA8B13387B1}"/>
    <cellStyle name="Normal 4 2 6 2 3 3" xfId="13605" xr:uid="{EB2EDC9F-8FF9-492A-B1E4-2AB595F66C69}"/>
    <cellStyle name="Normal 4 2 6 2 4" xfId="17828" xr:uid="{DBB5AE48-80E3-40CE-8154-004936565CFE}"/>
    <cellStyle name="Normal 4 2 6 2 5" xfId="9387" xr:uid="{64904E3A-E5BE-458E-A8B7-091EA770094B}"/>
    <cellStyle name="Normal 4 2 6 3" xfId="1261" xr:uid="{00000000-0005-0000-0000-0000F8130000}"/>
    <cellStyle name="Normal 4 2 6 3 2" xfId="3491" xr:uid="{00000000-0005-0000-0000-0000F9130000}"/>
    <cellStyle name="Normal 4 2 6 3 2 2" xfId="7713" xr:uid="{00000000-0005-0000-0000-0000FA130000}"/>
    <cellStyle name="Normal 4 2 6 3 2 2 2" xfId="24604" xr:uid="{7CA7CEE0-9641-45CF-8EF7-BA664E0E8BBD}"/>
    <cellStyle name="Normal 4 2 6 3 2 2 3" xfId="16163" xr:uid="{B2FD5023-0226-44E7-A1B2-B9E48740104F}"/>
    <cellStyle name="Normal 4 2 6 3 2 3" xfId="20386" xr:uid="{C2403E85-6C31-483B-8D98-DCC1AA4CF274}"/>
    <cellStyle name="Normal 4 2 6 3 2 4" xfId="11945" xr:uid="{AA67C390-6F26-45D0-BD3D-1BD058DA5910}"/>
    <cellStyle name="Normal 4 2 6 3 3" xfId="5568" xr:uid="{00000000-0005-0000-0000-0000FB130000}"/>
    <cellStyle name="Normal 4 2 6 3 3 2" xfId="22459" xr:uid="{85C808B8-6C76-482D-A4E8-2CD650DF6FEF}"/>
    <cellStyle name="Normal 4 2 6 3 3 3" xfId="14018" xr:uid="{C5544419-9546-45B0-B4F5-05D028685432}"/>
    <cellStyle name="Normal 4 2 6 3 4" xfId="18241" xr:uid="{7CD899C9-677C-41EE-8026-B75D4E898045}"/>
    <cellStyle name="Normal 4 2 6 3 5" xfId="9800" xr:uid="{136B8936-9473-453C-BD4B-776309B7B55E}"/>
    <cellStyle name="Normal 4 2 6 4" xfId="1674" xr:uid="{00000000-0005-0000-0000-0000FC130000}"/>
    <cellStyle name="Normal 4 2 6 4 2" xfId="3904" xr:uid="{00000000-0005-0000-0000-0000FD130000}"/>
    <cellStyle name="Normal 4 2 6 4 2 2" xfId="8126" xr:uid="{00000000-0005-0000-0000-0000FE130000}"/>
    <cellStyle name="Normal 4 2 6 4 2 2 2" xfId="25017" xr:uid="{B0A2D905-BB97-4E06-99F1-4B5CCC1936E4}"/>
    <cellStyle name="Normal 4 2 6 4 2 2 3" xfId="16576" xr:uid="{495F18EB-BEF9-444F-B7A5-DD67551EF347}"/>
    <cellStyle name="Normal 4 2 6 4 2 3" xfId="20799" xr:uid="{3C678CD1-1A08-4D54-A30B-5F710B435493}"/>
    <cellStyle name="Normal 4 2 6 4 2 4" xfId="12358" xr:uid="{9AB8B58E-FDCF-4BDB-920C-C22A23D485B6}"/>
    <cellStyle name="Normal 4 2 6 4 3" xfId="5981" xr:uid="{00000000-0005-0000-0000-0000FF130000}"/>
    <cellStyle name="Normal 4 2 6 4 3 2" xfId="22872" xr:uid="{151F82A7-560A-498A-8C98-309466FC5723}"/>
    <cellStyle name="Normal 4 2 6 4 3 3" xfId="14431" xr:uid="{2470DFD7-6734-45BD-9280-3DA219F782D7}"/>
    <cellStyle name="Normal 4 2 6 4 4" xfId="18654" xr:uid="{2CE42386-37C0-455E-82E5-444BBF02F014}"/>
    <cellStyle name="Normal 4 2 6 4 5" xfId="10213" xr:uid="{AC25A1EC-C371-4225-8788-0B25A26ED892}"/>
    <cellStyle name="Normal 4 2 6 5" xfId="2088" xr:uid="{00000000-0005-0000-0000-000000140000}"/>
    <cellStyle name="Normal 4 2 6 5 2" xfId="4317" xr:uid="{00000000-0005-0000-0000-000001140000}"/>
    <cellStyle name="Normal 4 2 6 5 2 2" xfId="8539" xr:uid="{00000000-0005-0000-0000-000002140000}"/>
    <cellStyle name="Normal 4 2 6 5 2 2 2" xfId="25430" xr:uid="{820A69A4-B303-4946-BBA0-504CBDB4473F}"/>
    <cellStyle name="Normal 4 2 6 5 2 2 3" xfId="16989" xr:uid="{12C9B604-2118-4FC4-9D5B-CE9C7E24ACF8}"/>
    <cellStyle name="Normal 4 2 6 5 2 3" xfId="21212" xr:uid="{FFD44E4C-13B9-4F7A-A9C5-0992C78714B1}"/>
    <cellStyle name="Normal 4 2 6 5 2 4" xfId="12771" xr:uid="{5076D730-4C9E-4B21-A8E9-083D052715FA}"/>
    <cellStyle name="Normal 4 2 6 5 3" xfId="6394" xr:uid="{00000000-0005-0000-0000-000003140000}"/>
    <cellStyle name="Normal 4 2 6 5 3 2" xfId="23285" xr:uid="{3D7790A7-0EAB-4EBA-B6FB-6EB04ADE662F}"/>
    <cellStyle name="Normal 4 2 6 5 3 3" xfId="14844" xr:uid="{DF53A6DA-D828-4CD1-A96B-8DDA3627FCBA}"/>
    <cellStyle name="Normal 4 2 6 5 4" xfId="19067" xr:uid="{EC381F33-F229-4394-B71F-F5B5B1CEB741}"/>
    <cellStyle name="Normal 4 2 6 5 5" xfId="10626" xr:uid="{13086FD4-5D80-4FD4-B53B-11F619402DFD}"/>
    <cellStyle name="Normal 4 2 6 6" xfId="2524" xr:uid="{00000000-0005-0000-0000-000004140000}"/>
    <cellStyle name="Normal 4 2 6 6 2" xfId="6807" xr:uid="{00000000-0005-0000-0000-000005140000}"/>
    <cellStyle name="Normal 4 2 6 6 2 2" xfId="23698" xr:uid="{3BD511A2-69ED-4D66-B077-FD2E438E3488}"/>
    <cellStyle name="Normal 4 2 6 6 2 3" xfId="15257" xr:uid="{AC1534BF-BF6B-46DD-AB41-4C9C7E3E60C6}"/>
    <cellStyle name="Normal 4 2 6 6 3" xfId="19480" xr:uid="{1E2962D3-6D07-45E8-971E-318F8C318228}"/>
    <cellStyle name="Normal 4 2 6 6 4" xfId="11039" xr:uid="{DF43E43B-10C7-44C0-BD03-9AB0A5C1604B}"/>
    <cellStyle name="Normal 4 2 6 7" xfId="4742" xr:uid="{00000000-0005-0000-0000-000006140000}"/>
    <cellStyle name="Normal 4 2 6 7 2" xfId="21633" xr:uid="{8F2DA666-205E-4296-88C9-583971FEF9CB}"/>
    <cellStyle name="Normal 4 2 6 7 3" xfId="13192" xr:uid="{AFBE542D-1DAB-417A-9476-397EE8CFBE44}"/>
    <cellStyle name="Normal 4 2 6 8" xfId="17415" xr:uid="{56DFFA1E-6F17-4E3B-8F71-B3EA4FE8E007}"/>
    <cellStyle name="Normal 4 2 6 9" xfId="8974" xr:uid="{13C76BF1-2E34-4108-81E4-16CC5F261A96}"/>
    <cellStyle name="Normal 4 3" xfId="366" xr:uid="{00000000-0005-0000-0000-000007140000}"/>
    <cellStyle name="Normal 4 3 10" xfId="17416" xr:uid="{B71B3D95-957C-444F-9571-FD6185E4E29D}"/>
    <cellStyle name="Normal 4 3 11" xfId="8975" xr:uid="{2171643D-D9A4-4BE6-8F80-AD4790C99501}"/>
    <cellStyle name="Normal 4 3 2" xfId="367" xr:uid="{00000000-0005-0000-0000-000008140000}"/>
    <cellStyle name="Normal 4 3 2 2" xfId="368" xr:uid="{00000000-0005-0000-0000-000009140000}"/>
    <cellStyle name="Normal 4 3 2 2 2" xfId="369" xr:uid="{00000000-0005-0000-0000-00000A140000}"/>
    <cellStyle name="Normal 4 3 2 2 2 10" xfId="17417" xr:uid="{A134D8DA-E011-4DCC-9B59-D85AA1CC67B7}"/>
    <cellStyle name="Normal 4 3 2 2 2 11" xfId="8976" xr:uid="{B55B5D89-C291-4FD3-B579-F031003C9CF6}"/>
    <cellStyle name="Normal 4 3 2 2 2 2" xfId="370" xr:uid="{00000000-0005-0000-0000-00000B140000}"/>
    <cellStyle name="Normal 4 3 2 2 2 2 10" xfId="8977" xr:uid="{6CF9EBDA-6190-4E63-8841-27A4CF1768A2}"/>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2 2 2" xfId="24195" xr:uid="{3C7837F6-54B7-44F4-BF10-B543C6C54821}"/>
    <cellStyle name="Normal 4 3 2 2 2 2 2 2 2 2 3" xfId="15754" xr:uid="{1895B4B5-4E6F-45E3-A805-F4500EF47FE5}"/>
    <cellStyle name="Normal 4 3 2 2 2 2 2 2 2 3" xfId="19977" xr:uid="{F1D47DBD-7D76-414E-8739-EFE5D2347585}"/>
    <cellStyle name="Normal 4 3 2 2 2 2 2 2 2 4" xfId="11536" xr:uid="{01EBE559-4AA5-4203-BA07-4B26579B07BD}"/>
    <cellStyle name="Normal 4 3 2 2 2 2 2 2 3" xfId="5159" xr:uid="{00000000-0005-0000-0000-000010140000}"/>
    <cellStyle name="Normal 4 3 2 2 2 2 2 2 3 2" xfId="22050" xr:uid="{CFE8E80E-8311-4C57-B3C7-1BB039576EAF}"/>
    <cellStyle name="Normal 4 3 2 2 2 2 2 2 3 3" xfId="13609" xr:uid="{44BD19CA-1DDC-4B77-8305-30DE0734E70A}"/>
    <cellStyle name="Normal 4 3 2 2 2 2 2 2 4" xfId="17832" xr:uid="{FB956623-CAA6-4071-AD9D-B100315E707B}"/>
    <cellStyle name="Normal 4 3 2 2 2 2 2 2 5" xfId="9391" xr:uid="{164C29B9-80FD-4018-B7C5-AD129378259A}"/>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2 2 2" xfId="24608" xr:uid="{BD58D040-C1C4-4093-82D8-2AE6D40F3EDC}"/>
    <cellStyle name="Normal 4 3 2 2 2 2 2 3 2 2 3" xfId="16167" xr:uid="{5C92C6ED-F088-425B-8321-DDF3A3600CD6}"/>
    <cellStyle name="Normal 4 3 2 2 2 2 2 3 2 3" xfId="20390" xr:uid="{BF138276-B060-467D-A7DA-FD58EC5B2851}"/>
    <cellStyle name="Normal 4 3 2 2 2 2 2 3 2 4" xfId="11949" xr:uid="{4F16520A-E054-40A7-BBA6-FCECA0667F87}"/>
    <cellStyle name="Normal 4 3 2 2 2 2 2 3 3" xfId="5572" xr:uid="{00000000-0005-0000-0000-000014140000}"/>
    <cellStyle name="Normal 4 3 2 2 2 2 2 3 3 2" xfId="22463" xr:uid="{83F2C5E1-DBA4-4B96-9F4D-A92241A75850}"/>
    <cellStyle name="Normal 4 3 2 2 2 2 2 3 3 3" xfId="14022" xr:uid="{DE9143E8-CEE2-4B57-9329-94BFE1F92A20}"/>
    <cellStyle name="Normal 4 3 2 2 2 2 2 3 4" xfId="18245" xr:uid="{2917525B-8266-464D-B036-24A538357E9C}"/>
    <cellStyle name="Normal 4 3 2 2 2 2 2 3 5" xfId="9804" xr:uid="{8F9A1595-D289-4C5B-982B-927B7BD10F7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2 2 2" xfId="25021" xr:uid="{17DE8648-054D-4B60-BFDB-C1A8A8F875D7}"/>
    <cellStyle name="Normal 4 3 2 2 2 2 2 4 2 2 3" xfId="16580" xr:uid="{A7B91FDC-B1A4-435A-9C11-0234624223C6}"/>
    <cellStyle name="Normal 4 3 2 2 2 2 2 4 2 3" xfId="20803" xr:uid="{95CD569C-AE63-409A-9B18-28AB5E9B5049}"/>
    <cellStyle name="Normal 4 3 2 2 2 2 2 4 2 4" xfId="12362" xr:uid="{BE0415B2-4F1F-410A-B011-9B5EAE82E1CB}"/>
    <cellStyle name="Normal 4 3 2 2 2 2 2 4 3" xfId="5985" xr:uid="{00000000-0005-0000-0000-000018140000}"/>
    <cellStyle name="Normal 4 3 2 2 2 2 2 4 3 2" xfId="22876" xr:uid="{F45755C5-88DA-4EE1-8B8F-5C840ACF05A6}"/>
    <cellStyle name="Normal 4 3 2 2 2 2 2 4 3 3" xfId="14435" xr:uid="{21592D00-24F7-48E9-BCF4-1669EAE10356}"/>
    <cellStyle name="Normal 4 3 2 2 2 2 2 4 4" xfId="18658" xr:uid="{A68F5C1D-5C3A-4F39-B05B-D9EEDAED1E13}"/>
    <cellStyle name="Normal 4 3 2 2 2 2 2 4 5" xfId="10217" xr:uid="{4538D974-1BBE-4AC4-BB94-7845BCF5BDDD}"/>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2 2 2" xfId="25434" xr:uid="{42FEC496-375A-4796-923E-9735175DEDDD}"/>
    <cellStyle name="Normal 4 3 2 2 2 2 2 5 2 2 3" xfId="16993" xr:uid="{DED2611A-974A-459A-BB7E-B5ACD65A9CDA}"/>
    <cellStyle name="Normal 4 3 2 2 2 2 2 5 2 3" xfId="21216" xr:uid="{1D177110-D3D9-4B89-8A80-8E4258E7FBED}"/>
    <cellStyle name="Normal 4 3 2 2 2 2 2 5 2 4" xfId="12775" xr:uid="{7472756B-DF4F-40F0-9DB0-28E8D82FE770}"/>
    <cellStyle name="Normal 4 3 2 2 2 2 2 5 3" xfId="6398" xr:uid="{00000000-0005-0000-0000-00001C140000}"/>
    <cellStyle name="Normal 4 3 2 2 2 2 2 5 3 2" xfId="23289" xr:uid="{EE91B607-C0C2-4CB4-9F1E-380ADF7E4EFF}"/>
    <cellStyle name="Normal 4 3 2 2 2 2 2 5 3 3" xfId="14848" xr:uid="{78DB62F7-1624-4A02-B2A0-ED4E8371F944}"/>
    <cellStyle name="Normal 4 3 2 2 2 2 2 5 4" xfId="19071" xr:uid="{7DE5319E-01AF-4200-82C4-C97E18BBEDAE}"/>
    <cellStyle name="Normal 4 3 2 2 2 2 2 5 5" xfId="10630" xr:uid="{AF97480D-C80A-4B56-AC3F-0DAF826468C9}"/>
    <cellStyle name="Normal 4 3 2 2 2 2 2 6" xfId="2528" xr:uid="{00000000-0005-0000-0000-00001D140000}"/>
    <cellStyle name="Normal 4 3 2 2 2 2 2 6 2" xfId="6811" xr:uid="{00000000-0005-0000-0000-00001E140000}"/>
    <cellStyle name="Normal 4 3 2 2 2 2 2 6 2 2" xfId="23702" xr:uid="{3555435D-45E9-4A25-9A75-217C9BA055F0}"/>
    <cellStyle name="Normal 4 3 2 2 2 2 2 6 2 3" xfId="15261" xr:uid="{4ADD7D22-1C6D-4D24-B7C0-20111E8F4A00}"/>
    <cellStyle name="Normal 4 3 2 2 2 2 2 6 3" xfId="19484" xr:uid="{08F14C9C-48A8-41D3-A621-B10457C45326}"/>
    <cellStyle name="Normal 4 3 2 2 2 2 2 6 4" xfId="11043" xr:uid="{387D8B15-D509-4B0A-9D94-CADBA3D7F05A}"/>
    <cellStyle name="Normal 4 3 2 2 2 2 2 7" xfId="4746" xr:uid="{00000000-0005-0000-0000-00001F140000}"/>
    <cellStyle name="Normal 4 3 2 2 2 2 2 7 2" xfId="21637" xr:uid="{F2BC4869-43FC-4A7B-B94E-B8CA3D8CDA78}"/>
    <cellStyle name="Normal 4 3 2 2 2 2 2 7 3" xfId="13196" xr:uid="{820A338D-D228-41E2-B118-CFF0228A27C3}"/>
    <cellStyle name="Normal 4 3 2 2 2 2 2 8" xfId="17419" xr:uid="{45372649-81E1-4EA6-8106-BE53E845E08C}"/>
    <cellStyle name="Normal 4 3 2 2 2 2 2 9" xfId="8978" xr:uid="{EB8D9F77-0D83-4E40-8CF0-915F927BBEF4}"/>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2 2 2" xfId="24194" xr:uid="{CF0D3D88-2188-4D7C-AB7B-809585A9FCD7}"/>
    <cellStyle name="Normal 4 3 2 2 2 2 3 2 2 3" xfId="15753" xr:uid="{20A13D75-6D74-4465-8BEC-0EAE8F57CEED}"/>
    <cellStyle name="Normal 4 3 2 2 2 2 3 2 3" xfId="19976" xr:uid="{9734283D-D6DE-42FF-9093-A603A3116B7E}"/>
    <cellStyle name="Normal 4 3 2 2 2 2 3 2 4" xfId="11535" xr:uid="{70CAB68C-DFE7-4AE7-A88C-D2A8615E482F}"/>
    <cellStyle name="Normal 4 3 2 2 2 2 3 3" xfId="5158" xr:uid="{00000000-0005-0000-0000-000023140000}"/>
    <cellStyle name="Normal 4 3 2 2 2 2 3 3 2" xfId="22049" xr:uid="{1C4D88CE-30D5-4B62-936E-9757E743B664}"/>
    <cellStyle name="Normal 4 3 2 2 2 2 3 3 3" xfId="13608" xr:uid="{B562B612-2C7B-40AC-8681-44B0460D3740}"/>
    <cellStyle name="Normal 4 3 2 2 2 2 3 4" xfId="17831" xr:uid="{D8613FC7-3EE4-47AD-8B20-8EAD786E0479}"/>
    <cellStyle name="Normal 4 3 2 2 2 2 3 5" xfId="9390" xr:uid="{30381782-6A40-4532-9BD6-84FBC95CFC68}"/>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2 2 2" xfId="24607" xr:uid="{021D9604-319B-4571-B99E-1CFF6525BB78}"/>
    <cellStyle name="Normal 4 3 2 2 2 2 4 2 2 3" xfId="16166" xr:uid="{B84272B4-9C24-402A-9A30-A931988BE958}"/>
    <cellStyle name="Normal 4 3 2 2 2 2 4 2 3" xfId="20389" xr:uid="{22ABBE1A-33BF-4A8C-A945-3CBB8FDF374A}"/>
    <cellStyle name="Normal 4 3 2 2 2 2 4 2 4" xfId="11948" xr:uid="{CAC4D60C-C623-45F4-BF03-B21E884D86C8}"/>
    <cellStyle name="Normal 4 3 2 2 2 2 4 3" xfId="5571" xr:uid="{00000000-0005-0000-0000-000027140000}"/>
    <cellStyle name="Normal 4 3 2 2 2 2 4 3 2" xfId="22462" xr:uid="{6C3706C4-0932-4915-BF95-E6FC971F92CA}"/>
    <cellStyle name="Normal 4 3 2 2 2 2 4 3 3" xfId="14021" xr:uid="{EA3A3038-1634-4FC0-BB57-9720D30B7D36}"/>
    <cellStyle name="Normal 4 3 2 2 2 2 4 4" xfId="18244" xr:uid="{3A93F6BD-9FA2-4AAC-95D3-769A80E29A43}"/>
    <cellStyle name="Normal 4 3 2 2 2 2 4 5" xfId="9803" xr:uid="{6F21C9C6-EB45-4034-87E4-1FBB5CB04239}"/>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2 2 2" xfId="25020" xr:uid="{9F2B1F61-424F-4A1C-B23A-D4520A7A2E6B}"/>
    <cellStyle name="Normal 4 3 2 2 2 2 5 2 2 3" xfId="16579" xr:uid="{BCF29058-C4F7-43A5-8908-803B53A684C4}"/>
    <cellStyle name="Normal 4 3 2 2 2 2 5 2 3" xfId="20802" xr:uid="{5F48B9C7-2DC7-48EE-A44C-724D1E5EB11D}"/>
    <cellStyle name="Normal 4 3 2 2 2 2 5 2 4" xfId="12361" xr:uid="{38A8816C-20F8-4A87-9F39-BFBD61F58663}"/>
    <cellStyle name="Normal 4 3 2 2 2 2 5 3" xfId="5984" xr:uid="{00000000-0005-0000-0000-00002B140000}"/>
    <cellStyle name="Normal 4 3 2 2 2 2 5 3 2" xfId="22875" xr:uid="{3CFB48E2-2F16-4F9C-BF80-6D0FCF489F7C}"/>
    <cellStyle name="Normal 4 3 2 2 2 2 5 3 3" xfId="14434" xr:uid="{92CCAE21-9B8C-4BB4-95A1-91BD4183FC2A}"/>
    <cellStyle name="Normal 4 3 2 2 2 2 5 4" xfId="18657" xr:uid="{2E51D9A2-4199-48A1-AE4C-234D14EB473C}"/>
    <cellStyle name="Normal 4 3 2 2 2 2 5 5" xfId="10216" xr:uid="{9AEF2F47-E37F-42BA-8135-1D87AC7AAE7E}"/>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2 2 2" xfId="25433" xr:uid="{F63BD365-6C13-46B8-B6F8-C5C0067F392B}"/>
    <cellStyle name="Normal 4 3 2 2 2 2 6 2 2 3" xfId="16992" xr:uid="{4D91CEDD-F26A-4F0D-82C1-87E3E18FA57F}"/>
    <cellStyle name="Normal 4 3 2 2 2 2 6 2 3" xfId="21215" xr:uid="{F5FF1305-0E2B-469A-95F4-EEA6C0898212}"/>
    <cellStyle name="Normal 4 3 2 2 2 2 6 2 4" xfId="12774" xr:uid="{D79D08B6-CB99-4128-8C13-29E1CB46AC2A}"/>
    <cellStyle name="Normal 4 3 2 2 2 2 6 3" xfId="6397" xr:uid="{00000000-0005-0000-0000-00002F140000}"/>
    <cellStyle name="Normal 4 3 2 2 2 2 6 3 2" xfId="23288" xr:uid="{255B6203-8B55-40BA-A521-DE88C5583EEE}"/>
    <cellStyle name="Normal 4 3 2 2 2 2 6 3 3" xfId="14847" xr:uid="{75C09B03-BD8A-44C8-9D01-CE47AD5C7C04}"/>
    <cellStyle name="Normal 4 3 2 2 2 2 6 4" xfId="19070" xr:uid="{3F6E343C-7414-4869-9A4E-A295C124C42C}"/>
    <cellStyle name="Normal 4 3 2 2 2 2 6 5" xfId="10629" xr:uid="{0823763A-1845-4945-8287-BB827CC0DD3C}"/>
    <cellStyle name="Normal 4 3 2 2 2 2 7" xfId="2527" xr:uid="{00000000-0005-0000-0000-000030140000}"/>
    <cellStyle name="Normal 4 3 2 2 2 2 7 2" xfId="6810" xr:uid="{00000000-0005-0000-0000-000031140000}"/>
    <cellStyle name="Normal 4 3 2 2 2 2 7 2 2" xfId="23701" xr:uid="{935011D2-869D-490C-8879-47F833D66DC7}"/>
    <cellStyle name="Normal 4 3 2 2 2 2 7 2 3" xfId="15260" xr:uid="{8D08FD89-5459-40E9-B3A2-4FA6806A90F5}"/>
    <cellStyle name="Normal 4 3 2 2 2 2 7 3" xfId="19483" xr:uid="{D9B979CB-2138-4D21-8B03-6F28D5358A2E}"/>
    <cellStyle name="Normal 4 3 2 2 2 2 7 4" xfId="11042" xr:uid="{4A489B9F-9694-4379-A17D-119983E84B1F}"/>
    <cellStyle name="Normal 4 3 2 2 2 2 8" xfId="4745" xr:uid="{00000000-0005-0000-0000-000032140000}"/>
    <cellStyle name="Normal 4 3 2 2 2 2 8 2" xfId="21636" xr:uid="{9AA46702-96A0-4295-95FE-64283A7B0080}"/>
    <cellStyle name="Normal 4 3 2 2 2 2 8 3" xfId="13195" xr:uid="{CD7CAA72-DB12-4CDE-B097-23CE252212FF}"/>
    <cellStyle name="Normal 4 3 2 2 2 2 9" xfId="17418" xr:uid="{4E1D0FE4-3EC0-48DC-8353-4F0C037EB50A}"/>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2 2 2" xfId="24196" xr:uid="{0A5A004F-E9CF-4F96-ACAF-2F5AEF4DF601}"/>
    <cellStyle name="Normal 4 3 2 2 2 3 2 2 2 3" xfId="15755" xr:uid="{371F033D-1697-4986-81B6-32826BC02123}"/>
    <cellStyle name="Normal 4 3 2 2 2 3 2 2 3" xfId="19978" xr:uid="{7A87C2D5-4AEE-406F-9DAB-54D9A625839E}"/>
    <cellStyle name="Normal 4 3 2 2 2 3 2 2 4" xfId="11537" xr:uid="{11368867-E862-47DE-84DA-6A00C1A60A54}"/>
    <cellStyle name="Normal 4 3 2 2 2 3 2 3" xfId="5160" xr:uid="{00000000-0005-0000-0000-000037140000}"/>
    <cellStyle name="Normal 4 3 2 2 2 3 2 3 2" xfId="22051" xr:uid="{BBCF42F2-CCC8-4F1E-8C35-5CEF9FAD2D5E}"/>
    <cellStyle name="Normal 4 3 2 2 2 3 2 3 3" xfId="13610" xr:uid="{AECCC892-B9B0-40B3-A536-E3B1864C3003}"/>
    <cellStyle name="Normal 4 3 2 2 2 3 2 4" xfId="17833" xr:uid="{AFBFBA66-18C2-4B77-9AEC-8D394BA8AFFF}"/>
    <cellStyle name="Normal 4 3 2 2 2 3 2 5" xfId="9392" xr:uid="{3EC959B9-3FE7-42ED-AA6F-0F8CE6ABC62B}"/>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2 2 2" xfId="24609" xr:uid="{21C3C2DA-888D-4C2C-AC02-F0A861B21642}"/>
    <cellStyle name="Normal 4 3 2 2 2 3 3 2 2 3" xfId="16168" xr:uid="{983F8C12-50F5-4D8C-B1DB-DE56047CBFFF}"/>
    <cellStyle name="Normal 4 3 2 2 2 3 3 2 3" xfId="20391" xr:uid="{23156BA7-EFBE-4937-8911-2BE6D033175F}"/>
    <cellStyle name="Normal 4 3 2 2 2 3 3 2 4" xfId="11950" xr:uid="{0C26342D-BE17-41E5-85CE-907B967F826A}"/>
    <cellStyle name="Normal 4 3 2 2 2 3 3 3" xfId="5573" xr:uid="{00000000-0005-0000-0000-00003B140000}"/>
    <cellStyle name="Normal 4 3 2 2 2 3 3 3 2" xfId="22464" xr:uid="{8B42CF35-CEDA-4BAE-84ED-8780F8AE89CC}"/>
    <cellStyle name="Normal 4 3 2 2 2 3 3 3 3" xfId="14023" xr:uid="{075D5344-006C-4FB6-A00D-97FD9FC1C861}"/>
    <cellStyle name="Normal 4 3 2 2 2 3 3 4" xfId="18246" xr:uid="{1253651D-FAB6-4681-B812-98B7DAA3A5F6}"/>
    <cellStyle name="Normal 4 3 2 2 2 3 3 5" xfId="9805" xr:uid="{E2529278-2E16-4AF3-A44D-815FCD102584}"/>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2 2 2" xfId="25022" xr:uid="{1118D1EA-7C11-4C51-9810-42D20B7F866B}"/>
    <cellStyle name="Normal 4 3 2 2 2 3 4 2 2 3" xfId="16581" xr:uid="{2FE2F74B-48B4-4A67-91A4-6832CD9BB9E4}"/>
    <cellStyle name="Normal 4 3 2 2 2 3 4 2 3" xfId="20804" xr:uid="{359919CE-7A4A-41A6-ABF3-59F6FD4975B2}"/>
    <cellStyle name="Normal 4 3 2 2 2 3 4 2 4" xfId="12363" xr:uid="{09FB52F0-8786-4D97-899C-D6AB9215DDA8}"/>
    <cellStyle name="Normal 4 3 2 2 2 3 4 3" xfId="5986" xr:uid="{00000000-0005-0000-0000-00003F140000}"/>
    <cellStyle name="Normal 4 3 2 2 2 3 4 3 2" xfId="22877" xr:uid="{CFA323BE-64A6-475E-B445-7EFD2877F411}"/>
    <cellStyle name="Normal 4 3 2 2 2 3 4 3 3" xfId="14436" xr:uid="{69554DCC-1892-4B4E-A62B-1AA665AE9167}"/>
    <cellStyle name="Normal 4 3 2 2 2 3 4 4" xfId="18659" xr:uid="{FACFE584-CEF5-4DA9-87D6-62361DD3B371}"/>
    <cellStyle name="Normal 4 3 2 2 2 3 4 5" xfId="10218" xr:uid="{05E6170C-BA86-4E54-84E7-BB0337F99164}"/>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2 2 2" xfId="25435" xr:uid="{2537D748-11E9-4C0C-9171-D6364B8DCD84}"/>
    <cellStyle name="Normal 4 3 2 2 2 3 5 2 2 3" xfId="16994" xr:uid="{153FDB87-1AC6-4E1D-9967-5AEFD6523D58}"/>
    <cellStyle name="Normal 4 3 2 2 2 3 5 2 3" xfId="21217" xr:uid="{A760C59D-2E11-418E-99C8-594BBA240F6D}"/>
    <cellStyle name="Normal 4 3 2 2 2 3 5 2 4" xfId="12776" xr:uid="{2FC14380-7756-4C42-BF0F-52CE96E4E3AB}"/>
    <cellStyle name="Normal 4 3 2 2 2 3 5 3" xfId="6399" xr:uid="{00000000-0005-0000-0000-000043140000}"/>
    <cellStyle name="Normal 4 3 2 2 2 3 5 3 2" xfId="23290" xr:uid="{879BCAEA-5A68-4C49-9841-D6224E955F7C}"/>
    <cellStyle name="Normal 4 3 2 2 2 3 5 3 3" xfId="14849" xr:uid="{5D996A36-CA77-4BC6-BD2B-33B12AF1875D}"/>
    <cellStyle name="Normal 4 3 2 2 2 3 5 4" xfId="19072" xr:uid="{35585E8A-BDF8-4695-98E5-93CD4F94F855}"/>
    <cellStyle name="Normal 4 3 2 2 2 3 5 5" xfId="10631" xr:uid="{DAA902CA-3891-452B-91C2-9BA1334A9BD9}"/>
    <cellStyle name="Normal 4 3 2 2 2 3 6" xfId="2529" xr:uid="{00000000-0005-0000-0000-000044140000}"/>
    <cellStyle name="Normal 4 3 2 2 2 3 6 2" xfId="6812" xr:uid="{00000000-0005-0000-0000-000045140000}"/>
    <cellStyle name="Normal 4 3 2 2 2 3 6 2 2" xfId="23703" xr:uid="{4CB68DF0-C24A-48F3-A498-8E359A2D6B54}"/>
    <cellStyle name="Normal 4 3 2 2 2 3 6 2 3" xfId="15262" xr:uid="{3B0F43DA-2073-409C-898F-D328F3892297}"/>
    <cellStyle name="Normal 4 3 2 2 2 3 6 3" xfId="19485" xr:uid="{A7465C3A-A934-4224-A742-AC5B72164BD6}"/>
    <cellStyle name="Normal 4 3 2 2 2 3 6 4" xfId="11044" xr:uid="{D56F92B6-54DF-47E1-BAE3-25D9012572B5}"/>
    <cellStyle name="Normal 4 3 2 2 2 3 7" xfId="4747" xr:uid="{00000000-0005-0000-0000-000046140000}"/>
    <cellStyle name="Normal 4 3 2 2 2 3 7 2" xfId="21638" xr:uid="{598746B6-A1D1-40AF-965C-433C73FF1DB5}"/>
    <cellStyle name="Normal 4 3 2 2 2 3 7 3" xfId="13197" xr:uid="{013F358A-DEA3-42CC-A69C-C715E38745D0}"/>
    <cellStyle name="Normal 4 3 2 2 2 3 8" xfId="17420" xr:uid="{A8CB8863-D076-4BE8-A35E-1471E398AF28}"/>
    <cellStyle name="Normal 4 3 2 2 2 3 9" xfId="8979" xr:uid="{6BFB92BE-DA2B-47D2-802A-8E37923692C5}"/>
    <cellStyle name="Normal 4 3 2 2 2 4" xfId="844" xr:uid="{00000000-0005-0000-0000-000047140000}"/>
    <cellStyle name="Normal 4 3 2 2 2 4 2" xfId="3080" xr:uid="{00000000-0005-0000-0000-000048140000}"/>
    <cellStyle name="Normal 4 3 2 2 2 4 2 2" xfId="7302" xr:uid="{00000000-0005-0000-0000-000049140000}"/>
    <cellStyle name="Normal 4 3 2 2 2 4 2 2 2" xfId="24193" xr:uid="{DC4D7F53-5CF2-4294-A434-A67C2C005508}"/>
    <cellStyle name="Normal 4 3 2 2 2 4 2 2 3" xfId="15752" xr:uid="{80A8C8EE-201B-44D1-840B-1BBE418CC61A}"/>
    <cellStyle name="Normal 4 3 2 2 2 4 2 3" xfId="19975" xr:uid="{C3D833A2-A23A-4199-B3B4-490C03A4C8C3}"/>
    <cellStyle name="Normal 4 3 2 2 2 4 2 4" xfId="11534" xr:uid="{97FEAD17-106F-4E33-9557-DFE9CB6FDDF4}"/>
    <cellStyle name="Normal 4 3 2 2 2 4 3" xfId="5157" xr:uid="{00000000-0005-0000-0000-00004A140000}"/>
    <cellStyle name="Normal 4 3 2 2 2 4 3 2" xfId="22048" xr:uid="{E3273FDF-2330-4361-B3D7-5E68F807492E}"/>
    <cellStyle name="Normal 4 3 2 2 2 4 3 3" xfId="13607" xr:uid="{1675100C-4D13-4F15-A73A-E852B63B4D75}"/>
    <cellStyle name="Normal 4 3 2 2 2 4 4" xfId="17830" xr:uid="{63EBFE20-BFB8-4F9B-973F-8FABC5351716}"/>
    <cellStyle name="Normal 4 3 2 2 2 4 5" xfId="9389" xr:uid="{00848101-6296-4106-90B3-365FE901FB61}"/>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2 2 2" xfId="24606" xr:uid="{6B1EB8D7-AC57-458F-B732-B37E0F024142}"/>
    <cellStyle name="Normal 4 3 2 2 2 5 2 2 3" xfId="16165" xr:uid="{745EF82E-4736-467F-8DD5-D14A9A72597A}"/>
    <cellStyle name="Normal 4 3 2 2 2 5 2 3" xfId="20388" xr:uid="{66780109-0500-4D2F-B822-6868CD144323}"/>
    <cellStyle name="Normal 4 3 2 2 2 5 2 4" xfId="11947" xr:uid="{DD8AE20A-C0E2-4B79-B486-16C0BA946C34}"/>
    <cellStyle name="Normal 4 3 2 2 2 5 3" xfId="5570" xr:uid="{00000000-0005-0000-0000-00004E140000}"/>
    <cellStyle name="Normal 4 3 2 2 2 5 3 2" xfId="22461" xr:uid="{E558E569-978D-48EE-853B-B6ED58285FAA}"/>
    <cellStyle name="Normal 4 3 2 2 2 5 3 3" xfId="14020" xr:uid="{1B7A494F-F3A6-436C-B836-CE010D7C6674}"/>
    <cellStyle name="Normal 4 3 2 2 2 5 4" xfId="18243" xr:uid="{A005916A-83D7-434D-B4B7-A948DFAF3D6D}"/>
    <cellStyle name="Normal 4 3 2 2 2 5 5" xfId="9802" xr:uid="{6AF7FAD1-EEC8-47E4-AD24-1EF85330330B}"/>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2 2 2" xfId="25019" xr:uid="{7EC26913-4E3E-4188-A00D-D99FF8920883}"/>
    <cellStyle name="Normal 4 3 2 2 2 6 2 2 3" xfId="16578" xr:uid="{5883BBB9-0259-4ED0-AC5B-9887546BF8D3}"/>
    <cellStyle name="Normal 4 3 2 2 2 6 2 3" xfId="20801" xr:uid="{61F0FC4F-7E33-47DD-9672-EE27982E3DF5}"/>
    <cellStyle name="Normal 4 3 2 2 2 6 2 4" xfId="12360" xr:uid="{1B4C03A9-F28A-4954-B67A-2943A0B77D41}"/>
    <cellStyle name="Normal 4 3 2 2 2 6 3" xfId="5983" xr:uid="{00000000-0005-0000-0000-000052140000}"/>
    <cellStyle name="Normal 4 3 2 2 2 6 3 2" xfId="22874" xr:uid="{B0F30603-055F-48A7-97C0-9CFE017F3CF8}"/>
    <cellStyle name="Normal 4 3 2 2 2 6 3 3" xfId="14433" xr:uid="{1614C58E-73A2-4684-8A17-C6936CE980D9}"/>
    <cellStyle name="Normal 4 3 2 2 2 6 4" xfId="18656" xr:uid="{5B23D453-D2A4-4689-9220-DC6AEE0FF0B7}"/>
    <cellStyle name="Normal 4 3 2 2 2 6 5" xfId="10215" xr:uid="{93C137A9-CD88-4113-AB68-BE3AB43A6622}"/>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2 2 2" xfId="25432" xr:uid="{184E8355-FC06-4FFC-A518-373EE19CB05E}"/>
    <cellStyle name="Normal 4 3 2 2 2 7 2 2 3" xfId="16991" xr:uid="{2DE7A981-7DA9-47A6-93A2-93E826168D17}"/>
    <cellStyle name="Normal 4 3 2 2 2 7 2 3" xfId="21214" xr:uid="{C1AF0070-6ACB-4A96-B892-6C6EE23FF5CA}"/>
    <cellStyle name="Normal 4 3 2 2 2 7 2 4" xfId="12773" xr:uid="{D34B4B54-B1A2-4DC0-B0ED-F1F84DC38DF3}"/>
    <cellStyle name="Normal 4 3 2 2 2 7 3" xfId="6396" xr:uid="{00000000-0005-0000-0000-000056140000}"/>
    <cellStyle name="Normal 4 3 2 2 2 7 3 2" xfId="23287" xr:uid="{29DC5F18-1860-4261-BF2F-DB4B5C2F980A}"/>
    <cellStyle name="Normal 4 3 2 2 2 7 3 3" xfId="14846" xr:uid="{C445A4BA-EA5F-4047-853E-DB5C28532229}"/>
    <cellStyle name="Normal 4 3 2 2 2 7 4" xfId="19069" xr:uid="{8F5AD86E-2DF9-4BB6-9FC3-CE24F0E8F9CC}"/>
    <cellStyle name="Normal 4 3 2 2 2 7 5" xfId="10628" xr:uid="{F723B341-5FC0-4C62-BDF8-370CC501BDE6}"/>
    <cellStyle name="Normal 4 3 2 2 2 8" xfId="2526" xr:uid="{00000000-0005-0000-0000-000057140000}"/>
    <cellStyle name="Normal 4 3 2 2 2 8 2" xfId="6809" xr:uid="{00000000-0005-0000-0000-000058140000}"/>
    <cellStyle name="Normal 4 3 2 2 2 8 2 2" xfId="23700" xr:uid="{594C7057-0994-4765-921F-55A6194A81E8}"/>
    <cellStyle name="Normal 4 3 2 2 2 8 2 3" xfId="15259" xr:uid="{D0543CAC-1317-4BBF-B010-1532F0111E9F}"/>
    <cellStyle name="Normal 4 3 2 2 2 8 3" xfId="19482" xr:uid="{84BDA02F-0C87-4238-8A7F-6068F741D342}"/>
    <cellStyle name="Normal 4 3 2 2 2 8 4" xfId="11041" xr:uid="{DF16B913-9D0E-4EDD-A377-2C2A1B6754BE}"/>
    <cellStyle name="Normal 4 3 2 2 2 9" xfId="4744" xr:uid="{00000000-0005-0000-0000-000059140000}"/>
    <cellStyle name="Normal 4 3 2 2 2 9 2" xfId="21635" xr:uid="{16E0F904-215A-41EF-928A-D0DBD80AEA07}"/>
    <cellStyle name="Normal 4 3 2 2 2 9 3" xfId="13194" xr:uid="{5FE6AE2A-A6A8-4A5D-B873-8DF705EBE9F9}"/>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17421" xr:uid="{5289E7F7-5D3A-4C1C-84EB-47F0A794499D}"/>
    <cellStyle name="Normal 4 3 3 11" xfId="8980" xr:uid="{FEEE2F10-55B9-42E4-9711-C7DE2A1C93AA}"/>
    <cellStyle name="Normal 4 3 3 2" xfId="375" xr:uid="{00000000-0005-0000-0000-00005E140000}"/>
    <cellStyle name="Normal 4 3 3 2 10" xfId="8981" xr:uid="{55E3179C-E5F4-4106-B9BD-9F3E25A9DE53}"/>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2 2 2" xfId="24199" xr:uid="{EE1BF162-1354-43C9-A8B6-B474E3B52780}"/>
    <cellStyle name="Normal 4 3 3 2 2 2 2 2 3" xfId="15758" xr:uid="{EEC29F15-30B9-46D8-BB35-3D7ED7239F4A}"/>
    <cellStyle name="Normal 4 3 3 2 2 2 2 3" xfId="19981" xr:uid="{2B024540-F5A2-402D-ADC8-6DF07E05F646}"/>
    <cellStyle name="Normal 4 3 3 2 2 2 2 4" xfId="11540" xr:uid="{901D1768-9FD9-41FA-8A06-97558D003A4E}"/>
    <cellStyle name="Normal 4 3 3 2 2 2 3" xfId="5163" xr:uid="{00000000-0005-0000-0000-000063140000}"/>
    <cellStyle name="Normal 4 3 3 2 2 2 3 2" xfId="22054" xr:uid="{A00C194F-2567-4F2F-93ED-B6088AE85579}"/>
    <cellStyle name="Normal 4 3 3 2 2 2 3 3" xfId="13613" xr:uid="{3145D41A-7627-447F-9D5A-724EA600A223}"/>
    <cellStyle name="Normal 4 3 3 2 2 2 4" xfId="17836" xr:uid="{798C7729-7A71-45EA-9FC2-03C4D9F489D9}"/>
    <cellStyle name="Normal 4 3 3 2 2 2 5" xfId="9395" xr:uid="{E80066E5-D4BA-441A-8D49-266C1DD684CD}"/>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2 2 2" xfId="24612" xr:uid="{6FDDB3EF-F9C9-4FB0-B700-93ADF90DCFD6}"/>
    <cellStyle name="Normal 4 3 3 2 2 3 2 2 3" xfId="16171" xr:uid="{E6EF2FB1-05C7-4B1D-8672-91DBF068A3F1}"/>
    <cellStyle name="Normal 4 3 3 2 2 3 2 3" xfId="20394" xr:uid="{FBB5506F-A405-4B8B-926B-E10483F8C7D9}"/>
    <cellStyle name="Normal 4 3 3 2 2 3 2 4" xfId="11953" xr:uid="{3752C20A-3D46-46EC-B6C6-F419DA50680E}"/>
    <cellStyle name="Normal 4 3 3 2 2 3 3" xfId="5576" xr:uid="{00000000-0005-0000-0000-000067140000}"/>
    <cellStyle name="Normal 4 3 3 2 2 3 3 2" xfId="22467" xr:uid="{D8D1D3A5-38E3-4BAC-9D39-FF640DF7D2B2}"/>
    <cellStyle name="Normal 4 3 3 2 2 3 3 3" xfId="14026" xr:uid="{BD44D3D1-9D12-4946-9FE4-BC49C5944F2F}"/>
    <cellStyle name="Normal 4 3 3 2 2 3 4" xfId="18249" xr:uid="{0717062B-9842-49B0-BB2F-4B5795E90332}"/>
    <cellStyle name="Normal 4 3 3 2 2 3 5" xfId="9808" xr:uid="{1C358113-52C8-4EFA-B49D-4CA780A43E1A}"/>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2 2 2" xfId="25025" xr:uid="{0114CC51-26D6-49CA-AE59-D33D13DFEBC2}"/>
    <cellStyle name="Normal 4 3 3 2 2 4 2 2 3" xfId="16584" xr:uid="{76872152-D6FB-4993-854C-2FAD20406B23}"/>
    <cellStyle name="Normal 4 3 3 2 2 4 2 3" xfId="20807" xr:uid="{A44559DF-D015-408E-9334-E440D466A5CE}"/>
    <cellStyle name="Normal 4 3 3 2 2 4 2 4" xfId="12366" xr:uid="{22C5AA77-5E4D-4388-80F5-80AA0E04EE54}"/>
    <cellStyle name="Normal 4 3 3 2 2 4 3" xfId="5989" xr:uid="{00000000-0005-0000-0000-00006B140000}"/>
    <cellStyle name="Normal 4 3 3 2 2 4 3 2" xfId="22880" xr:uid="{8F56EEC1-B2E3-48FF-8EBD-7F7F35A5C7BE}"/>
    <cellStyle name="Normal 4 3 3 2 2 4 3 3" xfId="14439" xr:uid="{829543F3-E973-49C4-B828-E7B4F196AC3A}"/>
    <cellStyle name="Normal 4 3 3 2 2 4 4" xfId="18662" xr:uid="{39610CC5-CC5D-44E1-870F-A7C2527801B6}"/>
    <cellStyle name="Normal 4 3 3 2 2 4 5" xfId="10221" xr:uid="{ABD7A213-81FA-4DBE-8615-54270ED84DF8}"/>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2 2 2" xfId="25438" xr:uid="{1484F441-A6D0-4457-9BEC-C4A4474E1754}"/>
    <cellStyle name="Normal 4 3 3 2 2 5 2 2 3" xfId="16997" xr:uid="{F93A5CB9-F977-4447-B3E5-B1824997270D}"/>
    <cellStyle name="Normal 4 3 3 2 2 5 2 3" xfId="21220" xr:uid="{2EFC051B-106D-40F2-B8DF-8348A381BC18}"/>
    <cellStyle name="Normal 4 3 3 2 2 5 2 4" xfId="12779" xr:uid="{B7028602-54AD-4A8B-A1CB-BBFF72FDD882}"/>
    <cellStyle name="Normal 4 3 3 2 2 5 3" xfId="6402" xr:uid="{00000000-0005-0000-0000-00006F140000}"/>
    <cellStyle name="Normal 4 3 3 2 2 5 3 2" xfId="23293" xr:uid="{0B61B3E3-0EEA-4B4F-AD77-B6FE5FECE83E}"/>
    <cellStyle name="Normal 4 3 3 2 2 5 3 3" xfId="14852" xr:uid="{7492212F-BA54-435F-8DD2-92FA44DC4605}"/>
    <cellStyle name="Normal 4 3 3 2 2 5 4" xfId="19075" xr:uid="{09EC18DF-1BD2-407B-A408-225BA8ABD5DB}"/>
    <cellStyle name="Normal 4 3 3 2 2 5 5" xfId="10634" xr:uid="{D201B545-70AA-44AC-8C4B-0373CE4B0069}"/>
    <cellStyle name="Normal 4 3 3 2 2 6" xfId="2532" xr:uid="{00000000-0005-0000-0000-000070140000}"/>
    <cellStyle name="Normal 4 3 3 2 2 6 2" xfId="6815" xr:uid="{00000000-0005-0000-0000-000071140000}"/>
    <cellStyle name="Normal 4 3 3 2 2 6 2 2" xfId="23706" xr:uid="{4F948E92-262A-4FFD-9117-D8505B700825}"/>
    <cellStyle name="Normal 4 3 3 2 2 6 2 3" xfId="15265" xr:uid="{5375ABA9-B870-473D-9B6D-2C72D0AB85D2}"/>
    <cellStyle name="Normal 4 3 3 2 2 6 3" xfId="19488" xr:uid="{A534471A-98AD-4461-846C-1D4ECF62A26E}"/>
    <cellStyle name="Normal 4 3 3 2 2 6 4" xfId="11047" xr:uid="{D6E4B8A1-E4D4-448F-A267-A895130D25B7}"/>
    <cellStyle name="Normal 4 3 3 2 2 7" xfId="4750" xr:uid="{00000000-0005-0000-0000-000072140000}"/>
    <cellStyle name="Normal 4 3 3 2 2 7 2" xfId="21641" xr:uid="{ED0BBF9C-8B1F-4A98-A012-509FAA4E8715}"/>
    <cellStyle name="Normal 4 3 3 2 2 7 3" xfId="13200" xr:uid="{0072596D-B919-4B37-B027-9E1904383E3F}"/>
    <cellStyle name="Normal 4 3 3 2 2 8" xfId="17423" xr:uid="{F55F4B74-A99A-40EC-B2D9-82F9B13D9568}"/>
    <cellStyle name="Normal 4 3 3 2 2 9" xfId="8982" xr:uid="{DF5DBA22-A405-47BC-A88F-DF9753405ED9}"/>
    <cellStyle name="Normal 4 3 3 2 3" xfId="850" xr:uid="{00000000-0005-0000-0000-000073140000}"/>
    <cellStyle name="Normal 4 3 3 2 3 2" xfId="3085" xr:uid="{00000000-0005-0000-0000-000074140000}"/>
    <cellStyle name="Normal 4 3 3 2 3 2 2" xfId="7307" xr:uid="{00000000-0005-0000-0000-000075140000}"/>
    <cellStyle name="Normal 4 3 3 2 3 2 2 2" xfId="24198" xr:uid="{B68F819A-77C5-410B-BD4C-3E6D1788C215}"/>
    <cellStyle name="Normal 4 3 3 2 3 2 2 3" xfId="15757" xr:uid="{909DF5F0-BB9D-4375-BAFC-8E188FE15272}"/>
    <cellStyle name="Normal 4 3 3 2 3 2 3" xfId="19980" xr:uid="{ABC1CCB2-989B-4F35-A400-CF75F8F0391E}"/>
    <cellStyle name="Normal 4 3 3 2 3 2 4" xfId="11539" xr:uid="{EC1E32B4-C890-442C-B1E8-3436993994EA}"/>
    <cellStyle name="Normal 4 3 3 2 3 3" xfId="5162" xr:uid="{00000000-0005-0000-0000-000076140000}"/>
    <cellStyle name="Normal 4 3 3 2 3 3 2" xfId="22053" xr:uid="{65798815-59CF-4E0E-ADCB-9D880F1FA28F}"/>
    <cellStyle name="Normal 4 3 3 2 3 3 3" xfId="13612" xr:uid="{45433A80-BDC6-4864-9627-99C50B410D80}"/>
    <cellStyle name="Normal 4 3 3 2 3 4" xfId="17835" xr:uid="{4E2E7685-3B96-4F50-9E45-5218B3E35617}"/>
    <cellStyle name="Normal 4 3 3 2 3 5" xfId="9394" xr:uid="{99609556-FC5E-4F46-B7B4-51C27B8F3A7A}"/>
    <cellStyle name="Normal 4 3 3 2 4" xfId="1268" xr:uid="{00000000-0005-0000-0000-000077140000}"/>
    <cellStyle name="Normal 4 3 3 2 4 2" xfId="3498" xr:uid="{00000000-0005-0000-0000-000078140000}"/>
    <cellStyle name="Normal 4 3 3 2 4 2 2" xfId="7720" xr:uid="{00000000-0005-0000-0000-000079140000}"/>
    <cellStyle name="Normal 4 3 3 2 4 2 2 2" xfId="24611" xr:uid="{5E441797-FB60-4AA0-8534-AE44BEB9ABFA}"/>
    <cellStyle name="Normal 4 3 3 2 4 2 2 3" xfId="16170" xr:uid="{D336869C-A7F6-416F-BA48-38000B50D266}"/>
    <cellStyle name="Normal 4 3 3 2 4 2 3" xfId="20393" xr:uid="{7E4F7829-A473-4DF0-90BB-051CF2995B97}"/>
    <cellStyle name="Normal 4 3 3 2 4 2 4" xfId="11952" xr:uid="{434B9AF0-080D-4D2D-93A9-88E6C576A354}"/>
    <cellStyle name="Normal 4 3 3 2 4 3" xfId="5575" xr:uid="{00000000-0005-0000-0000-00007A140000}"/>
    <cellStyle name="Normal 4 3 3 2 4 3 2" xfId="22466" xr:uid="{08ACE6FF-CE76-43EC-8D07-7662DAC0386C}"/>
    <cellStyle name="Normal 4 3 3 2 4 3 3" xfId="14025" xr:uid="{22CA6925-5B74-41C9-B113-7F8D685E0E99}"/>
    <cellStyle name="Normal 4 3 3 2 4 4" xfId="18248" xr:uid="{3256C1CB-D985-49ED-9EE6-80821445EAE6}"/>
    <cellStyle name="Normal 4 3 3 2 4 5" xfId="9807" xr:uid="{835DB263-6D93-444C-8AA8-27F6F71F6219}"/>
    <cellStyle name="Normal 4 3 3 2 5" xfId="1681" xr:uid="{00000000-0005-0000-0000-00007B140000}"/>
    <cellStyle name="Normal 4 3 3 2 5 2" xfId="3911" xr:uid="{00000000-0005-0000-0000-00007C140000}"/>
    <cellStyle name="Normal 4 3 3 2 5 2 2" xfId="8133" xr:uid="{00000000-0005-0000-0000-00007D140000}"/>
    <cellStyle name="Normal 4 3 3 2 5 2 2 2" xfId="25024" xr:uid="{B4A983AE-E855-49FB-A837-ABD80A3A7410}"/>
    <cellStyle name="Normal 4 3 3 2 5 2 2 3" xfId="16583" xr:uid="{00F2C683-1746-49E1-9DBE-8A6DCE564B8F}"/>
    <cellStyle name="Normal 4 3 3 2 5 2 3" xfId="20806" xr:uid="{532440BD-19E5-435C-9AAB-61E8CA2507B1}"/>
    <cellStyle name="Normal 4 3 3 2 5 2 4" xfId="12365" xr:uid="{19E2381B-4BFA-4CBE-9B28-0B263C96AAE6}"/>
    <cellStyle name="Normal 4 3 3 2 5 3" xfId="5988" xr:uid="{00000000-0005-0000-0000-00007E140000}"/>
    <cellStyle name="Normal 4 3 3 2 5 3 2" xfId="22879" xr:uid="{91903A5A-0BAC-4A1A-80EA-C1FBF4F73608}"/>
    <cellStyle name="Normal 4 3 3 2 5 3 3" xfId="14438" xr:uid="{7D26D5E8-27EC-4BA4-9F8D-47775A015B15}"/>
    <cellStyle name="Normal 4 3 3 2 5 4" xfId="18661" xr:uid="{C5E0E058-C937-48ED-B02C-3B3B43ADA56A}"/>
    <cellStyle name="Normal 4 3 3 2 5 5" xfId="10220" xr:uid="{F077458B-76C7-4717-98E8-8F589D49AC40}"/>
    <cellStyle name="Normal 4 3 3 2 6" xfId="2095" xr:uid="{00000000-0005-0000-0000-00007F140000}"/>
    <cellStyle name="Normal 4 3 3 2 6 2" xfId="4324" xr:uid="{00000000-0005-0000-0000-000080140000}"/>
    <cellStyle name="Normal 4 3 3 2 6 2 2" xfId="8546" xr:uid="{00000000-0005-0000-0000-000081140000}"/>
    <cellStyle name="Normal 4 3 3 2 6 2 2 2" xfId="25437" xr:uid="{05FB4CC3-237B-4A32-9098-5FB36B4CB412}"/>
    <cellStyle name="Normal 4 3 3 2 6 2 2 3" xfId="16996" xr:uid="{BAEEE91C-A492-4631-962A-C004B00C8678}"/>
    <cellStyle name="Normal 4 3 3 2 6 2 3" xfId="21219" xr:uid="{36F4B009-EAF5-4DCD-A349-7C3C17EB1D06}"/>
    <cellStyle name="Normal 4 3 3 2 6 2 4" xfId="12778" xr:uid="{C6974A37-1301-4D73-B90F-F510A3B1ABA4}"/>
    <cellStyle name="Normal 4 3 3 2 6 3" xfId="6401" xr:uid="{00000000-0005-0000-0000-000082140000}"/>
    <cellStyle name="Normal 4 3 3 2 6 3 2" xfId="23292" xr:uid="{19ED1993-6140-4A7A-9359-FBAF8064AE6F}"/>
    <cellStyle name="Normal 4 3 3 2 6 3 3" xfId="14851" xr:uid="{F3164E7D-7CFB-433C-82B2-8DEEBA9375F1}"/>
    <cellStyle name="Normal 4 3 3 2 6 4" xfId="19074" xr:uid="{D1DDF82A-D015-4F51-89F7-5BE5BC1F21FC}"/>
    <cellStyle name="Normal 4 3 3 2 6 5" xfId="10633" xr:uid="{F00F7514-1969-4D4C-9190-6FFDE8F383B0}"/>
    <cellStyle name="Normal 4 3 3 2 7" xfId="2531" xr:uid="{00000000-0005-0000-0000-000083140000}"/>
    <cellStyle name="Normal 4 3 3 2 7 2" xfId="6814" xr:uid="{00000000-0005-0000-0000-000084140000}"/>
    <cellStyle name="Normal 4 3 3 2 7 2 2" xfId="23705" xr:uid="{2CF7EEF7-7C55-471D-BC53-3F75B783AA43}"/>
    <cellStyle name="Normal 4 3 3 2 7 2 3" xfId="15264" xr:uid="{8B84A3BC-88A3-4959-8C89-D7306BF3262B}"/>
    <cellStyle name="Normal 4 3 3 2 7 3" xfId="19487" xr:uid="{18632495-AE64-4C33-A6CA-8A5815B9C2D2}"/>
    <cellStyle name="Normal 4 3 3 2 7 4" xfId="11046" xr:uid="{B1D65653-1BAD-4AC9-AF13-14C69C8D2326}"/>
    <cellStyle name="Normal 4 3 3 2 8" xfId="4749" xr:uid="{00000000-0005-0000-0000-000085140000}"/>
    <cellStyle name="Normal 4 3 3 2 8 2" xfId="21640" xr:uid="{4973ACB0-6134-4B0B-9F34-83A637E7C80E}"/>
    <cellStyle name="Normal 4 3 3 2 8 3" xfId="13199" xr:uid="{9C327E1E-62DB-4913-93BD-B8B83DD4C35A}"/>
    <cellStyle name="Normal 4 3 3 2 9" xfId="17422" xr:uid="{4953E893-BFC1-4F77-9A07-7BBCB56FF8ED}"/>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2 2 2" xfId="24200" xr:uid="{16691DC4-3819-48EE-B26C-019323AC2125}"/>
    <cellStyle name="Normal 4 3 3 3 2 2 2 3" xfId="15759" xr:uid="{CD4A3D9F-9AB1-491C-AE05-23BC5261CA8E}"/>
    <cellStyle name="Normal 4 3 3 3 2 2 3" xfId="19982" xr:uid="{F464A6C9-AF8D-4D0D-ACA3-1B98E9E6FADA}"/>
    <cellStyle name="Normal 4 3 3 3 2 2 4" xfId="11541" xr:uid="{69073B7D-504D-49D4-80E8-B77D49F85622}"/>
    <cellStyle name="Normal 4 3 3 3 2 3" xfId="5164" xr:uid="{00000000-0005-0000-0000-00008A140000}"/>
    <cellStyle name="Normal 4 3 3 3 2 3 2" xfId="22055" xr:uid="{9A1E4773-4C90-4F77-87C8-7A0501DA405A}"/>
    <cellStyle name="Normal 4 3 3 3 2 3 3" xfId="13614" xr:uid="{9BEB989A-06E8-4F28-B9A8-DCB664027B75}"/>
    <cellStyle name="Normal 4 3 3 3 2 4" xfId="17837" xr:uid="{1E4A0DB1-7B52-46C9-B032-B12F422584B1}"/>
    <cellStyle name="Normal 4 3 3 3 2 5" xfId="9396" xr:uid="{B8B96AE6-EB14-48F8-90CD-C95F68C64098}"/>
    <cellStyle name="Normal 4 3 3 3 3" xfId="1270" xr:uid="{00000000-0005-0000-0000-00008B140000}"/>
    <cellStyle name="Normal 4 3 3 3 3 2" xfId="3500" xr:uid="{00000000-0005-0000-0000-00008C140000}"/>
    <cellStyle name="Normal 4 3 3 3 3 2 2" xfId="7722" xr:uid="{00000000-0005-0000-0000-00008D140000}"/>
    <cellStyle name="Normal 4 3 3 3 3 2 2 2" xfId="24613" xr:uid="{1E867A94-6A9C-4908-8EAD-92B4820A2405}"/>
    <cellStyle name="Normal 4 3 3 3 3 2 2 3" xfId="16172" xr:uid="{0D30A0DE-9855-4DFF-9B27-B3DE7BB3F254}"/>
    <cellStyle name="Normal 4 3 3 3 3 2 3" xfId="20395" xr:uid="{C6BF3218-475B-47E3-98BA-40AA1406CAA8}"/>
    <cellStyle name="Normal 4 3 3 3 3 2 4" xfId="11954" xr:uid="{70428995-79EB-4977-9934-5244D70ADBFA}"/>
    <cellStyle name="Normal 4 3 3 3 3 3" xfId="5577" xr:uid="{00000000-0005-0000-0000-00008E140000}"/>
    <cellStyle name="Normal 4 3 3 3 3 3 2" xfId="22468" xr:uid="{217399C0-2333-4DF4-874E-24BC4D092053}"/>
    <cellStyle name="Normal 4 3 3 3 3 3 3" xfId="14027" xr:uid="{6E148E81-C07B-4EED-9115-78676234E1BE}"/>
    <cellStyle name="Normal 4 3 3 3 3 4" xfId="18250" xr:uid="{A6DE6AE2-8CE8-4E18-9A38-5FD0C7A4A0E8}"/>
    <cellStyle name="Normal 4 3 3 3 3 5" xfId="9809" xr:uid="{112D56CC-FE1F-46C3-8206-D424CC0EFCE2}"/>
    <cellStyle name="Normal 4 3 3 3 4" xfId="1683" xr:uid="{00000000-0005-0000-0000-00008F140000}"/>
    <cellStyle name="Normal 4 3 3 3 4 2" xfId="3913" xr:uid="{00000000-0005-0000-0000-000090140000}"/>
    <cellStyle name="Normal 4 3 3 3 4 2 2" xfId="8135" xr:uid="{00000000-0005-0000-0000-000091140000}"/>
    <cellStyle name="Normal 4 3 3 3 4 2 2 2" xfId="25026" xr:uid="{FA1DBEFC-5D82-4046-9584-0B819CA1CC7B}"/>
    <cellStyle name="Normal 4 3 3 3 4 2 2 3" xfId="16585" xr:uid="{980357BD-4919-4518-9B09-69B1066B4359}"/>
    <cellStyle name="Normal 4 3 3 3 4 2 3" xfId="20808" xr:uid="{14B897E1-D7AF-4434-90D2-EA20348CA807}"/>
    <cellStyle name="Normal 4 3 3 3 4 2 4" xfId="12367" xr:uid="{725A30AB-5D76-4D8F-BD24-C2BC4B043F22}"/>
    <cellStyle name="Normal 4 3 3 3 4 3" xfId="5990" xr:uid="{00000000-0005-0000-0000-000092140000}"/>
    <cellStyle name="Normal 4 3 3 3 4 3 2" xfId="22881" xr:uid="{5FE9FC5F-8E9C-400F-AE1E-C8EB8B70B377}"/>
    <cellStyle name="Normal 4 3 3 3 4 3 3" xfId="14440" xr:uid="{9CE2194C-2C38-46A8-8034-948CC2E10AA1}"/>
    <cellStyle name="Normal 4 3 3 3 4 4" xfId="18663" xr:uid="{0BC5DF47-0757-4FFD-A106-1B00B616C5B4}"/>
    <cellStyle name="Normal 4 3 3 3 4 5" xfId="10222" xr:uid="{9003B8C6-4F7F-4852-AD2C-A0D5863C9C92}"/>
    <cellStyle name="Normal 4 3 3 3 5" xfId="2097" xr:uid="{00000000-0005-0000-0000-000093140000}"/>
    <cellStyle name="Normal 4 3 3 3 5 2" xfId="4326" xr:uid="{00000000-0005-0000-0000-000094140000}"/>
    <cellStyle name="Normal 4 3 3 3 5 2 2" xfId="8548" xr:uid="{00000000-0005-0000-0000-000095140000}"/>
    <cellStyle name="Normal 4 3 3 3 5 2 2 2" xfId="25439" xr:uid="{F16AE47B-C021-4E8A-8F2E-B658FF4C0E99}"/>
    <cellStyle name="Normal 4 3 3 3 5 2 2 3" xfId="16998" xr:uid="{D9D47490-DB5B-452F-97D6-C7805B7B6B82}"/>
    <cellStyle name="Normal 4 3 3 3 5 2 3" xfId="21221" xr:uid="{D2E343D5-BA30-43DB-A0C2-F93F7B3402DF}"/>
    <cellStyle name="Normal 4 3 3 3 5 2 4" xfId="12780" xr:uid="{3FF6F74F-B21D-4FAE-9C92-3D4CA849E131}"/>
    <cellStyle name="Normal 4 3 3 3 5 3" xfId="6403" xr:uid="{00000000-0005-0000-0000-000096140000}"/>
    <cellStyle name="Normal 4 3 3 3 5 3 2" xfId="23294" xr:uid="{9F8F7872-AB36-429E-A1C9-78CE047D3B65}"/>
    <cellStyle name="Normal 4 3 3 3 5 3 3" xfId="14853" xr:uid="{ABB1F827-83BC-4951-A6C6-795C0888FAE0}"/>
    <cellStyle name="Normal 4 3 3 3 5 4" xfId="19076" xr:uid="{35ADB2C4-1BCA-406B-A536-B096F18EC956}"/>
    <cellStyle name="Normal 4 3 3 3 5 5" xfId="10635" xr:uid="{12329FB5-35D5-4B4B-A844-82FDC19BCDB2}"/>
    <cellStyle name="Normal 4 3 3 3 6" xfId="2533" xr:uid="{00000000-0005-0000-0000-000097140000}"/>
    <cellStyle name="Normal 4 3 3 3 6 2" xfId="6816" xr:uid="{00000000-0005-0000-0000-000098140000}"/>
    <cellStyle name="Normal 4 3 3 3 6 2 2" xfId="23707" xr:uid="{60FBD1B8-72D3-411E-B9D9-05548AB19C3C}"/>
    <cellStyle name="Normal 4 3 3 3 6 2 3" xfId="15266" xr:uid="{B1DA4548-C2B7-4463-AA68-E0556B34B32B}"/>
    <cellStyle name="Normal 4 3 3 3 6 3" xfId="19489" xr:uid="{62A4AD5A-8CDA-406F-848B-1D1FC42CF7E6}"/>
    <cellStyle name="Normal 4 3 3 3 6 4" xfId="11048" xr:uid="{5441CE85-A097-4477-B032-2E910C643A51}"/>
    <cellStyle name="Normal 4 3 3 3 7" xfId="4751" xr:uid="{00000000-0005-0000-0000-000099140000}"/>
    <cellStyle name="Normal 4 3 3 3 7 2" xfId="21642" xr:uid="{B9FED8C0-B169-415D-BD8B-CA13BA9C292D}"/>
    <cellStyle name="Normal 4 3 3 3 7 3" xfId="13201" xr:uid="{BADB74E6-5359-4132-BDA5-FE840306FE89}"/>
    <cellStyle name="Normal 4 3 3 3 8" xfId="17424" xr:uid="{80A2F6C9-C86F-4F1F-8B54-257D0574E4F2}"/>
    <cellStyle name="Normal 4 3 3 3 9" xfId="8983" xr:uid="{FEDCE3D1-74B1-4655-A8AB-03A3845E4195}"/>
    <cellStyle name="Normal 4 3 3 4" xfId="849" xr:uid="{00000000-0005-0000-0000-00009A140000}"/>
    <cellStyle name="Normal 4 3 3 4 2" xfId="3084" xr:uid="{00000000-0005-0000-0000-00009B140000}"/>
    <cellStyle name="Normal 4 3 3 4 2 2" xfId="7306" xr:uid="{00000000-0005-0000-0000-00009C140000}"/>
    <cellStyle name="Normal 4 3 3 4 2 2 2" xfId="24197" xr:uid="{DB1AED9F-82B0-416A-87BD-A12FB66C2212}"/>
    <cellStyle name="Normal 4 3 3 4 2 2 3" xfId="15756" xr:uid="{AB3C2C11-5634-4D8C-9020-690C8B8EB050}"/>
    <cellStyle name="Normal 4 3 3 4 2 3" xfId="19979" xr:uid="{1C0E2DCE-EDC3-4C69-A14F-2E5B46472B78}"/>
    <cellStyle name="Normal 4 3 3 4 2 4" xfId="11538" xr:uid="{16CD18E8-BACC-4805-B84B-840C0C6C6B6C}"/>
    <cellStyle name="Normal 4 3 3 4 3" xfId="5161" xr:uid="{00000000-0005-0000-0000-00009D140000}"/>
    <cellStyle name="Normal 4 3 3 4 3 2" xfId="22052" xr:uid="{ADAD28EA-9978-4D2B-BE64-EF5CE87C2A74}"/>
    <cellStyle name="Normal 4 3 3 4 3 3" xfId="13611" xr:uid="{9657CE57-B290-44C3-9BEB-01CC191B9B8A}"/>
    <cellStyle name="Normal 4 3 3 4 4" xfId="17834" xr:uid="{89DF45EE-DAD2-4852-B4D2-3E45DE0B92A1}"/>
    <cellStyle name="Normal 4 3 3 4 5" xfId="9393" xr:uid="{5CEEC68D-33F4-4A95-B8A0-C83796A37ECA}"/>
    <cellStyle name="Normal 4 3 3 5" xfId="1267" xr:uid="{00000000-0005-0000-0000-00009E140000}"/>
    <cellStyle name="Normal 4 3 3 5 2" xfId="3497" xr:uid="{00000000-0005-0000-0000-00009F140000}"/>
    <cellStyle name="Normal 4 3 3 5 2 2" xfId="7719" xr:uid="{00000000-0005-0000-0000-0000A0140000}"/>
    <cellStyle name="Normal 4 3 3 5 2 2 2" xfId="24610" xr:uid="{12C4BCA6-C6D8-4161-94A2-B40D794C0D60}"/>
    <cellStyle name="Normal 4 3 3 5 2 2 3" xfId="16169" xr:uid="{6DD157E6-BBAD-4298-9703-9D682676F16F}"/>
    <cellStyle name="Normal 4 3 3 5 2 3" xfId="20392" xr:uid="{C3F20C36-181F-4AA4-A900-EED65B807D23}"/>
    <cellStyle name="Normal 4 3 3 5 2 4" xfId="11951" xr:uid="{63E20CF9-A6B3-4881-A663-D12CDA916644}"/>
    <cellStyle name="Normal 4 3 3 5 3" xfId="5574" xr:uid="{00000000-0005-0000-0000-0000A1140000}"/>
    <cellStyle name="Normal 4 3 3 5 3 2" xfId="22465" xr:uid="{599F37C5-253B-4A77-9C98-38CF9A564665}"/>
    <cellStyle name="Normal 4 3 3 5 3 3" xfId="14024" xr:uid="{B7FA1C31-01B9-40F5-8395-444EF28D9610}"/>
    <cellStyle name="Normal 4 3 3 5 4" xfId="18247" xr:uid="{6CD66049-DD4C-4441-9C31-4887D797D51E}"/>
    <cellStyle name="Normal 4 3 3 5 5" xfId="9806" xr:uid="{EF859228-64B1-4E61-ABEF-652904F3E268}"/>
    <cellStyle name="Normal 4 3 3 6" xfId="1680" xr:uid="{00000000-0005-0000-0000-0000A2140000}"/>
    <cellStyle name="Normal 4 3 3 6 2" xfId="3910" xr:uid="{00000000-0005-0000-0000-0000A3140000}"/>
    <cellStyle name="Normal 4 3 3 6 2 2" xfId="8132" xr:uid="{00000000-0005-0000-0000-0000A4140000}"/>
    <cellStyle name="Normal 4 3 3 6 2 2 2" xfId="25023" xr:uid="{D1D54115-B588-4D81-BCC6-A7E64545740E}"/>
    <cellStyle name="Normal 4 3 3 6 2 2 3" xfId="16582" xr:uid="{DE0711BC-97C2-4B94-9087-40BD5219F9D8}"/>
    <cellStyle name="Normal 4 3 3 6 2 3" xfId="20805" xr:uid="{6428B1A3-B586-476E-9DC9-D667BF2D7161}"/>
    <cellStyle name="Normal 4 3 3 6 2 4" xfId="12364" xr:uid="{C3A9E87E-959A-441E-90F1-42A3B52FF329}"/>
    <cellStyle name="Normal 4 3 3 6 3" xfId="5987" xr:uid="{00000000-0005-0000-0000-0000A5140000}"/>
    <cellStyle name="Normal 4 3 3 6 3 2" xfId="22878" xr:uid="{E541F2BF-F315-45E0-838E-E3584D72D037}"/>
    <cellStyle name="Normal 4 3 3 6 3 3" xfId="14437" xr:uid="{08985907-7601-42BB-A62D-AD630E567444}"/>
    <cellStyle name="Normal 4 3 3 6 4" xfId="18660" xr:uid="{04B2C548-1546-4D11-B5A4-87DA7F58762B}"/>
    <cellStyle name="Normal 4 3 3 6 5" xfId="10219" xr:uid="{99FEC10A-379D-45ED-AD47-912967D91A78}"/>
    <cellStyle name="Normal 4 3 3 7" xfId="2094" xr:uid="{00000000-0005-0000-0000-0000A6140000}"/>
    <cellStyle name="Normal 4 3 3 7 2" xfId="4323" xr:uid="{00000000-0005-0000-0000-0000A7140000}"/>
    <cellStyle name="Normal 4 3 3 7 2 2" xfId="8545" xr:uid="{00000000-0005-0000-0000-0000A8140000}"/>
    <cellStyle name="Normal 4 3 3 7 2 2 2" xfId="25436" xr:uid="{79772416-61F0-4187-A2FF-3C80564E1524}"/>
    <cellStyle name="Normal 4 3 3 7 2 2 3" xfId="16995" xr:uid="{8020CD09-6F75-497C-B8EA-0C486B3DBC73}"/>
    <cellStyle name="Normal 4 3 3 7 2 3" xfId="21218" xr:uid="{8BF49E36-4323-4FC8-9838-3BD87E871D10}"/>
    <cellStyle name="Normal 4 3 3 7 2 4" xfId="12777" xr:uid="{CE9F0BE9-EA7E-462F-8298-D945076ADE0D}"/>
    <cellStyle name="Normal 4 3 3 7 3" xfId="6400" xr:uid="{00000000-0005-0000-0000-0000A9140000}"/>
    <cellStyle name="Normal 4 3 3 7 3 2" xfId="23291" xr:uid="{EA075AC8-3BC5-482E-A953-1DCC39769C0A}"/>
    <cellStyle name="Normal 4 3 3 7 3 3" xfId="14850" xr:uid="{1048D469-86DC-4C78-8087-48FBF00E6347}"/>
    <cellStyle name="Normal 4 3 3 7 4" xfId="19073" xr:uid="{A74247EB-9BBD-451A-976B-1E7E9CB4B113}"/>
    <cellStyle name="Normal 4 3 3 7 5" xfId="10632" xr:uid="{ABC30C78-BBD5-40AC-B199-CA88CB5FB81E}"/>
    <cellStyle name="Normal 4 3 3 8" xfId="2530" xr:uid="{00000000-0005-0000-0000-0000AA140000}"/>
    <cellStyle name="Normal 4 3 3 8 2" xfId="6813" xr:uid="{00000000-0005-0000-0000-0000AB140000}"/>
    <cellStyle name="Normal 4 3 3 8 2 2" xfId="23704" xr:uid="{B30D6A26-3150-44C2-848B-3F3FDD307FC6}"/>
    <cellStyle name="Normal 4 3 3 8 2 3" xfId="15263" xr:uid="{985F94C1-2A6B-40B3-BDA8-6FC8438C50C2}"/>
    <cellStyle name="Normal 4 3 3 8 3" xfId="19486" xr:uid="{388CDCFF-EF4E-4856-AFC3-C297DAD48AD4}"/>
    <cellStyle name="Normal 4 3 3 8 4" xfId="11045" xr:uid="{FCE4DEFB-E19A-463F-B5BA-53695508B2D0}"/>
    <cellStyle name="Normal 4 3 3 9" xfId="4748" xr:uid="{00000000-0005-0000-0000-0000AC140000}"/>
    <cellStyle name="Normal 4 3 3 9 2" xfId="21639" xr:uid="{2426C898-F7A5-4EEC-9F6E-1A139DA2D0B9}"/>
    <cellStyle name="Normal 4 3 3 9 3" xfId="13198" xr:uid="{DD52C6B0-9675-46A5-95C4-8981AF83B314}"/>
    <cellStyle name="Normal 4 3 4" xfId="842" xr:uid="{00000000-0005-0000-0000-0000AD140000}"/>
    <cellStyle name="Normal 4 3 4 2" xfId="3079" xr:uid="{00000000-0005-0000-0000-0000AE140000}"/>
    <cellStyle name="Normal 4 3 4 2 2" xfId="7301" xr:uid="{00000000-0005-0000-0000-0000AF140000}"/>
    <cellStyle name="Normal 4 3 4 2 2 2" xfId="24192" xr:uid="{1A7841AD-39FA-4229-BEBC-9578C646718A}"/>
    <cellStyle name="Normal 4 3 4 2 2 3" xfId="15751" xr:uid="{52675A08-CDC1-40A0-BBE8-D0AEB7E73A7F}"/>
    <cellStyle name="Normal 4 3 4 2 3" xfId="19974" xr:uid="{36C80C4B-625B-4817-9EFA-E8AFF35CCBF0}"/>
    <cellStyle name="Normal 4 3 4 2 4" xfId="11533" xr:uid="{E58AAE9B-A065-44CB-AAE6-B47427A8D826}"/>
    <cellStyle name="Normal 4 3 4 3" xfId="5156" xr:uid="{00000000-0005-0000-0000-0000B0140000}"/>
    <cellStyle name="Normal 4 3 4 3 2" xfId="22047" xr:uid="{C0A17FC3-1A2B-4C49-AEC0-55214AD07C8B}"/>
    <cellStyle name="Normal 4 3 4 3 3" xfId="13606" xr:uid="{4AAEF9C6-9120-47A8-B327-42AE21200950}"/>
    <cellStyle name="Normal 4 3 4 4" xfId="17829" xr:uid="{96712E84-961A-4E81-A7DF-0D3BF6933E0E}"/>
    <cellStyle name="Normal 4 3 4 5" xfId="9388" xr:uid="{ECF9BB02-0839-442B-B20C-E48F1E415A54}"/>
    <cellStyle name="Normal 4 3 5" xfId="1262" xr:uid="{00000000-0005-0000-0000-0000B1140000}"/>
    <cellStyle name="Normal 4 3 5 2" xfId="3492" xr:uid="{00000000-0005-0000-0000-0000B2140000}"/>
    <cellStyle name="Normal 4 3 5 2 2" xfId="7714" xr:uid="{00000000-0005-0000-0000-0000B3140000}"/>
    <cellStyle name="Normal 4 3 5 2 2 2" xfId="24605" xr:uid="{D28F87A7-0304-45C9-AA72-1705A47EB4AE}"/>
    <cellStyle name="Normal 4 3 5 2 2 3" xfId="16164" xr:uid="{2D0402BE-A18E-4FBF-8EEF-31B81D167233}"/>
    <cellStyle name="Normal 4 3 5 2 3" xfId="20387" xr:uid="{109323FD-E670-4B2D-A873-375509649D43}"/>
    <cellStyle name="Normal 4 3 5 2 4" xfId="11946" xr:uid="{25DF22DE-D948-441C-8FD9-9AC43163429A}"/>
    <cellStyle name="Normal 4 3 5 3" xfId="5569" xr:uid="{00000000-0005-0000-0000-0000B4140000}"/>
    <cellStyle name="Normal 4 3 5 3 2" xfId="22460" xr:uid="{A0B49B89-06E3-4EC3-AB25-E120B4ECFD75}"/>
    <cellStyle name="Normal 4 3 5 3 3" xfId="14019" xr:uid="{D0D4F1E5-DC8F-4347-A27F-E8CE45EF6D4C}"/>
    <cellStyle name="Normal 4 3 5 4" xfId="18242" xr:uid="{A9B56586-BF6B-42F9-9950-77D020D01680}"/>
    <cellStyle name="Normal 4 3 5 5" xfId="9801" xr:uid="{7EC7EBC7-4BB8-4CC9-B16F-3D3BABEEB4EC}"/>
    <cellStyle name="Normal 4 3 6" xfId="1675" xr:uid="{00000000-0005-0000-0000-0000B5140000}"/>
    <cellStyle name="Normal 4 3 6 2" xfId="3905" xr:uid="{00000000-0005-0000-0000-0000B6140000}"/>
    <cellStyle name="Normal 4 3 6 2 2" xfId="8127" xr:uid="{00000000-0005-0000-0000-0000B7140000}"/>
    <cellStyle name="Normal 4 3 6 2 2 2" xfId="25018" xr:uid="{F7B99F67-7FB0-48B4-AADB-481519916871}"/>
    <cellStyle name="Normal 4 3 6 2 2 3" xfId="16577" xr:uid="{A5704D42-B542-430E-A413-D3E7CAA6AE74}"/>
    <cellStyle name="Normal 4 3 6 2 3" xfId="20800" xr:uid="{8B55FA51-9675-4554-AD00-1655E5907703}"/>
    <cellStyle name="Normal 4 3 6 2 4" xfId="12359" xr:uid="{F0D741D3-3961-457F-9024-95F1C82818F6}"/>
    <cellStyle name="Normal 4 3 6 3" xfId="5982" xr:uid="{00000000-0005-0000-0000-0000B8140000}"/>
    <cellStyle name="Normal 4 3 6 3 2" xfId="22873" xr:uid="{6A616883-8975-4447-9346-CAC8066E77EB}"/>
    <cellStyle name="Normal 4 3 6 3 3" xfId="14432" xr:uid="{1F4A3250-BC87-4981-8168-4A8FBEC8E8FB}"/>
    <cellStyle name="Normal 4 3 6 4" xfId="18655" xr:uid="{9E5DCB1F-95B2-4BB8-A608-BED9664C5EE2}"/>
    <cellStyle name="Normal 4 3 6 5" xfId="10214" xr:uid="{A66EE167-0EC6-48D9-AEDD-A0CFA87EF19F}"/>
    <cellStyle name="Normal 4 3 7" xfId="2089" xr:uid="{00000000-0005-0000-0000-0000B9140000}"/>
    <cellStyle name="Normal 4 3 7 2" xfId="4318" xr:uid="{00000000-0005-0000-0000-0000BA140000}"/>
    <cellStyle name="Normal 4 3 7 2 2" xfId="8540" xr:uid="{00000000-0005-0000-0000-0000BB140000}"/>
    <cellStyle name="Normal 4 3 7 2 2 2" xfId="25431" xr:uid="{0E078974-FEB0-4AEB-AEF9-DF479B0C9C7C}"/>
    <cellStyle name="Normal 4 3 7 2 2 3" xfId="16990" xr:uid="{EED14CBF-B8FF-4F46-9C2D-406128D1B825}"/>
    <cellStyle name="Normal 4 3 7 2 3" xfId="21213" xr:uid="{3EC75E61-CEFC-4E0D-885E-F99B72356F5C}"/>
    <cellStyle name="Normal 4 3 7 2 4" xfId="12772" xr:uid="{C33AD9C8-BB25-4F3B-867C-125E16D93118}"/>
    <cellStyle name="Normal 4 3 7 3" xfId="6395" xr:uid="{00000000-0005-0000-0000-0000BC140000}"/>
    <cellStyle name="Normal 4 3 7 3 2" xfId="23286" xr:uid="{34FF9F65-7F48-4EDF-8099-345383F3D5AB}"/>
    <cellStyle name="Normal 4 3 7 3 3" xfId="14845" xr:uid="{1CC89C29-9352-41DE-BC2E-D4FFBCAD5E85}"/>
    <cellStyle name="Normal 4 3 7 4" xfId="19068" xr:uid="{C789FE3C-477D-49E4-B04D-070842F10CF3}"/>
    <cellStyle name="Normal 4 3 7 5" xfId="10627" xr:uid="{36DC1167-F75F-4572-8218-FB109EDDBC55}"/>
    <cellStyle name="Normal 4 3 8" xfId="2525" xr:uid="{00000000-0005-0000-0000-0000BD140000}"/>
    <cellStyle name="Normal 4 3 8 2" xfId="6808" xr:uid="{00000000-0005-0000-0000-0000BE140000}"/>
    <cellStyle name="Normal 4 3 8 2 2" xfId="23699" xr:uid="{306818A6-6D34-40B9-8719-50AFF7B19AEA}"/>
    <cellStyle name="Normal 4 3 8 2 3" xfId="15258" xr:uid="{D9C7F0CD-98F7-4A17-AF24-DF822B579E87}"/>
    <cellStyle name="Normal 4 3 8 3" xfId="19481" xr:uid="{F796BBEE-20A7-41E7-9906-30847ECD803D}"/>
    <cellStyle name="Normal 4 3 8 4" xfId="11040" xr:uid="{F4883A7D-EBC7-4AB9-8D41-EB1876CECCCB}"/>
    <cellStyle name="Normal 4 3 9" xfId="4743" xr:uid="{00000000-0005-0000-0000-0000BF140000}"/>
    <cellStyle name="Normal 4 3 9 2" xfId="21634" xr:uid="{290D6D6D-D21A-4144-BD53-333A8391ED6D}"/>
    <cellStyle name="Normal 4 3 9 3" xfId="13193" xr:uid="{DB8CD307-7FC6-4C12-B96D-80ADF2B94103}"/>
    <cellStyle name="Normal 4 4" xfId="378" xr:uid="{00000000-0005-0000-0000-0000C0140000}"/>
    <cellStyle name="Normal 4 4 10" xfId="2534" xr:uid="{00000000-0005-0000-0000-0000C1140000}"/>
    <cellStyle name="Normal 4 4 10 2" xfId="6817" xr:uid="{00000000-0005-0000-0000-0000C2140000}"/>
    <cellStyle name="Normal 4 4 10 2 2" xfId="23708" xr:uid="{04E61207-06EC-4DFD-BE84-D81212960758}"/>
    <cellStyle name="Normal 4 4 10 2 3" xfId="15267" xr:uid="{576647C8-A543-42B2-BEEF-3F78726EE412}"/>
    <cellStyle name="Normal 4 4 10 3" xfId="19490" xr:uid="{972DBA5D-E6D0-4A4E-A524-8F57585E718A}"/>
    <cellStyle name="Normal 4 4 10 4" xfId="11049" xr:uid="{8DAF8AF7-10F5-4C3D-9198-32C25A3C80EF}"/>
    <cellStyle name="Normal 4 4 11" xfId="4752" xr:uid="{00000000-0005-0000-0000-0000C3140000}"/>
    <cellStyle name="Normal 4 4 11 2" xfId="21643" xr:uid="{4DA83575-B7C2-4ED5-AE3B-7143CDEAA146}"/>
    <cellStyle name="Normal 4 4 11 3" xfId="13202" xr:uid="{4D9CCD79-ABB5-40A5-8730-DA19F7DC79E5}"/>
    <cellStyle name="Normal 4 4 12" xfId="17425" xr:uid="{04B478A2-494C-4010-A5BA-AC92A476964E}"/>
    <cellStyle name="Normal 4 4 13" xfId="8984" xr:uid="{D5034CDB-7531-4110-A045-C77F79C14180}"/>
    <cellStyle name="Normal 4 4 2" xfId="379" xr:uid="{00000000-0005-0000-0000-0000C4140000}"/>
    <cellStyle name="Normal 4 4 2 10" xfId="4753" xr:uid="{00000000-0005-0000-0000-0000C5140000}"/>
    <cellStyle name="Normal 4 4 2 10 2" xfId="21644" xr:uid="{5BE90D5C-5D9E-4BEE-8B58-E067CD94B9A7}"/>
    <cellStyle name="Normal 4 4 2 10 3" xfId="13203" xr:uid="{0A97513D-A2D6-41BD-9226-E15D9B152B07}"/>
    <cellStyle name="Normal 4 4 2 11" xfId="17426" xr:uid="{D959314B-1823-403B-928D-0EA7ADB28DE4}"/>
    <cellStyle name="Normal 4 4 2 12" xfId="8985" xr:uid="{A42FD585-FDAA-49FD-80C2-DD5A8569EA7A}"/>
    <cellStyle name="Normal 4 4 2 2" xfId="380" xr:uid="{00000000-0005-0000-0000-0000C6140000}"/>
    <cellStyle name="Normal 4 4 2 2 10" xfId="17427" xr:uid="{798E088A-948A-4C2F-829C-6C2978696F23}"/>
    <cellStyle name="Normal 4 4 2 2 11" xfId="8986" xr:uid="{1F109D48-C3E6-4BB5-960B-E0BB1EF8D817}"/>
    <cellStyle name="Normal 4 4 2 2 2" xfId="381" xr:uid="{00000000-0005-0000-0000-0000C7140000}"/>
    <cellStyle name="Normal 4 4 2 2 2 10" xfId="8987" xr:uid="{8D7BBBC3-E667-4337-B391-F17EC2A4067F}"/>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2 2 2" xfId="24205" xr:uid="{97562DDB-2CAE-4497-8CD3-BE3A262C18EA}"/>
    <cellStyle name="Normal 4 4 2 2 2 2 2 2 2 3" xfId="15764" xr:uid="{848E6D61-AEB9-44E3-AC71-0BDB3CDBF4F2}"/>
    <cellStyle name="Normal 4 4 2 2 2 2 2 2 3" xfId="19987" xr:uid="{570739BC-4650-4A1D-88AB-3BAEE38A798F}"/>
    <cellStyle name="Normal 4 4 2 2 2 2 2 2 4" xfId="11546" xr:uid="{785771E8-94A8-4815-9D11-7F2260BE389A}"/>
    <cellStyle name="Normal 4 4 2 2 2 2 2 3" xfId="5169" xr:uid="{00000000-0005-0000-0000-0000CC140000}"/>
    <cellStyle name="Normal 4 4 2 2 2 2 2 3 2" xfId="22060" xr:uid="{58054C0E-DB3B-4109-9E23-BBB2B082E297}"/>
    <cellStyle name="Normal 4 4 2 2 2 2 2 3 3" xfId="13619" xr:uid="{A4CA3ED8-33A1-49F2-9CBA-64FA19504A04}"/>
    <cellStyle name="Normal 4 4 2 2 2 2 2 4" xfId="17842" xr:uid="{ACFE2146-F1A1-42D8-B5E3-E9A4925C1991}"/>
    <cellStyle name="Normal 4 4 2 2 2 2 2 5" xfId="9401" xr:uid="{4FAD31AB-CE67-4BA2-AD64-CCF414DC993D}"/>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2 2 2" xfId="24618" xr:uid="{793C65CE-8D4D-4C2D-8094-B6E890BC18D4}"/>
    <cellStyle name="Normal 4 4 2 2 2 2 3 2 2 3" xfId="16177" xr:uid="{020C01F8-D313-4039-9A4C-E9B7202740C5}"/>
    <cellStyle name="Normal 4 4 2 2 2 2 3 2 3" xfId="20400" xr:uid="{39D344A7-FA48-4033-AB51-90B792CBCBC4}"/>
    <cellStyle name="Normal 4 4 2 2 2 2 3 2 4" xfId="11959" xr:uid="{7E7420AA-1960-4554-A964-F894F32D19FC}"/>
    <cellStyle name="Normal 4 4 2 2 2 2 3 3" xfId="5582" xr:uid="{00000000-0005-0000-0000-0000D0140000}"/>
    <cellStyle name="Normal 4 4 2 2 2 2 3 3 2" xfId="22473" xr:uid="{4AED37C2-80B3-4DB0-A7A2-5EF61726DFA6}"/>
    <cellStyle name="Normal 4 4 2 2 2 2 3 3 3" xfId="14032" xr:uid="{EB24019E-B178-453B-9E49-09947F6E3EF1}"/>
    <cellStyle name="Normal 4 4 2 2 2 2 3 4" xfId="18255" xr:uid="{6B529007-960F-4579-8D7F-D003F9B7B757}"/>
    <cellStyle name="Normal 4 4 2 2 2 2 3 5" xfId="9814" xr:uid="{A18ED5A4-19C0-49FC-B40C-6F18DF921B39}"/>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2 2 2" xfId="25031" xr:uid="{08222807-960D-49BE-8F6E-C25C23C4E0FE}"/>
    <cellStyle name="Normal 4 4 2 2 2 2 4 2 2 3" xfId="16590" xr:uid="{CBE9D9CC-66AD-41EE-B9B0-D944F0C40CDD}"/>
    <cellStyle name="Normal 4 4 2 2 2 2 4 2 3" xfId="20813" xr:uid="{21B9BC1C-0BB5-4791-9438-0B6843EFC977}"/>
    <cellStyle name="Normal 4 4 2 2 2 2 4 2 4" xfId="12372" xr:uid="{5F1B5EC8-6CA1-4BA5-BFE0-29512B5E4DB5}"/>
    <cellStyle name="Normal 4 4 2 2 2 2 4 3" xfId="5995" xr:uid="{00000000-0005-0000-0000-0000D4140000}"/>
    <cellStyle name="Normal 4 4 2 2 2 2 4 3 2" xfId="22886" xr:uid="{69E75B9D-9BBB-4470-924A-19072F85D2BD}"/>
    <cellStyle name="Normal 4 4 2 2 2 2 4 3 3" xfId="14445" xr:uid="{1A25D74C-39AA-4A01-B854-F3F4B6F43893}"/>
    <cellStyle name="Normal 4 4 2 2 2 2 4 4" xfId="18668" xr:uid="{D94105EF-EE1C-4C6C-AC3B-9B9C6C80CA6E}"/>
    <cellStyle name="Normal 4 4 2 2 2 2 4 5" xfId="10227" xr:uid="{1736F3C4-9636-4D38-B230-6F2E2C9A2C33}"/>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2 2 2" xfId="25444" xr:uid="{7B85F484-9445-4A17-98ED-3859EDDCF534}"/>
    <cellStyle name="Normal 4 4 2 2 2 2 5 2 2 3" xfId="17003" xr:uid="{52D3A992-B8DC-4126-B1E4-BEB4C3E95472}"/>
    <cellStyle name="Normal 4 4 2 2 2 2 5 2 3" xfId="21226" xr:uid="{A6C68DB6-A608-4683-A9B7-86691B5FF1B0}"/>
    <cellStyle name="Normal 4 4 2 2 2 2 5 2 4" xfId="12785" xr:uid="{F70EF9FD-4C15-490D-AFBB-24D6B77EBFC4}"/>
    <cellStyle name="Normal 4 4 2 2 2 2 5 3" xfId="6408" xr:uid="{00000000-0005-0000-0000-0000D8140000}"/>
    <cellStyle name="Normal 4 4 2 2 2 2 5 3 2" xfId="23299" xr:uid="{6B0AA46D-ADB9-4B2A-9852-644A2DA1DCC3}"/>
    <cellStyle name="Normal 4 4 2 2 2 2 5 3 3" xfId="14858" xr:uid="{E1565069-1234-4FAA-BA9F-94927E48E295}"/>
    <cellStyle name="Normal 4 4 2 2 2 2 5 4" xfId="19081" xr:uid="{16FCA3C1-E199-4C92-93B7-94B7E5F77A31}"/>
    <cellStyle name="Normal 4 4 2 2 2 2 5 5" xfId="10640" xr:uid="{38ECA9DC-9F5F-45A9-9169-4A571D45E5BD}"/>
    <cellStyle name="Normal 4 4 2 2 2 2 6" xfId="2538" xr:uid="{00000000-0005-0000-0000-0000D9140000}"/>
    <cellStyle name="Normal 4 4 2 2 2 2 6 2" xfId="6821" xr:uid="{00000000-0005-0000-0000-0000DA140000}"/>
    <cellStyle name="Normal 4 4 2 2 2 2 6 2 2" xfId="23712" xr:uid="{DBB21A80-AAF0-42A5-BE68-58DF1822E658}"/>
    <cellStyle name="Normal 4 4 2 2 2 2 6 2 3" xfId="15271" xr:uid="{4C3AE2C3-04F0-47D9-A9E5-43B6B092B9AC}"/>
    <cellStyle name="Normal 4 4 2 2 2 2 6 3" xfId="19494" xr:uid="{1ABD3052-3D12-4E99-B399-7C41B8340088}"/>
    <cellStyle name="Normal 4 4 2 2 2 2 6 4" xfId="11053" xr:uid="{50111F44-CAF8-45A7-9BB6-0501AC5A8084}"/>
    <cellStyle name="Normal 4 4 2 2 2 2 7" xfId="4756" xr:uid="{00000000-0005-0000-0000-0000DB140000}"/>
    <cellStyle name="Normal 4 4 2 2 2 2 7 2" xfId="21647" xr:uid="{DFC51EF8-7A69-4FDB-A507-4C7FB5CBC530}"/>
    <cellStyle name="Normal 4 4 2 2 2 2 7 3" xfId="13206" xr:uid="{B5C012C0-4894-4866-9110-C1C73BA3D4A3}"/>
    <cellStyle name="Normal 4 4 2 2 2 2 8" xfId="17429" xr:uid="{E2F77317-85A8-4205-B45A-2FD74D59B56F}"/>
    <cellStyle name="Normal 4 4 2 2 2 2 9" xfId="8988" xr:uid="{AEBC3ED5-4A10-4DBC-BB41-73A4385A7D5D}"/>
    <cellStyle name="Normal 4 4 2 2 2 3" xfId="856" xr:uid="{00000000-0005-0000-0000-0000DC140000}"/>
    <cellStyle name="Normal 4 4 2 2 2 3 2" xfId="3091" xr:uid="{00000000-0005-0000-0000-0000DD140000}"/>
    <cellStyle name="Normal 4 4 2 2 2 3 2 2" xfId="7313" xr:uid="{00000000-0005-0000-0000-0000DE140000}"/>
    <cellStyle name="Normal 4 4 2 2 2 3 2 2 2" xfId="24204" xr:uid="{43C5D15F-7751-4665-BBE2-0CA977519403}"/>
    <cellStyle name="Normal 4 4 2 2 2 3 2 2 3" xfId="15763" xr:uid="{4BDC74E0-EF03-4B95-9F8D-3106B30AF72C}"/>
    <cellStyle name="Normal 4 4 2 2 2 3 2 3" xfId="19986" xr:uid="{D495BC52-AC92-4A4A-AC57-C04AD13A4EF2}"/>
    <cellStyle name="Normal 4 4 2 2 2 3 2 4" xfId="11545" xr:uid="{1B7D4D79-112A-4259-B604-01F820530BDA}"/>
    <cellStyle name="Normal 4 4 2 2 2 3 3" xfId="5168" xr:uid="{00000000-0005-0000-0000-0000DF140000}"/>
    <cellStyle name="Normal 4 4 2 2 2 3 3 2" xfId="22059" xr:uid="{5B3C16D1-93A3-4816-942E-599CB6CDBE3B}"/>
    <cellStyle name="Normal 4 4 2 2 2 3 3 3" xfId="13618" xr:uid="{8B622F39-50CE-4750-B9FB-C1DAE34DDF43}"/>
    <cellStyle name="Normal 4 4 2 2 2 3 4" xfId="17841" xr:uid="{792EB065-ECFD-4960-AD2C-27FE7A11EB99}"/>
    <cellStyle name="Normal 4 4 2 2 2 3 5" xfId="9400" xr:uid="{3A665761-C778-4DE3-9EAE-3F1B8D16097C}"/>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2 2 2" xfId="24617" xr:uid="{8660B4DA-748C-4320-B3AA-8CCF5A3C46C1}"/>
    <cellStyle name="Normal 4 4 2 2 2 4 2 2 3" xfId="16176" xr:uid="{BA62D0C2-51AA-43FB-8631-0A3FA1C7FB26}"/>
    <cellStyle name="Normal 4 4 2 2 2 4 2 3" xfId="20399" xr:uid="{41E1EF15-72AD-4ED5-B00A-2D0024D636BB}"/>
    <cellStyle name="Normal 4 4 2 2 2 4 2 4" xfId="11958" xr:uid="{D203635A-85AF-41A9-9D21-D021AEEA2D5C}"/>
    <cellStyle name="Normal 4 4 2 2 2 4 3" xfId="5581" xr:uid="{00000000-0005-0000-0000-0000E3140000}"/>
    <cellStyle name="Normal 4 4 2 2 2 4 3 2" xfId="22472" xr:uid="{E1BFA1CD-89F8-4CDF-9F5B-BAF10EE26F6C}"/>
    <cellStyle name="Normal 4 4 2 2 2 4 3 3" xfId="14031" xr:uid="{215EEFB7-117E-4320-AD37-4CD564344BF8}"/>
    <cellStyle name="Normal 4 4 2 2 2 4 4" xfId="18254" xr:uid="{B4AF4EF5-BD1B-47FF-A8E6-FAD9E3247A65}"/>
    <cellStyle name="Normal 4 4 2 2 2 4 5" xfId="9813" xr:uid="{06E276E7-AF9B-4A51-99E7-86F43006378D}"/>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2 2 2" xfId="25030" xr:uid="{56599D07-B6CA-41AA-8890-427A77762DC1}"/>
    <cellStyle name="Normal 4 4 2 2 2 5 2 2 3" xfId="16589" xr:uid="{B9DFE589-2EFE-446F-8A8E-26DB33A75DB8}"/>
    <cellStyle name="Normal 4 4 2 2 2 5 2 3" xfId="20812" xr:uid="{B38463A3-80D9-4BC2-909D-6CC7E376611C}"/>
    <cellStyle name="Normal 4 4 2 2 2 5 2 4" xfId="12371" xr:uid="{56042BA3-A242-4111-A907-516D9DD2023F}"/>
    <cellStyle name="Normal 4 4 2 2 2 5 3" xfId="5994" xr:uid="{00000000-0005-0000-0000-0000E7140000}"/>
    <cellStyle name="Normal 4 4 2 2 2 5 3 2" xfId="22885" xr:uid="{8C9CC38E-7F90-41C9-BAA3-904D4873A68C}"/>
    <cellStyle name="Normal 4 4 2 2 2 5 3 3" xfId="14444" xr:uid="{2F4DDD9F-02E1-46EA-84D1-A8533B77D7FE}"/>
    <cellStyle name="Normal 4 4 2 2 2 5 4" xfId="18667" xr:uid="{ABDB947F-0CFB-45F5-B0FD-3BA29F2AF313}"/>
    <cellStyle name="Normal 4 4 2 2 2 5 5" xfId="10226" xr:uid="{7C437559-D99E-45A8-B86E-89E1C6B87D44}"/>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2 2 2" xfId="25443" xr:uid="{1C0C5C14-7C6D-40D7-A5C1-89AD724F465A}"/>
    <cellStyle name="Normal 4 4 2 2 2 6 2 2 3" xfId="17002" xr:uid="{9826D36E-B579-462F-99C1-2DAAB9ADEFDD}"/>
    <cellStyle name="Normal 4 4 2 2 2 6 2 3" xfId="21225" xr:uid="{CCAC0E13-9C8F-42BE-B44E-0F2200769E47}"/>
    <cellStyle name="Normal 4 4 2 2 2 6 2 4" xfId="12784" xr:uid="{E2F63D81-9D11-4B46-806F-42C48642A530}"/>
    <cellStyle name="Normal 4 4 2 2 2 6 3" xfId="6407" xr:uid="{00000000-0005-0000-0000-0000EB140000}"/>
    <cellStyle name="Normal 4 4 2 2 2 6 3 2" xfId="23298" xr:uid="{8839669C-D3EB-4C03-B39B-074CBB877CAB}"/>
    <cellStyle name="Normal 4 4 2 2 2 6 3 3" xfId="14857" xr:uid="{D97AA47A-7551-4AA8-ABEB-5B74629F86CE}"/>
    <cellStyle name="Normal 4 4 2 2 2 6 4" xfId="19080" xr:uid="{F442FDF4-D88F-4186-8C34-B5F46ADDB1EB}"/>
    <cellStyle name="Normal 4 4 2 2 2 6 5" xfId="10639" xr:uid="{123DE8C4-FCDD-43BC-88C0-FEAA4AEEDE82}"/>
    <cellStyle name="Normal 4 4 2 2 2 7" xfId="2537" xr:uid="{00000000-0005-0000-0000-0000EC140000}"/>
    <cellStyle name="Normal 4 4 2 2 2 7 2" xfId="6820" xr:uid="{00000000-0005-0000-0000-0000ED140000}"/>
    <cellStyle name="Normal 4 4 2 2 2 7 2 2" xfId="23711" xr:uid="{B5F05D78-B542-4E3B-9FC1-FC3BD144680C}"/>
    <cellStyle name="Normal 4 4 2 2 2 7 2 3" xfId="15270" xr:uid="{8D6C7A9A-C51C-4C30-9FA3-9C9C958F4982}"/>
    <cellStyle name="Normal 4 4 2 2 2 7 3" xfId="19493" xr:uid="{93B26C2A-FF57-4030-B058-F73EFC71394F}"/>
    <cellStyle name="Normal 4 4 2 2 2 7 4" xfId="11052" xr:uid="{1E67A2C7-B545-44A5-80FB-87580933B5A4}"/>
    <cellStyle name="Normal 4 4 2 2 2 8" xfId="4755" xr:uid="{00000000-0005-0000-0000-0000EE140000}"/>
    <cellStyle name="Normal 4 4 2 2 2 8 2" xfId="21646" xr:uid="{DF509403-51C2-4329-BD04-FAC20D759862}"/>
    <cellStyle name="Normal 4 4 2 2 2 8 3" xfId="13205" xr:uid="{D8E09596-1FFE-4A3B-BBB9-F071A6B11A82}"/>
    <cellStyle name="Normal 4 4 2 2 2 9" xfId="17428" xr:uid="{C50C7438-FD06-4592-B28A-AF360C16BB16}"/>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2 2 2" xfId="24206" xr:uid="{E41F7F55-369A-4696-B53E-794A5F3E756E}"/>
    <cellStyle name="Normal 4 4 2 2 3 2 2 2 3" xfId="15765" xr:uid="{69BA4C25-EBE7-4249-9D7D-BF6A0A41971F}"/>
    <cellStyle name="Normal 4 4 2 2 3 2 2 3" xfId="19988" xr:uid="{2C2E0D2D-2C0C-4AC4-AD24-33A914E9A7F4}"/>
    <cellStyle name="Normal 4 4 2 2 3 2 2 4" xfId="11547" xr:uid="{574DFA5E-708C-4DA3-89E5-F4DD18FC525B}"/>
    <cellStyle name="Normal 4 4 2 2 3 2 3" xfId="5170" xr:uid="{00000000-0005-0000-0000-0000F3140000}"/>
    <cellStyle name="Normal 4 4 2 2 3 2 3 2" xfId="22061" xr:uid="{F1D960D1-F95F-42FB-96FA-1EA30FBF2407}"/>
    <cellStyle name="Normal 4 4 2 2 3 2 3 3" xfId="13620" xr:uid="{D5EE88A4-1305-464D-8598-1C9ED2060DA4}"/>
    <cellStyle name="Normal 4 4 2 2 3 2 4" xfId="17843" xr:uid="{844FDB53-BEF0-4B72-BAEE-EC5EF4AECC9D}"/>
    <cellStyle name="Normal 4 4 2 2 3 2 5" xfId="9402" xr:uid="{2AF0D5A9-FBBE-4F00-A82F-01F5E8CF7CB6}"/>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2 2 2" xfId="24619" xr:uid="{BC14DAD6-3415-4450-8F92-EEFDC3B92CD5}"/>
    <cellStyle name="Normal 4 4 2 2 3 3 2 2 3" xfId="16178" xr:uid="{29C02DFD-2F68-4422-828F-42E991F8B32C}"/>
    <cellStyle name="Normal 4 4 2 2 3 3 2 3" xfId="20401" xr:uid="{26C6ECCF-8316-43A6-9900-BD44DBC1BFAA}"/>
    <cellStyle name="Normal 4 4 2 2 3 3 2 4" xfId="11960" xr:uid="{3206EF8A-277F-48F7-A8FE-CBD3910835D5}"/>
    <cellStyle name="Normal 4 4 2 2 3 3 3" xfId="5583" xr:uid="{00000000-0005-0000-0000-0000F7140000}"/>
    <cellStyle name="Normal 4 4 2 2 3 3 3 2" xfId="22474" xr:uid="{55E4A879-BD79-4CC7-90F3-6DDB7E2A8700}"/>
    <cellStyle name="Normal 4 4 2 2 3 3 3 3" xfId="14033" xr:uid="{88BCF946-AD72-4D54-9113-FF2714B60A13}"/>
    <cellStyle name="Normal 4 4 2 2 3 3 4" xfId="18256" xr:uid="{10BA006E-7ED9-4408-98AC-CED8262E4AE4}"/>
    <cellStyle name="Normal 4 4 2 2 3 3 5" xfId="9815" xr:uid="{13BA5E9B-FFFD-4E92-8832-8CF5A8ED5015}"/>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2 2 2" xfId="25032" xr:uid="{494FA41D-38C9-4470-AC29-C49B9092B2FA}"/>
    <cellStyle name="Normal 4 4 2 2 3 4 2 2 3" xfId="16591" xr:uid="{ACBC51B6-6658-4FEA-9FD3-0B0F7F423798}"/>
    <cellStyle name="Normal 4 4 2 2 3 4 2 3" xfId="20814" xr:uid="{84D6B067-43D2-4CBD-8BDC-D2D1C78456D9}"/>
    <cellStyle name="Normal 4 4 2 2 3 4 2 4" xfId="12373" xr:uid="{CD87B7C0-7D4B-4D30-B188-01051B443F54}"/>
    <cellStyle name="Normal 4 4 2 2 3 4 3" xfId="5996" xr:uid="{00000000-0005-0000-0000-0000FB140000}"/>
    <cellStyle name="Normal 4 4 2 2 3 4 3 2" xfId="22887" xr:uid="{D8242216-D41E-456F-9C7E-33D3E1C61750}"/>
    <cellStyle name="Normal 4 4 2 2 3 4 3 3" xfId="14446" xr:uid="{E3E716F3-3CDB-446A-934C-79F645413355}"/>
    <cellStyle name="Normal 4 4 2 2 3 4 4" xfId="18669" xr:uid="{F1333114-A4B2-4955-8F88-BA90BD70530A}"/>
    <cellStyle name="Normal 4 4 2 2 3 4 5" xfId="10228" xr:uid="{04BF11C2-9DF2-4E7D-8482-828D2518EA74}"/>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2 2 2" xfId="25445" xr:uid="{7788EF11-B138-437E-B99D-83CF843BB86A}"/>
    <cellStyle name="Normal 4 4 2 2 3 5 2 2 3" xfId="17004" xr:uid="{C49A627F-75C9-441A-8298-0BF9F05EB974}"/>
    <cellStyle name="Normal 4 4 2 2 3 5 2 3" xfId="21227" xr:uid="{1C0D696B-A51B-4D4C-B9B0-69300653AB5F}"/>
    <cellStyle name="Normal 4 4 2 2 3 5 2 4" xfId="12786" xr:uid="{57C0FF75-5D9A-4D67-865F-307E282AADF3}"/>
    <cellStyle name="Normal 4 4 2 2 3 5 3" xfId="6409" xr:uid="{00000000-0005-0000-0000-0000FF140000}"/>
    <cellStyle name="Normal 4 4 2 2 3 5 3 2" xfId="23300" xr:uid="{C827DE54-99D8-443B-B915-FE9D82DE3B0E}"/>
    <cellStyle name="Normal 4 4 2 2 3 5 3 3" xfId="14859" xr:uid="{3C2EDF53-6F64-4726-8440-3A280B58286B}"/>
    <cellStyle name="Normal 4 4 2 2 3 5 4" xfId="19082" xr:uid="{6D4F5E13-D7F3-4E8B-AC4A-831801F5DE0A}"/>
    <cellStyle name="Normal 4 4 2 2 3 5 5" xfId="10641" xr:uid="{0F64B3B1-09A6-4DAC-B466-57646B6DE1D7}"/>
    <cellStyle name="Normal 4 4 2 2 3 6" xfId="2539" xr:uid="{00000000-0005-0000-0000-000000150000}"/>
    <cellStyle name="Normal 4 4 2 2 3 6 2" xfId="6822" xr:uid="{00000000-0005-0000-0000-000001150000}"/>
    <cellStyle name="Normal 4 4 2 2 3 6 2 2" xfId="23713" xr:uid="{ECB6ABFD-8488-4379-B94F-A94B3762BFB2}"/>
    <cellStyle name="Normal 4 4 2 2 3 6 2 3" xfId="15272" xr:uid="{719806EC-B0AB-4E0B-9A16-6194B2CE0929}"/>
    <cellStyle name="Normal 4 4 2 2 3 6 3" xfId="19495" xr:uid="{F6902016-2CF7-496A-A982-B8FB2BEA238A}"/>
    <cellStyle name="Normal 4 4 2 2 3 6 4" xfId="11054" xr:uid="{0FE0D1BA-2E78-4767-A081-05871C17A63F}"/>
    <cellStyle name="Normal 4 4 2 2 3 7" xfId="4757" xr:uid="{00000000-0005-0000-0000-000002150000}"/>
    <cellStyle name="Normal 4 4 2 2 3 7 2" xfId="21648" xr:uid="{CBC33F52-522D-46B4-BA2B-5480E9E21E94}"/>
    <cellStyle name="Normal 4 4 2 2 3 7 3" xfId="13207" xr:uid="{25B10B9A-050A-4C79-A430-D57CCD0451A7}"/>
    <cellStyle name="Normal 4 4 2 2 3 8" xfId="17430" xr:uid="{FB7ED136-9BE3-4AA4-BBF3-598D0993572C}"/>
    <cellStyle name="Normal 4 4 2 2 3 9" xfId="8989" xr:uid="{3FB2EC1F-3496-49BD-B40F-2E1118CED03A}"/>
    <cellStyle name="Normal 4 4 2 2 4" xfId="855" xr:uid="{00000000-0005-0000-0000-000003150000}"/>
    <cellStyle name="Normal 4 4 2 2 4 2" xfId="3090" xr:uid="{00000000-0005-0000-0000-000004150000}"/>
    <cellStyle name="Normal 4 4 2 2 4 2 2" xfId="7312" xr:uid="{00000000-0005-0000-0000-000005150000}"/>
    <cellStyle name="Normal 4 4 2 2 4 2 2 2" xfId="24203" xr:uid="{BCD32A50-6683-48E8-AFFA-2AB6E3FEFFD6}"/>
    <cellStyle name="Normal 4 4 2 2 4 2 2 3" xfId="15762" xr:uid="{24848CD9-4E2D-4063-B43B-056B6DFEA5D2}"/>
    <cellStyle name="Normal 4 4 2 2 4 2 3" xfId="19985" xr:uid="{FC26F7E8-DC55-4136-B909-C8D808260E59}"/>
    <cellStyle name="Normal 4 4 2 2 4 2 4" xfId="11544" xr:uid="{57D3F578-F9D3-4E21-9B17-FD8587C11CDA}"/>
    <cellStyle name="Normal 4 4 2 2 4 3" xfId="5167" xr:uid="{00000000-0005-0000-0000-000006150000}"/>
    <cellStyle name="Normal 4 4 2 2 4 3 2" xfId="22058" xr:uid="{69E876B3-9804-4DB2-80C8-E56BAE13C776}"/>
    <cellStyle name="Normal 4 4 2 2 4 3 3" xfId="13617" xr:uid="{8AF09C9B-C3A5-4ED1-8DFA-CB1E446B8603}"/>
    <cellStyle name="Normal 4 4 2 2 4 4" xfId="17840" xr:uid="{6BE7399B-DA52-426E-882F-E4F3E49B1C6E}"/>
    <cellStyle name="Normal 4 4 2 2 4 5" xfId="9399" xr:uid="{A5874CE7-2880-4184-9A3F-26586CDB03BE}"/>
    <cellStyle name="Normal 4 4 2 2 5" xfId="1273" xr:uid="{00000000-0005-0000-0000-000007150000}"/>
    <cellStyle name="Normal 4 4 2 2 5 2" xfId="3503" xr:uid="{00000000-0005-0000-0000-000008150000}"/>
    <cellStyle name="Normal 4 4 2 2 5 2 2" xfId="7725" xr:uid="{00000000-0005-0000-0000-000009150000}"/>
    <cellStyle name="Normal 4 4 2 2 5 2 2 2" xfId="24616" xr:uid="{5D851A72-0581-42B2-8D0C-CBA280698242}"/>
    <cellStyle name="Normal 4 4 2 2 5 2 2 3" xfId="16175" xr:uid="{40A914EB-6E95-4ED1-BC2B-502F85D9BF58}"/>
    <cellStyle name="Normal 4 4 2 2 5 2 3" xfId="20398" xr:uid="{BE33ECC8-E9FE-46DD-8634-EC89A3BCF5EF}"/>
    <cellStyle name="Normal 4 4 2 2 5 2 4" xfId="11957" xr:uid="{7690E158-9DEF-40C6-ACD8-80A535A34204}"/>
    <cellStyle name="Normal 4 4 2 2 5 3" xfId="5580" xr:uid="{00000000-0005-0000-0000-00000A150000}"/>
    <cellStyle name="Normal 4 4 2 2 5 3 2" xfId="22471" xr:uid="{0D1A469B-7B0A-402C-AAE4-04660741C86D}"/>
    <cellStyle name="Normal 4 4 2 2 5 3 3" xfId="14030" xr:uid="{88150862-2386-45D6-A8D3-E8D93C9A6F10}"/>
    <cellStyle name="Normal 4 4 2 2 5 4" xfId="18253" xr:uid="{276070BA-A1EB-40D8-802B-BC6121CD609C}"/>
    <cellStyle name="Normal 4 4 2 2 5 5" xfId="9812" xr:uid="{CF20725F-7506-4C75-9533-E1F87AF82EB1}"/>
    <cellStyle name="Normal 4 4 2 2 6" xfId="1686" xr:uid="{00000000-0005-0000-0000-00000B150000}"/>
    <cellStyle name="Normal 4 4 2 2 6 2" xfId="3916" xr:uid="{00000000-0005-0000-0000-00000C150000}"/>
    <cellStyle name="Normal 4 4 2 2 6 2 2" xfId="8138" xr:uid="{00000000-0005-0000-0000-00000D150000}"/>
    <cellStyle name="Normal 4 4 2 2 6 2 2 2" xfId="25029" xr:uid="{AE813640-93BF-4CA9-ACA9-3940BED0555E}"/>
    <cellStyle name="Normal 4 4 2 2 6 2 2 3" xfId="16588" xr:uid="{51FC1E3C-0822-405F-9A66-B348CC31DA90}"/>
    <cellStyle name="Normal 4 4 2 2 6 2 3" xfId="20811" xr:uid="{BF171D9B-C61E-4CDF-BE82-EDB31E31089E}"/>
    <cellStyle name="Normal 4 4 2 2 6 2 4" xfId="12370" xr:uid="{03FBD0F3-980A-49F4-B43F-0D0061649CA8}"/>
    <cellStyle name="Normal 4 4 2 2 6 3" xfId="5993" xr:uid="{00000000-0005-0000-0000-00000E150000}"/>
    <cellStyle name="Normal 4 4 2 2 6 3 2" xfId="22884" xr:uid="{1EF1A7D3-24B7-4642-A1C8-C6DEA53338FD}"/>
    <cellStyle name="Normal 4 4 2 2 6 3 3" xfId="14443" xr:uid="{CB5FDAED-D97A-4D50-999C-85DE4C2314E6}"/>
    <cellStyle name="Normal 4 4 2 2 6 4" xfId="18666" xr:uid="{B95C7442-1568-432F-9F03-FD0BF6020D30}"/>
    <cellStyle name="Normal 4 4 2 2 6 5" xfId="10225" xr:uid="{EACB2F08-D334-4664-A058-8811922922F9}"/>
    <cellStyle name="Normal 4 4 2 2 7" xfId="2100" xr:uid="{00000000-0005-0000-0000-00000F150000}"/>
    <cellStyle name="Normal 4 4 2 2 7 2" xfId="4329" xr:uid="{00000000-0005-0000-0000-000010150000}"/>
    <cellStyle name="Normal 4 4 2 2 7 2 2" xfId="8551" xr:uid="{00000000-0005-0000-0000-000011150000}"/>
    <cellStyle name="Normal 4 4 2 2 7 2 2 2" xfId="25442" xr:uid="{9AE1A3D8-2E94-41E3-B616-EF1E5DA984C0}"/>
    <cellStyle name="Normal 4 4 2 2 7 2 2 3" xfId="17001" xr:uid="{0AD74A00-2562-4FE5-B80D-47FEBBBC8DC1}"/>
    <cellStyle name="Normal 4 4 2 2 7 2 3" xfId="21224" xr:uid="{2FF99CD3-B7EF-4531-A3FC-C603668FA088}"/>
    <cellStyle name="Normal 4 4 2 2 7 2 4" xfId="12783" xr:uid="{9B507C5D-6F85-4A8D-8A8B-0B1595B39782}"/>
    <cellStyle name="Normal 4 4 2 2 7 3" xfId="6406" xr:uid="{00000000-0005-0000-0000-000012150000}"/>
    <cellStyle name="Normal 4 4 2 2 7 3 2" xfId="23297" xr:uid="{48A26242-3A83-4289-9485-2C973867750B}"/>
    <cellStyle name="Normal 4 4 2 2 7 3 3" xfId="14856" xr:uid="{06465D48-404C-457F-BAB2-8B02C66B8DFE}"/>
    <cellStyle name="Normal 4 4 2 2 7 4" xfId="19079" xr:uid="{F91FC81D-529F-4676-A3C1-C3867C9FDF58}"/>
    <cellStyle name="Normal 4 4 2 2 7 5" xfId="10638" xr:uid="{48394DC7-63BD-4D67-AEE3-AA71ABBE16AA}"/>
    <cellStyle name="Normal 4 4 2 2 8" xfId="2536" xr:uid="{00000000-0005-0000-0000-000013150000}"/>
    <cellStyle name="Normal 4 4 2 2 8 2" xfId="6819" xr:uid="{00000000-0005-0000-0000-000014150000}"/>
    <cellStyle name="Normal 4 4 2 2 8 2 2" xfId="23710" xr:uid="{6F464F40-377F-4993-9A37-0AE85A5DDBC6}"/>
    <cellStyle name="Normal 4 4 2 2 8 2 3" xfId="15269" xr:uid="{66F2D005-88B6-471A-9D46-69419FF72D2C}"/>
    <cellStyle name="Normal 4 4 2 2 8 3" xfId="19492" xr:uid="{7242E7DD-6BF2-490E-A4C7-4C7A937842E5}"/>
    <cellStyle name="Normal 4 4 2 2 8 4" xfId="11051" xr:uid="{7FD84778-D72A-444F-B7CA-DD55051E2D36}"/>
    <cellStyle name="Normal 4 4 2 2 9" xfId="4754" xr:uid="{00000000-0005-0000-0000-000015150000}"/>
    <cellStyle name="Normal 4 4 2 2 9 2" xfId="21645" xr:uid="{01AA44D9-04A5-455E-B1D6-91123FDB7ED0}"/>
    <cellStyle name="Normal 4 4 2 2 9 3" xfId="13204" xr:uid="{2ECDD9A1-B6C9-4501-B9D5-F5845BD3E7DF}"/>
    <cellStyle name="Normal 4 4 2 3" xfId="384" xr:uid="{00000000-0005-0000-0000-000016150000}"/>
    <cellStyle name="Normal 4 4 2 3 10" xfId="8990" xr:uid="{A0AF3C23-1AC8-458A-8AA4-3F4D422A094A}"/>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2 2 2" xfId="24208" xr:uid="{4AFB82F4-32B4-4065-81B3-B7A4E2466EF7}"/>
    <cellStyle name="Normal 4 4 2 3 2 2 2 2 3" xfId="15767" xr:uid="{30738D9B-C094-4C8C-8389-82F74747A5A8}"/>
    <cellStyle name="Normal 4 4 2 3 2 2 2 3" xfId="19990" xr:uid="{0BEE86D8-6F4D-4351-AB40-F314AE318823}"/>
    <cellStyle name="Normal 4 4 2 3 2 2 2 4" xfId="11549" xr:uid="{393B95B3-6B32-41E5-B144-E0DE8696ACAF}"/>
    <cellStyle name="Normal 4 4 2 3 2 2 3" xfId="5172" xr:uid="{00000000-0005-0000-0000-00001B150000}"/>
    <cellStyle name="Normal 4 4 2 3 2 2 3 2" xfId="22063" xr:uid="{B0A54794-539F-4F65-B195-B998FB77EC62}"/>
    <cellStyle name="Normal 4 4 2 3 2 2 3 3" xfId="13622" xr:uid="{5047989D-8571-4B1A-8C9E-37D75C76489A}"/>
    <cellStyle name="Normal 4 4 2 3 2 2 4" xfId="17845" xr:uid="{666241B9-165F-4C02-BA2F-C95098A6F964}"/>
    <cellStyle name="Normal 4 4 2 3 2 2 5" xfId="9404" xr:uid="{8EFD4811-E114-432F-8555-CA08DC5E0712}"/>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2 2 2" xfId="24621" xr:uid="{18D71CF0-3D57-4D59-9C5B-731B7862C9B3}"/>
    <cellStyle name="Normal 4 4 2 3 2 3 2 2 3" xfId="16180" xr:uid="{ECF45DA2-E41B-4401-919C-0DEDBA114B4E}"/>
    <cellStyle name="Normal 4 4 2 3 2 3 2 3" xfId="20403" xr:uid="{FBB2D1EF-012C-45A1-A233-AACB8B3165E2}"/>
    <cellStyle name="Normal 4 4 2 3 2 3 2 4" xfId="11962" xr:uid="{27798A89-B05F-460E-8527-A651090C97E3}"/>
    <cellStyle name="Normal 4 4 2 3 2 3 3" xfId="5585" xr:uid="{00000000-0005-0000-0000-00001F150000}"/>
    <cellStyle name="Normal 4 4 2 3 2 3 3 2" xfId="22476" xr:uid="{35F1E37B-DC59-4D3D-B531-F97C3FAD81B7}"/>
    <cellStyle name="Normal 4 4 2 3 2 3 3 3" xfId="14035" xr:uid="{7C4206AE-5EAB-4FEB-B244-5ACF846C8994}"/>
    <cellStyle name="Normal 4 4 2 3 2 3 4" xfId="18258" xr:uid="{B3D1B85B-FDC8-40F0-B278-7F31C009FF87}"/>
    <cellStyle name="Normal 4 4 2 3 2 3 5" xfId="9817" xr:uid="{0A931451-DC2E-4B61-B9BF-2D46366D709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2 2 2" xfId="25034" xr:uid="{29282E0C-6B07-49A9-81D6-3D7BDA869ABA}"/>
    <cellStyle name="Normal 4 4 2 3 2 4 2 2 3" xfId="16593" xr:uid="{9CA2FBE4-A823-4AC2-BB78-1F839655BCC9}"/>
    <cellStyle name="Normal 4 4 2 3 2 4 2 3" xfId="20816" xr:uid="{6CB0A454-43F5-443C-8C32-F8570DCA30C8}"/>
    <cellStyle name="Normal 4 4 2 3 2 4 2 4" xfId="12375" xr:uid="{294EEF28-026C-476F-893D-862967A8E620}"/>
    <cellStyle name="Normal 4 4 2 3 2 4 3" xfId="5998" xr:uid="{00000000-0005-0000-0000-000023150000}"/>
    <cellStyle name="Normal 4 4 2 3 2 4 3 2" xfId="22889" xr:uid="{E32688C7-A651-4975-A3CA-82BEB3D79C55}"/>
    <cellStyle name="Normal 4 4 2 3 2 4 3 3" xfId="14448" xr:uid="{B3269695-6C70-4C65-914A-D996913E3202}"/>
    <cellStyle name="Normal 4 4 2 3 2 4 4" xfId="18671" xr:uid="{26EF60BB-FD1B-4E57-9530-CE89A26F20F2}"/>
    <cellStyle name="Normal 4 4 2 3 2 4 5" xfId="10230" xr:uid="{40FB8536-D613-4E43-A367-B48CA4A171C3}"/>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2 2 2" xfId="25447" xr:uid="{68562A9A-4DEF-436D-8257-0B7F3B6897CA}"/>
    <cellStyle name="Normal 4 4 2 3 2 5 2 2 3" xfId="17006" xr:uid="{0E97AAC7-9968-4EC1-8322-F26B8BA563BA}"/>
    <cellStyle name="Normal 4 4 2 3 2 5 2 3" xfId="21229" xr:uid="{2CA46D6C-5A05-48B0-BF60-9F04E111702E}"/>
    <cellStyle name="Normal 4 4 2 3 2 5 2 4" xfId="12788" xr:uid="{C9D1DDC2-4DD4-4DA7-980E-852A078F278E}"/>
    <cellStyle name="Normal 4 4 2 3 2 5 3" xfId="6411" xr:uid="{00000000-0005-0000-0000-000027150000}"/>
    <cellStyle name="Normal 4 4 2 3 2 5 3 2" xfId="23302" xr:uid="{FDA0A9F0-0A3D-44CF-B83D-E354E21BFC21}"/>
    <cellStyle name="Normal 4 4 2 3 2 5 3 3" xfId="14861" xr:uid="{DD2E5DBC-D67F-4AD4-BED1-DC7034EA7C42}"/>
    <cellStyle name="Normal 4 4 2 3 2 5 4" xfId="19084" xr:uid="{BC1F26D4-EE0C-4EDA-80B3-E45E90D3A71A}"/>
    <cellStyle name="Normal 4 4 2 3 2 5 5" xfId="10643" xr:uid="{7F1A7A47-743A-4D7F-BDE4-DCB1BE537A75}"/>
    <cellStyle name="Normal 4 4 2 3 2 6" xfId="2541" xr:uid="{00000000-0005-0000-0000-000028150000}"/>
    <cellStyle name="Normal 4 4 2 3 2 6 2" xfId="6824" xr:uid="{00000000-0005-0000-0000-000029150000}"/>
    <cellStyle name="Normal 4 4 2 3 2 6 2 2" xfId="23715" xr:uid="{3070FA30-5124-4B4E-9A4C-46F0B9DA5FFB}"/>
    <cellStyle name="Normal 4 4 2 3 2 6 2 3" xfId="15274" xr:uid="{F32753DC-3B3F-48BB-8581-7B5DADFB184B}"/>
    <cellStyle name="Normal 4 4 2 3 2 6 3" xfId="19497" xr:uid="{62D97E58-68B8-4D13-8DF3-FBABA5B2B88D}"/>
    <cellStyle name="Normal 4 4 2 3 2 6 4" xfId="11056" xr:uid="{9A272161-35FE-4D92-845A-8A76CDD05723}"/>
    <cellStyle name="Normal 4 4 2 3 2 7" xfId="4759" xr:uid="{00000000-0005-0000-0000-00002A150000}"/>
    <cellStyle name="Normal 4 4 2 3 2 7 2" xfId="21650" xr:uid="{DFFDA9FB-BD13-4BD7-A096-793B5247B6B1}"/>
    <cellStyle name="Normal 4 4 2 3 2 7 3" xfId="13209" xr:uid="{85ED1EBE-6251-40EF-9EA6-15B8B0CBE503}"/>
    <cellStyle name="Normal 4 4 2 3 2 8" xfId="17432" xr:uid="{4747B58A-945F-4DD1-8271-AF9C15453585}"/>
    <cellStyle name="Normal 4 4 2 3 2 9" xfId="8991" xr:uid="{A1369D5C-2262-448D-A929-7CAF8C2E637A}"/>
    <cellStyle name="Normal 4 4 2 3 3" xfId="859" xr:uid="{00000000-0005-0000-0000-00002B150000}"/>
    <cellStyle name="Normal 4 4 2 3 3 2" xfId="3094" xr:uid="{00000000-0005-0000-0000-00002C150000}"/>
    <cellStyle name="Normal 4 4 2 3 3 2 2" xfId="7316" xr:uid="{00000000-0005-0000-0000-00002D150000}"/>
    <cellStyle name="Normal 4 4 2 3 3 2 2 2" xfId="24207" xr:uid="{05826CC9-B512-4751-A376-FD545771895F}"/>
    <cellStyle name="Normal 4 4 2 3 3 2 2 3" xfId="15766" xr:uid="{ACA996F4-C07D-482B-8479-92FC5FDB54B6}"/>
    <cellStyle name="Normal 4 4 2 3 3 2 3" xfId="19989" xr:uid="{AE9AEAD0-6256-4302-8A90-FAA2908338A9}"/>
    <cellStyle name="Normal 4 4 2 3 3 2 4" xfId="11548" xr:uid="{6F41C33D-29A6-4CC0-8C6C-333965641424}"/>
    <cellStyle name="Normal 4 4 2 3 3 3" xfId="5171" xr:uid="{00000000-0005-0000-0000-00002E150000}"/>
    <cellStyle name="Normal 4 4 2 3 3 3 2" xfId="22062" xr:uid="{8C8A9F90-E76E-4799-9D49-1EA50977DFC7}"/>
    <cellStyle name="Normal 4 4 2 3 3 3 3" xfId="13621" xr:uid="{2EB9F066-4225-4230-A86E-E2B1A92B623C}"/>
    <cellStyle name="Normal 4 4 2 3 3 4" xfId="17844" xr:uid="{B05EA0AB-287D-4FE1-AB14-51C7CA58D80F}"/>
    <cellStyle name="Normal 4 4 2 3 3 5" xfId="9403" xr:uid="{AEA6295F-3386-4C56-BDEA-5FF162E44C6A}"/>
    <cellStyle name="Normal 4 4 2 3 4" xfId="1277" xr:uid="{00000000-0005-0000-0000-00002F150000}"/>
    <cellStyle name="Normal 4 4 2 3 4 2" xfId="3507" xr:uid="{00000000-0005-0000-0000-000030150000}"/>
    <cellStyle name="Normal 4 4 2 3 4 2 2" xfId="7729" xr:uid="{00000000-0005-0000-0000-000031150000}"/>
    <cellStyle name="Normal 4 4 2 3 4 2 2 2" xfId="24620" xr:uid="{5B7864A1-EB95-4D2A-A350-05661E82109D}"/>
    <cellStyle name="Normal 4 4 2 3 4 2 2 3" xfId="16179" xr:uid="{D1441DFD-B23A-4BA4-955D-D2433D2879FC}"/>
    <cellStyle name="Normal 4 4 2 3 4 2 3" xfId="20402" xr:uid="{CBDD1C7F-4AA0-4BC7-B51C-6936EFFDA5F7}"/>
    <cellStyle name="Normal 4 4 2 3 4 2 4" xfId="11961" xr:uid="{75A236A4-C64A-4D17-8425-F282778C732D}"/>
    <cellStyle name="Normal 4 4 2 3 4 3" xfId="5584" xr:uid="{00000000-0005-0000-0000-000032150000}"/>
    <cellStyle name="Normal 4 4 2 3 4 3 2" xfId="22475" xr:uid="{81C4A64E-17A9-4A31-8D61-2E45F52AD5B0}"/>
    <cellStyle name="Normal 4 4 2 3 4 3 3" xfId="14034" xr:uid="{BAA65043-07FA-48EB-81C5-13CE60B1FD82}"/>
    <cellStyle name="Normal 4 4 2 3 4 4" xfId="18257" xr:uid="{B30813E3-483F-4FE6-B1DC-321AFB5DB381}"/>
    <cellStyle name="Normal 4 4 2 3 4 5" xfId="9816" xr:uid="{8F124AD4-4BE1-479B-9235-34A135EE0F68}"/>
    <cellStyle name="Normal 4 4 2 3 5" xfId="1690" xr:uid="{00000000-0005-0000-0000-000033150000}"/>
    <cellStyle name="Normal 4 4 2 3 5 2" xfId="3920" xr:uid="{00000000-0005-0000-0000-000034150000}"/>
    <cellStyle name="Normal 4 4 2 3 5 2 2" xfId="8142" xr:uid="{00000000-0005-0000-0000-000035150000}"/>
    <cellStyle name="Normal 4 4 2 3 5 2 2 2" xfId="25033" xr:uid="{F02A2B00-7EC0-418F-9D6C-2DE07C323C0B}"/>
    <cellStyle name="Normal 4 4 2 3 5 2 2 3" xfId="16592" xr:uid="{C6FA4E7E-2E12-4EB2-8D98-99815DC400B1}"/>
    <cellStyle name="Normal 4 4 2 3 5 2 3" xfId="20815" xr:uid="{96337AE2-11F9-4C22-8AA0-DE70E93FD01A}"/>
    <cellStyle name="Normal 4 4 2 3 5 2 4" xfId="12374" xr:uid="{FF701069-F714-4B53-A67C-D4F79AADFE27}"/>
    <cellStyle name="Normal 4 4 2 3 5 3" xfId="5997" xr:uid="{00000000-0005-0000-0000-000036150000}"/>
    <cellStyle name="Normal 4 4 2 3 5 3 2" xfId="22888" xr:uid="{783E5E94-8156-4A6E-AD2B-74343A3104AA}"/>
    <cellStyle name="Normal 4 4 2 3 5 3 3" xfId="14447" xr:uid="{CB524C30-3924-431E-9BAF-A156685B5E55}"/>
    <cellStyle name="Normal 4 4 2 3 5 4" xfId="18670" xr:uid="{389380C6-BF11-46B9-B58F-A03B125EE230}"/>
    <cellStyle name="Normal 4 4 2 3 5 5" xfId="10229" xr:uid="{42C4E00E-BA9C-4B96-815E-3DBDC3CF9DF1}"/>
    <cellStyle name="Normal 4 4 2 3 6" xfId="2104" xr:uid="{00000000-0005-0000-0000-000037150000}"/>
    <cellStyle name="Normal 4 4 2 3 6 2" xfId="4333" xr:uid="{00000000-0005-0000-0000-000038150000}"/>
    <cellStyle name="Normal 4 4 2 3 6 2 2" xfId="8555" xr:uid="{00000000-0005-0000-0000-000039150000}"/>
    <cellStyle name="Normal 4 4 2 3 6 2 2 2" xfId="25446" xr:uid="{46377932-3F13-42CD-A7F8-0A653105139F}"/>
    <cellStyle name="Normal 4 4 2 3 6 2 2 3" xfId="17005" xr:uid="{EC62EAAB-376D-4017-8507-E12CD2B167AD}"/>
    <cellStyle name="Normal 4 4 2 3 6 2 3" xfId="21228" xr:uid="{08AB4EB3-B48B-4221-B673-722C335C0AB1}"/>
    <cellStyle name="Normal 4 4 2 3 6 2 4" xfId="12787" xr:uid="{09BFCD62-B8FE-4FFD-B934-22E67A47372E}"/>
    <cellStyle name="Normal 4 4 2 3 6 3" xfId="6410" xr:uid="{00000000-0005-0000-0000-00003A150000}"/>
    <cellStyle name="Normal 4 4 2 3 6 3 2" xfId="23301" xr:uid="{DD5D46BA-E0D3-41EF-9C25-E76A85D00C53}"/>
    <cellStyle name="Normal 4 4 2 3 6 3 3" xfId="14860" xr:uid="{67A17021-F789-472E-8004-8F1C50C27F31}"/>
    <cellStyle name="Normal 4 4 2 3 6 4" xfId="19083" xr:uid="{38B1E2B5-4A63-40DF-9AA7-5C818466CC9B}"/>
    <cellStyle name="Normal 4 4 2 3 6 5" xfId="10642" xr:uid="{1F890B52-347D-4598-B974-9FAF1135A032}"/>
    <cellStyle name="Normal 4 4 2 3 7" xfId="2540" xr:uid="{00000000-0005-0000-0000-00003B150000}"/>
    <cellStyle name="Normal 4 4 2 3 7 2" xfId="6823" xr:uid="{00000000-0005-0000-0000-00003C150000}"/>
    <cellStyle name="Normal 4 4 2 3 7 2 2" xfId="23714" xr:uid="{8FC14528-FDC0-463A-92FC-00109DE42398}"/>
    <cellStyle name="Normal 4 4 2 3 7 2 3" xfId="15273" xr:uid="{5594E7DD-6E5C-4663-9683-0067036883BB}"/>
    <cellStyle name="Normal 4 4 2 3 7 3" xfId="19496" xr:uid="{E8BE1982-58AF-4D26-A8C2-F90BB60C9657}"/>
    <cellStyle name="Normal 4 4 2 3 7 4" xfId="11055" xr:uid="{E27D0FF6-3E83-44F9-A0D6-2E69C8AFFBFC}"/>
    <cellStyle name="Normal 4 4 2 3 8" xfId="4758" xr:uid="{00000000-0005-0000-0000-00003D150000}"/>
    <cellStyle name="Normal 4 4 2 3 8 2" xfId="21649" xr:uid="{A0E24F7A-6AE4-4521-BEF6-AF1266A93C71}"/>
    <cellStyle name="Normal 4 4 2 3 8 3" xfId="13208" xr:uid="{DC0E2232-5694-4D31-8A6B-8F7E71F88CC1}"/>
    <cellStyle name="Normal 4 4 2 3 9" xfId="17431" xr:uid="{6687EBE6-9F4D-4CD9-9468-B27EC491076A}"/>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2 2 2" xfId="24209" xr:uid="{4CABAF25-C0B6-470B-A582-3A77577920FD}"/>
    <cellStyle name="Normal 4 4 2 4 2 2 2 3" xfId="15768" xr:uid="{D4BD1446-635B-40AC-A990-71495453D968}"/>
    <cellStyle name="Normal 4 4 2 4 2 2 3" xfId="19991" xr:uid="{6A03D5B7-F7D5-43D6-9C43-0610AC09D0CF}"/>
    <cellStyle name="Normal 4 4 2 4 2 2 4" xfId="11550" xr:uid="{04E1BD95-1496-49ED-886B-01400A26DBE3}"/>
    <cellStyle name="Normal 4 4 2 4 2 3" xfId="5173" xr:uid="{00000000-0005-0000-0000-000042150000}"/>
    <cellStyle name="Normal 4 4 2 4 2 3 2" xfId="22064" xr:uid="{52745675-AC04-4FB1-9860-88BD7EE143CE}"/>
    <cellStyle name="Normal 4 4 2 4 2 3 3" xfId="13623" xr:uid="{0450A3F3-2DA3-4017-A0BB-052E522CA91C}"/>
    <cellStyle name="Normal 4 4 2 4 2 4" xfId="17846" xr:uid="{A656A2C6-DC81-478B-A651-80F2FF0C32E7}"/>
    <cellStyle name="Normal 4 4 2 4 2 5" xfId="9405" xr:uid="{B499269A-1F66-4017-86BA-6128485B385A}"/>
    <cellStyle name="Normal 4 4 2 4 3" xfId="1279" xr:uid="{00000000-0005-0000-0000-000043150000}"/>
    <cellStyle name="Normal 4 4 2 4 3 2" xfId="3509" xr:uid="{00000000-0005-0000-0000-000044150000}"/>
    <cellStyle name="Normal 4 4 2 4 3 2 2" xfId="7731" xr:uid="{00000000-0005-0000-0000-000045150000}"/>
    <cellStyle name="Normal 4 4 2 4 3 2 2 2" xfId="24622" xr:uid="{600933B5-1689-430B-AA06-273CF8681CBD}"/>
    <cellStyle name="Normal 4 4 2 4 3 2 2 3" xfId="16181" xr:uid="{5D6A2937-2690-4607-AA5A-ACBD98CFA9D8}"/>
    <cellStyle name="Normal 4 4 2 4 3 2 3" xfId="20404" xr:uid="{0527DD76-CF9E-4266-8551-30C46879FABA}"/>
    <cellStyle name="Normal 4 4 2 4 3 2 4" xfId="11963" xr:uid="{5905F3EC-7E6F-4186-9262-E83636CAA990}"/>
    <cellStyle name="Normal 4 4 2 4 3 3" xfId="5586" xr:uid="{00000000-0005-0000-0000-000046150000}"/>
    <cellStyle name="Normal 4 4 2 4 3 3 2" xfId="22477" xr:uid="{0CDBF013-836C-4121-8654-D16F6CE4D9EB}"/>
    <cellStyle name="Normal 4 4 2 4 3 3 3" xfId="14036" xr:uid="{DCA0A5FF-9A7D-427D-AC02-A6F582086C83}"/>
    <cellStyle name="Normal 4 4 2 4 3 4" xfId="18259" xr:uid="{CC884780-2B34-4182-8718-2BD29CC86F90}"/>
    <cellStyle name="Normal 4 4 2 4 3 5" xfId="9818" xr:uid="{BE455CD5-E517-4DDF-86F8-F1972B20A898}"/>
    <cellStyle name="Normal 4 4 2 4 4" xfId="1692" xr:uid="{00000000-0005-0000-0000-000047150000}"/>
    <cellStyle name="Normal 4 4 2 4 4 2" xfId="3922" xr:uid="{00000000-0005-0000-0000-000048150000}"/>
    <cellStyle name="Normal 4 4 2 4 4 2 2" xfId="8144" xr:uid="{00000000-0005-0000-0000-000049150000}"/>
    <cellStyle name="Normal 4 4 2 4 4 2 2 2" xfId="25035" xr:uid="{979FD040-41E9-4A38-A672-87C9F7B382D8}"/>
    <cellStyle name="Normal 4 4 2 4 4 2 2 3" xfId="16594" xr:uid="{92C7AFD7-E5D5-4B98-B609-0120A083E4FD}"/>
    <cellStyle name="Normal 4 4 2 4 4 2 3" xfId="20817" xr:uid="{C687337C-4E33-4612-A31B-57E4751E4D72}"/>
    <cellStyle name="Normal 4 4 2 4 4 2 4" xfId="12376" xr:uid="{065C2295-42B5-4EBD-96D9-867A9A4DE32D}"/>
    <cellStyle name="Normal 4 4 2 4 4 3" xfId="5999" xr:uid="{00000000-0005-0000-0000-00004A150000}"/>
    <cellStyle name="Normal 4 4 2 4 4 3 2" xfId="22890" xr:uid="{98E1DD72-4B2F-436D-BE29-2C463B18E38B}"/>
    <cellStyle name="Normal 4 4 2 4 4 3 3" xfId="14449" xr:uid="{85264C08-06B7-4E44-941E-59A6CCF9CBB7}"/>
    <cellStyle name="Normal 4 4 2 4 4 4" xfId="18672" xr:uid="{0F96FB1A-0E96-4A40-9955-BA021E180653}"/>
    <cellStyle name="Normal 4 4 2 4 4 5" xfId="10231" xr:uid="{E1D19F5D-A87F-401E-B5B3-E5BA92239F8C}"/>
    <cellStyle name="Normal 4 4 2 4 5" xfId="2106" xr:uid="{00000000-0005-0000-0000-00004B150000}"/>
    <cellStyle name="Normal 4 4 2 4 5 2" xfId="4335" xr:uid="{00000000-0005-0000-0000-00004C150000}"/>
    <cellStyle name="Normal 4 4 2 4 5 2 2" xfId="8557" xr:uid="{00000000-0005-0000-0000-00004D150000}"/>
    <cellStyle name="Normal 4 4 2 4 5 2 2 2" xfId="25448" xr:uid="{2B6B6D6A-4581-4554-AC39-F4D43F055AF5}"/>
    <cellStyle name="Normal 4 4 2 4 5 2 2 3" xfId="17007" xr:uid="{ECC49244-2BFA-4C08-818A-188F309C9B0C}"/>
    <cellStyle name="Normal 4 4 2 4 5 2 3" xfId="21230" xr:uid="{5E8D2447-B271-4D5F-983B-5002EFF8651A}"/>
    <cellStyle name="Normal 4 4 2 4 5 2 4" xfId="12789" xr:uid="{02FE6484-9EB8-4BC4-A27B-A2CCD35A4F46}"/>
    <cellStyle name="Normal 4 4 2 4 5 3" xfId="6412" xr:uid="{00000000-0005-0000-0000-00004E150000}"/>
    <cellStyle name="Normal 4 4 2 4 5 3 2" xfId="23303" xr:uid="{7F157FBD-2918-44C3-8467-0F22A7D90FF8}"/>
    <cellStyle name="Normal 4 4 2 4 5 3 3" xfId="14862" xr:uid="{942DDC4C-076A-4D5E-8C15-AF35FA2EE249}"/>
    <cellStyle name="Normal 4 4 2 4 5 4" xfId="19085" xr:uid="{8FE1CED7-B98B-4B64-8A2E-2A01ACB790D0}"/>
    <cellStyle name="Normal 4 4 2 4 5 5" xfId="10644" xr:uid="{804E234F-EDC1-494F-87EB-89B422DA25FC}"/>
    <cellStyle name="Normal 4 4 2 4 6" xfId="2542" xr:uid="{00000000-0005-0000-0000-00004F150000}"/>
    <cellStyle name="Normal 4 4 2 4 6 2" xfId="6825" xr:uid="{00000000-0005-0000-0000-000050150000}"/>
    <cellStyle name="Normal 4 4 2 4 6 2 2" xfId="23716" xr:uid="{F04699FC-F86B-4E49-90D6-FE21A305FE9E}"/>
    <cellStyle name="Normal 4 4 2 4 6 2 3" xfId="15275" xr:uid="{ADE30E58-4275-4F81-B5CF-F464F3AEA1B4}"/>
    <cellStyle name="Normal 4 4 2 4 6 3" xfId="19498" xr:uid="{6CCE61F2-22C8-487D-8C88-FB2773506B13}"/>
    <cellStyle name="Normal 4 4 2 4 6 4" xfId="11057" xr:uid="{1B08981D-4446-4E6D-8F56-5C2D7E1B0DD9}"/>
    <cellStyle name="Normal 4 4 2 4 7" xfId="4760" xr:uid="{00000000-0005-0000-0000-000051150000}"/>
    <cellStyle name="Normal 4 4 2 4 7 2" xfId="21651" xr:uid="{1FDE6CF4-36A3-4245-96AB-A9184C0A2B82}"/>
    <cellStyle name="Normal 4 4 2 4 7 3" xfId="13210" xr:uid="{DE636105-0660-45C1-AC75-BDA4EF648EF4}"/>
    <cellStyle name="Normal 4 4 2 4 8" xfId="17433" xr:uid="{C0992C6A-A93D-45DE-8829-10F8CED8D19C}"/>
    <cellStyle name="Normal 4 4 2 4 9" xfId="8992" xr:uid="{C0D471F5-8CAD-4AF4-B70B-F1F93FD21BAE}"/>
    <cellStyle name="Normal 4 4 2 5" xfId="854" xr:uid="{00000000-0005-0000-0000-000052150000}"/>
    <cellStyle name="Normal 4 4 2 5 2" xfId="3089" xr:uid="{00000000-0005-0000-0000-000053150000}"/>
    <cellStyle name="Normal 4 4 2 5 2 2" xfId="7311" xr:uid="{00000000-0005-0000-0000-000054150000}"/>
    <cellStyle name="Normal 4 4 2 5 2 2 2" xfId="24202" xr:uid="{AE858664-F630-4B73-AE4C-693DC9B6F392}"/>
    <cellStyle name="Normal 4 4 2 5 2 2 3" xfId="15761" xr:uid="{64C586B1-B64D-4F29-AFCC-692818BA8FC6}"/>
    <cellStyle name="Normal 4 4 2 5 2 3" xfId="19984" xr:uid="{7F60F9CE-1B6F-43E3-823E-2E430190E694}"/>
    <cellStyle name="Normal 4 4 2 5 2 4" xfId="11543" xr:uid="{51ED84D0-EA06-4C0B-A229-C321BA9A6079}"/>
    <cellStyle name="Normal 4 4 2 5 3" xfId="5166" xr:uid="{00000000-0005-0000-0000-000055150000}"/>
    <cellStyle name="Normal 4 4 2 5 3 2" xfId="22057" xr:uid="{B73331D2-6C4A-470B-B5F3-A8CCAB9B22B2}"/>
    <cellStyle name="Normal 4 4 2 5 3 3" xfId="13616" xr:uid="{58154ACC-BACA-4A26-A5E9-E852F9811B4C}"/>
    <cellStyle name="Normal 4 4 2 5 4" xfId="17839" xr:uid="{A5E0F1B3-300E-427A-8302-E41F1DA1A9CF}"/>
    <cellStyle name="Normal 4 4 2 5 5" xfId="9398" xr:uid="{920EE598-2444-4F35-B692-C37B994CB567}"/>
    <cellStyle name="Normal 4 4 2 6" xfId="1272" xr:uid="{00000000-0005-0000-0000-000056150000}"/>
    <cellStyle name="Normal 4 4 2 6 2" xfId="3502" xr:uid="{00000000-0005-0000-0000-000057150000}"/>
    <cellStyle name="Normal 4 4 2 6 2 2" xfId="7724" xr:uid="{00000000-0005-0000-0000-000058150000}"/>
    <cellStyle name="Normal 4 4 2 6 2 2 2" xfId="24615" xr:uid="{517AB0E1-9B03-4607-B854-B220A564AC93}"/>
    <cellStyle name="Normal 4 4 2 6 2 2 3" xfId="16174" xr:uid="{D612609A-E26C-4BA7-B7EA-A9BE4367250A}"/>
    <cellStyle name="Normal 4 4 2 6 2 3" xfId="20397" xr:uid="{2650A3E4-6B16-4499-BF15-02BCB167DA8A}"/>
    <cellStyle name="Normal 4 4 2 6 2 4" xfId="11956" xr:uid="{525A4046-E2DA-43A4-BCF4-FDE23EA6D9B8}"/>
    <cellStyle name="Normal 4 4 2 6 3" xfId="5579" xr:uid="{00000000-0005-0000-0000-000059150000}"/>
    <cellStyle name="Normal 4 4 2 6 3 2" xfId="22470" xr:uid="{0E414BF9-E767-4049-8DE8-18BFCD264FE1}"/>
    <cellStyle name="Normal 4 4 2 6 3 3" xfId="14029" xr:uid="{B05C7744-50F7-4E7A-9406-1516F107FBA5}"/>
    <cellStyle name="Normal 4 4 2 6 4" xfId="18252" xr:uid="{248D5709-525A-4861-ADF5-CB44BAD8B134}"/>
    <cellStyle name="Normal 4 4 2 6 5" xfId="9811" xr:uid="{BA5D87F0-7937-4C7A-873F-4F79C31E2DDF}"/>
    <cellStyle name="Normal 4 4 2 7" xfId="1685" xr:uid="{00000000-0005-0000-0000-00005A150000}"/>
    <cellStyle name="Normal 4 4 2 7 2" xfId="3915" xr:uid="{00000000-0005-0000-0000-00005B150000}"/>
    <cellStyle name="Normal 4 4 2 7 2 2" xfId="8137" xr:uid="{00000000-0005-0000-0000-00005C150000}"/>
    <cellStyle name="Normal 4 4 2 7 2 2 2" xfId="25028" xr:uid="{A271A34A-EFD7-4162-8970-654F611CA1C3}"/>
    <cellStyle name="Normal 4 4 2 7 2 2 3" xfId="16587" xr:uid="{EF746010-7442-483F-9A6B-119464639C66}"/>
    <cellStyle name="Normal 4 4 2 7 2 3" xfId="20810" xr:uid="{6E317905-8A2F-46D5-BE06-A4995AD1FBD4}"/>
    <cellStyle name="Normal 4 4 2 7 2 4" xfId="12369" xr:uid="{F6C80C6D-4EC1-4D23-9B27-1ED0EC06F411}"/>
    <cellStyle name="Normal 4 4 2 7 3" xfId="5992" xr:uid="{00000000-0005-0000-0000-00005D150000}"/>
    <cellStyle name="Normal 4 4 2 7 3 2" xfId="22883" xr:uid="{C9E7292B-E387-4600-A0ED-A034D7A1D516}"/>
    <cellStyle name="Normal 4 4 2 7 3 3" xfId="14442" xr:uid="{DBF00172-1EC2-410A-A12F-4D52C1FAE469}"/>
    <cellStyle name="Normal 4 4 2 7 4" xfId="18665" xr:uid="{84D60F15-86CB-4076-B39F-9A6BDC7ACB6F}"/>
    <cellStyle name="Normal 4 4 2 7 5" xfId="10224" xr:uid="{2536CBE2-196B-4041-BB54-E7B407A64B07}"/>
    <cellStyle name="Normal 4 4 2 8" xfId="2099" xr:uid="{00000000-0005-0000-0000-00005E150000}"/>
    <cellStyle name="Normal 4 4 2 8 2" xfId="4328" xr:uid="{00000000-0005-0000-0000-00005F150000}"/>
    <cellStyle name="Normal 4 4 2 8 2 2" xfId="8550" xr:uid="{00000000-0005-0000-0000-000060150000}"/>
    <cellStyle name="Normal 4 4 2 8 2 2 2" xfId="25441" xr:uid="{9B6E564F-A4C4-4F41-85F3-298A4AAF7D2B}"/>
    <cellStyle name="Normal 4 4 2 8 2 2 3" xfId="17000" xr:uid="{35C18E67-3B31-444E-B158-B2DBBADEA2A4}"/>
    <cellStyle name="Normal 4 4 2 8 2 3" xfId="21223" xr:uid="{0C843878-DC33-4D80-A158-8AE7E0A97281}"/>
    <cellStyle name="Normal 4 4 2 8 2 4" xfId="12782" xr:uid="{8F82BD93-58B2-47BA-A419-737E33AC575E}"/>
    <cellStyle name="Normal 4 4 2 8 3" xfId="6405" xr:uid="{00000000-0005-0000-0000-000061150000}"/>
    <cellStyle name="Normal 4 4 2 8 3 2" xfId="23296" xr:uid="{F93036CA-EA72-4BDF-A9B4-31E718C898F6}"/>
    <cellStyle name="Normal 4 4 2 8 3 3" xfId="14855" xr:uid="{A3FC0162-2CC3-41DC-88CA-3CF68EF5D1AC}"/>
    <cellStyle name="Normal 4 4 2 8 4" xfId="19078" xr:uid="{458EFE23-AF2F-41F1-B963-05606B27E998}"/>
    <cellStyle name="Normal 4 4 2 8 5" xfId="10637" xr:uid="{3E57B799-8FD4-4146-8947-E348D2A8E79A}"/>
    <cellStyle name="Normal 4 4 2 9" xfId="2535" xr:uid="{00000000-0005-0000-0000-000062150000}"/>
    <cellStyle name="Normal 4 4 2 9 2" xfId="6818" xr:uid="{00000000-0005-0000-0000-000063150000}"/>
    <cellStyle name="Normal 4 4 2 9 2 2" xfId="23709" xr:uid="{1978C367-C508-4F77-ABAD-4E57F33BE7E1}"/>
    <cellStyle name="Normal 4 4 2 9 2 3" xfId="15268" xr:uid="{C46F3A24-87E4-4277-930C-E608E6D7E68E}"/>
    <cellStyle name="Normal 4 4 2 9 3" xfId="19491" xr:uid="{0EA4D80E-1536-4B71-9071-35261F790025}"/>
    <cellStyle name="Normal 4 4 2 9 4" xfId="11050" xr:uid="{0D4E77B6-583D-478D-807F-A0FDA58E8676}"/>
    <cellStyle name="Normal 4 4 3" xfId="387" xr:uid="{00000000-0005-0000-0000-000064150000}"/>
    <cellStyle name="Normal 4 4 3 10" xfId="17434" xr:uid="{086F09C5-740D-43D9-B1F7-939F9EB2302D}"/>
    <cellStyle name="Normal 4 4 3 11" xfId="8993" xr:uid="{BDB91C76-8088-46E0-8A60-94D5D79A9B40}"/>
    <cellStyle name="Normal 4 4 3 2" xfId="388" xr:uid="{00000000-0005-0000-0000-000065150000}"/>
    <cellStyle name="Normal 4 4 3 2 10" xfId="8994" xr:uid="{376D55FE-6432-4062-B64F-A80BF3C8EDE4}"/>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2 2 2" xfId="24212" xr:uid="{8AD78489-0C73-459E-A926-1DFB58DA12B0}"/>
    <cellStyle name="Normal 4 4 3 2 2 2 2 2 3" xfId="15771" xr:uid="{B62125C3-3595-40C8-9684-F1AF5E5E67FC}"/>
    <cellStyle name="Normal 4 4 3 2 2 2 2 3" xfId="19994" xr:uid="{05FD5DB7-6F6C-44D6-BF32-EFAAAE30CBAB}"/>
    <cellStyle name="Normal 4 4 3 2 2 2 2 4" xfId="11553" xr:uid="{E883E6EF-2656-4B4A-A0CE-7B9CB12284F1}"/>
    <cellStyle name="Normal 4 4 3 2 2 2 3" xfId="5176" xr:uid="{00000000-0005-0000-0000-00006A150000}"/>
    <cellStyle name="Normal 4 4 3 2 2 2 3 2" xfId="22067" xr:uid="{8CB39ABD-8B50-4CB6-9E18-88D9D9523DE2}"/>
    <cellStyle name="Normal 4 4 3 2 2 2 3 3" xfId="13626" xr:uid="{54969931-AAD8-4191-BCE6-D9A46E1E1223}"/>
    <cellStyle name="Normal 4 4 3 2 2 2 4" xfId="17849" xr:uid="{7E11DF88-9B6A-4782-B6A8-AB08E7BE3AB7}"/>
    <cellStyle name="Normal 4 4 3 2 2 2 5" xfId="9408" xr:uid="{5A3EAC4C-B28A-41DB-ABD2-BB6D506839A4}"/>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2 2 2" xfId="24625" xr:uid="{6D408182-F88B-4C4E-BE6C-159659C52CD8}"/>
    <cellStyle name="Normal 4 4 3 2 2 3 2 2 3" xfId="16184" xr:uid="{4D6559BC-0F8E-458C-8290-9DBAAA29FA23}"/>
    <cellStyle name="Normal 4 4 3 2 2 3 2 3" xfId="20407" xr:uid="{3D30167C-FF45-4245-B9D5-069CF37C2AE3}"/>
    <cellStyle name="Normal 4 4 3 2 2 3 2 4" xfId="11966" xr:uid="{BB7FDA41-5F34-4D14-8920-F71A5AA618CD}"/>
    <cellStyle name="Normal 4 4 3 2 2 3 3" xfId="5589" xr:uid="{00000000-0005-0000-0000-00006E150000}"/>
    <cellStyle name="Normal 4 4 3 2 2 3 3 2" xfId="22480" xr:uid="{2A6158C4-C24D-497C-83EA-A62DBC65CE12}"/>
    <cellStyle name="Normal 4 4 3 2 2 3 3 3" xfId="14039" xr:uid="{FF130545-71B3-46AA-A28A-280A9A39196D}"/>
    <cellStyle name="Normal 4 4 3 2 2 3 4" xfId="18262" xr:uid="{824E6838-7398-485B-9324-92554CB8A0CB}"/>
    <cellStyle name="Normal 4 4 3 2 2 3 5" xfId="9821" xr:uid="{90A0F4FA-B5BE-42A0-BEE6-CD21332FCFB3}"/>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2 2 2" xfId="25038" xr:uid="{A6F87606-71B6-4771-A6B3-EB1721E71AEB}"/>
    <cellStyle name="Normal 4 4 3 2 2 4 2 2 3" xfId="16597" xr:uid="{4677F019-095B-4B59-8E5F-FAFAAAE7BAAB}"/>
    <cellStyle name="Normal 4 4 3 2 2 4 2 3" xfId="20820" xr:uid="{E551B496-5782-4825-9B9D-51D2142EB929}"/>
    <cellStyle name="Normal 4 4 3 2 2 4 2 4" xfId="12379" xr:uid="{9972FAE8-778A-4AD8-8080-02393F01683C}"/>
    <cellStyle name="Normal 4 4 3 2 2 4 3" xfId="6002" xr:uid="{00000000-0005-0000-0000-000072150000}"/>
    <cellStyle name="Normal 4 4 3 2 2 4 3 2" xfId="22893" xr:uid="{6D55F508-8FD6-4C49-89F0-7DEBA5C56ABB}"/>
    <cellStyle name="Normal 4 4 3 2 2 4 3 3" xfId="14452" xr:uid="{9C98465B-99A5-4911-9402-292CBC2B8608}"/>
    <cellStyle name="Normal 4 4 3 2 2 4 4" xfId="18675" xr:uid="{FD0245B7-07E4-4B0D-BDF2-66DFA997FC14}"/>
    <cellStyle name="Normal 4 4 3 2 2 4 5" xfId="10234" xr:uid="{F9A4A0E1-869A-48BE-AD7D-B47FBAC9CD6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2 2 2" xfId="25451" xr:uid="{4FCE9CC5-09C8-48CA-8728-59299EDA30A1}"/>
    <cellStyle name="Normal 4 4 3 2 2 5 2 2 3" xfId="17010" xr:uid="{B82B6D23-3E54-4A00-B295-1815E1696A70}"/>
    <cellStyle name="Normal 4 4 3 2 2 5 2 3" xfId="21233" xr:uid="{748F59E5-72FB-46C6-845E-FDB4B3A36468}"/>
    <cellStyle name="Normal 4 4 3 2 2 5 2 4" xfId="12792" xr:uid="{9A7EC948-8890-46DB-96F9-128DCF4D2F36}"/>
    <cellStyle name="Normal 4 4 3 2 2 5 3" xfId="6415" xr:uid="{00000000-0005-0000-0000-000076150000}"/>
    <cellStyle name="Normal 4 4 3 2 2 5 3 2" xfId="23306" xr:uid="{A87904D4-2CCA-47F9-A8F4-84C3B246B44F}"/>
    <cellStyle name="Normal 4 4 3 2 2 5 3 3" xfId="14865" xr:uid="{EF6F30B6-A661-45EC-86AF-9CE89F37DB1C}"/>
    <cellStyle name="Normal 4 4 3 2 2 5 4" xfId="19088" xr:uid="{6FB9B864-2339-4AC6-8021-DCF9981B965F}"/>
    <cellStyle name="Normal 4 4 3 2 2 5 5" xfId="10647" xr:uid="{DC59BB95-7D8C-47C9-84DB-E9ADE1054FB7}"/>
    <cellStyle name="Normal 4 4 3 2 2 6" xfId="2545" xr:uid="{00000000-0005-0000-0000-000077150000}"/>
    <cellStyle name="Normal 4 4 3 2 2 6 2" xfId="6828" xr:uid="{00000000-0005-0000-0000-000078150000}"/>
    <cellStyle name="Normal 4 4 3 2 2 6 2 2" xfId="23719" xr:uid="{100FD8CA-5F7C-4B60-93BA-D1E74E8D5433}"/>
    <cellStyle name="Normal 4 4 3 2 2 6 2 3" xfId="15278" xr:uid="{BACBE014-7A25-421E-A740-6ABB4B14B19B}"/>
    <cellStyle name="Normal 4 4 3 2 2 6 3" xfId="19501" xr:uid="{8B3520B7-61DB-4F77-9BD9-4A641D3092BB}"/>
    <cellStyle name="Normal 4 4 3 2 2 6 4" xfId="11060" xr:uid="{C7C870E8-FB6D-4014-AEC9-B6CEF6EEA5DC}"/>
    <cellStyle name="Normal 4 4 3 2 2 7" xfId="4763" xr:uid="{00000000-0005-0000-0000-000079150000}"/>
    <cellStyle name="Normal 4 4 3 2 2 7 2" xfId="21654" xr:uid="{CB9C8CC5-A5E9-4A4B-8A0D-84F53D07079C}"/>
    <cellStyle name="Normal 4 4 3 2 2 7 3" xfId="13213" xr:uid="{C12D25CF-0061-4F3C-BBE3-0EDF921BBCDE}"/>
    <cellStyle name="Normal 4 4 3 2 2 8" xfId="17436" xr:uid="{EE0BD8C0-19B1-4F6E-A77D-AC7C8ACF0885}"/>
    <cellStyle name="Normal 4 4 3 2 2 9" xfId="8995" xr:uid="{A8726965-60CD-42FB-8894-D2435419A590}"/>
    <cellStyle name="Normal 4 4 3 2 3" xfId="863" xr:uid="{00000000-0005-0000-0000-00007A150000}"/>
    <cellStyle name="Normal 4 4 3 2 3 2" xfId="3098" xr:uid="{00000000-0005-0000-0000-00007B150000}"/>
    <cellStyle name="Normal 4 4 3 2 3 2 2" xfId="7320" xr:uid="{00000000-0005-0000-0000-00007C150000}"/>
    <cellStyle name="Normal 4 4 3 2 3 2 2 2" xfId="24211" xr:uid="{4B8F2F35-7951-4BA4-8056-0E7878ACD585}"/>
    <cellStyle name="Normal 4 4 3 2 3 2 2 3" xfId="15770" xr:uid="{43C504AD-96DB-4BEF-BBDA-EF6C4D32CEBF}"/>
    <cellStyle name="Normal 4 4 3 2 3 2 3" xfId="19993" xr:uid="{928DEAB2-E8B5-4F5A-80D8-3C6E7EEA4EE2}"/>
    <cellStyle name="Normal 4 4 3 2 3 2 4" xfId="11552" xr:uid="{D728CBFE-5BC6-40D6-9E7B-6BAA691FACE5}"/>
    <cellStyle name="Normal 4 4 3 2 3 3" xfId="5175" xr:uid="{00000000-0005-0000-0000-00007D150000}"/>
    <cellStyle name="Normal 4 4 3 2 3 3 2" xfId="22066" xr:uid="{31D5A898-D4E7-4C97-8935-8B31D6E38A6A}"/>
    <cellStyle name="Normal 4 4 3 2 3 3 3" xfId="13625" xr:uid="{422730DF-9EB1-4FBF-8EFE-DC4C777E67B4}"/>
    <cellStyle name="Normal 4 4 3 2 3 4" xfId="17848" xr:uid="{ADF9014C-A86D-4E0F-8F9D-A069BD2FC85F}"/>
    <cellStyle name="Normal 4 4 3 2 3 5" xfId="9407" xr:uid="{FF6E60D1-29DD-4EDA-979C-D7085BFB26F4}"/>
    <cellStyle name="Normal 4 4 3 2 4" xfId="1281" xr:uid="{00000000-0005-0000-0000-00007E150000}"/>
    <cellStyle name="Normal 4 4 3 2 4 2" xfId="3511" xr:uid="{00000000-0005-0000-0000-00007F150000}"/>
    <cellStyle name="Normal 4 4 3 2 4 2 2" xfId="7733" xr:uid="{00000000-0005-0000-0000-000080150000}"/>
    <cellStyle name="Normal 4 4 3 2 4 2 2 2" xfId="24624" xr:uid="{A23C8CEF-EA28-468E-B871-E099BC1ABA9E}"/>
    <cellStyle name="Normal 4 4 3 2 4 2 2 3" xfId="16183" xr:uid="{BD4D8160-E144-4031-82DB-9061D0A92C88}"/>
    <cellStyle name="Normal 4 4 3 2 4 2 3" xfId="20406" xr:uid="{A965CD8D-A82B-42E8-A391-C24E19636F8E}"/>
    <cellStyle name="Normal 4 4 3 2 4 2 4" xfId="11965" xr:uid="{5C659224-CBC6-4FA0-925C-58350C6F4E39}"/>
    <cellStyle name="Normal 4 4 3 2 4 3" xfId="5588" xr:uid="{00000000-0005-0000-0000-000081150000}"/>
    <cellStyle name="Normal 4 4 3 2 4 3 2" xfId="22479" xr:uid="{2143A6B9-49C3-4CAE-A206-F771B2EB7A51}"/>
    <cellStyle name="Normal 4 4 3 2 4 3 3" xfId="14038" xr:uid="{5F394E1C-36BD-4D3B-B08D-0B37CCD91162}"/>
    <cellStyle name="Normal 4 4 3 2 4 4" xfId="18261" xr:uid="{69CD4C52-77B1-4A5F-A911-EB1F545CBF4A}"/>
    <cellStyle name="Normal 4 4 3 2 4 5" xfId="9820" xr:uid="{11F717C3-9BDB-466C-A523-3643718CBF61}"/>
    <cellStyle name="Normal 4 4 3 2 5" xfId="1694" xr:uid="{00000000-0005-0000-0000-000082150000}"/>
    <cellStyle name="Normal 4 4 3 2 5 2" xfId="3924" xr:uid="{00000000-0005-0000-0000-000083150000}"/>
    <cellStyle name="Normal 4 4 3 2 5 2 2" xfId="8146" xr:uid="{00000000-0005-0000-0000-000084150000}"/>
    <cellStyle name="Normal 4 4 3 2 5 2 2 2" xfId="25037" xr:uid="{C543E6E7-7F06-470A-A82C-91086D254E91}"/>
    <cellStyle name="Normal 4 4 3 2 5 2 2 3" xfId="16596" xr:uid="{4228C253-C002-4157-AF59-823E6F3F5D83}"/>
    <cellStyle name="Normal 4 4 3 2 5 2 3" xfId="20819" xr:uid="{36C82291-F9E3-4B60-885D-655B20235DBA}"/>
    <cellStyle name="Normal 4 4 3 2 5 2 4" xfId="12378" xr:uid="{340B3EF2-9CF1-44DD-9BDA-356B9730DA8F}"/>
    <cellStyle name="Normal 4 4 3 2 5 3" xfId="6001" xr:uid="{00000000-0005-0000-0000-000085150000}"/>
    <cellStyle name="Normal 4 4 3 2 5 3 2" xfId="22892" xr:uid="{E0A37A80-8D2B-495C-9E5E-6BA53C4E821D}"/>
    <cellStyle name="Normal 4 4 3 2 5 3 3" xfId="14451" xr:uid="{70BF2C18-84FB-44B5-B1F5-BCE9E6445D97}"/>
    <cellStyle name="Normal 4 4 3 2 5 4" xfId="18674" xr:uid="{C0470118-F29E-4225-8DF5-8B9ACE499936}"/>
    <cellStyle name="Normal 4 4 3 2 5 5" xfId="10233" xr:uid="{87204C9A-CCD7-489A-A99D-58E284817EB6}"/>
    <cellStyle name="Normal 4 4 3 2 6" xfId="2108" xr:uid="{00000000-0005-0000-0000-000086150000}"/>
    <cellStyle name="Normal 4 4 3 2 6 2" xfId="4337" xr:uid="{00000000-0005-0000-0000-000087150000}"/>
    <cellStyle name="Normal 4 4 3 2 6 2 2" xfId="8559" xr:uid="{00000000-0005-0000-0000-000088150000}"/>
    <cellStyle name="Normal 4 4 3 2 6 2 2 2" xfId="25450" xr:uid="{2D9BD268-3598-43FB-9CB4-436652F2BC88}"/>
    <cellStyle name="Normal 4 4 3 2 6 2 2 3" xfId="17009" xr:uid="{C679032E-AB40-4C47-8754-A3C2685AF304}"/>
    <cellStyle name="Normal 4 4 3 2 6 2 3" xfId="21232" xr:uid="{D4A2FCFB-394A-48EF-88F4-C9181314EF0A}"/>
    <cellStyle name="Normal 4 4 3 2 6 2 4" xfId="12791" xr:uid="{D48E45EF-3476-4BE7-AF2A-474243138DC9}"/>
    <cellStyle name="Normal 4 4 3 2 6 3" xfId="6414" xr:uid="{00000000-0005-0000-0000-000089150000}"/>
    <cellStyle name="Normal 4 4 3 2 6 3 2" xfId="23305" xr:uid="{C2F1CC13-D7B2-4AE8-8A68-D14354BFFF1E}"/>
    <cellStyle name="Normal 4 4 3 2 6 3 3" xfId="14864" xr:uid="{EFE642A2-B064-431C-8362-4421796EBB4F}"/>
    <cellStyle name="Normal 4 4 3 2 6 4" xfId="19087" xr:uid="{45769313-9834-4CEB-B0A0-71C912B109A4}"/>
    <cellStyle name="Normal 4 4 3 2 6 5" xfId="10646" xr:uid="{580CD33A-EA96-4B5D-BA93-9C9394503321}"/>
    <cellStyle name="Normal 4 4 3 2 7" xfId="2544" xr:uid="{00000000-0005-0000-0000-00008A150000}"/>
    <cellStyle name="Normal 4 4 3 2 7 2" xfId="6827" xr:uid="{00000000-0005-0000-0000-00008B150000}"/>
    <cellStyle name="Normal 4 4 3 2 7 2 2" xfId="23718" xr:uid="{94626904-151A-407C-B32F-DA3E2ABD67B1}"/>
    <cellStyle name="Normal 4 4 3 2 7 2 3" xfId="15277" xr:uid="{CF212FBE-E8DE-4A47-A1BB-A54E0FFC5B37}"/>
    <cellStyle name="Normal 4 4 3 2 7 3" xfId="19500" xr:uid="{82A60E40-3566-48B9-8241-C8E9226A2D4E}"/>
    <cellStyle name="Normal 4 4 3 2 7 4" xfId="11059" xr:uid="{98D85FD1-13CD-48EA-9F1A-C10EC08D066D}"/>
    <cellStyle name="Normal 4 4 3 2 8" xfId="4762" xr:uid="{00000000-0005-0000-0000-00008C150000}"/>
    <cellStyle name="Normal 4 4 3 2 8 2" xfId="21653" xr:uid="{B0731C4A-C65F-4C92-AEDD-C9FE9025E1D0}"/>
    <cellStyle name="Normal 4 4 3 2 8 3" xfId="13212" xr:uid="{A0743468-8910-4EC6-A43F-EFE5FC59610E}"/>
    <cellStyle name="Normal 4 4 3 2 9" xfId="17435" xr:uid="{4E6007DF-DCBD-4F7E-A353-DC7666B89408}"/>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2 2 2" xfId="24213" xr:uid="{0C62D0CC-3671-4E98-B816-3B9692B73477}"/>
    <cellStyle name="Normal 4 4 3 3 2 2 2 3" xfId="15772" xr:uid="{44ACC6C7-031B-4614-BBB6-92B3D0F0A99A}"/>
    <cellStyle name="Normal 4 4 3 3 2 2 3" xfId="19995" xr:uid="{E2F4AAE0-106F-4421-B886-129506F0C271}"/>
    <cellStyle name="Normal 4 4 3 3 2 2 4" xfId="11554" xr:uid="{BFEFD1E6-B67D-4423-A78D-EE3E9C2D2F14}"/>
    <cellStyle name="Normal 4 4 3 3 2 3" xfId="5177" xr:uid="{00000000-0005-0000-0000-000091150000}"/>
    <cellStyle name="Normal 4 4 3 3 2 3 2" xfId="22068" xr:uid="{AA976E84-147A-4925-9D8E-EFEBDC155843}"/>
    <cellStyle name="Normal 4 4 3 3 2 3 3" xfId="13627" xr:uid="{52A2095C-B28B-4BDF-A71D-CA914726A8F8}"/>
    <cellStyle name="Normal 4 4 3 3 2 4" xfId="17850" xr:uid="{009CD3D0-EF96-4DD6-8175-AD2094A29BBD}"/>
    <cellStyle name="Normal 4 4 3 3 2 5" xfId="9409" xr:uid="{C5C5A4F8-8EBC-489F-A7C7-BFD6C0725402}"/>
    <cellStyle name="Normal 4 4 3 3 3" xfId="1283" xr:uid="{00000000-0005-0000-0000-000092150000}"/>
    <cellStyle name="Normal 4 4 3 3 3 2" xfId="3513" xr:uid="{00000000-0005-0000-0000-000093150000}"/>
    <cellStyle name="Normal 4 4 3 3 3 2 2" xfId="7735" xr:uid="{00000000-0005-0000-0000-000094150000}"/>
    <cellStyle name="Normal 4 4 3 3 3 2 2 2" xfId="24626" xr:uid="{E9A87A4C-C0BF-433E-8BD1-257F60AB4A78}"/>
    <cellStyle name="Normal 4 4 3 3 3 2 2 3" xfId="16185" xr:uid="{821417DC-FC1A-49AB-AF9B-FC29DA91045F}"/>
    <cellStyle name="Normal 4 4 3 3 3 2 3" xfId="20408" xr:uid="{A714BF0C-433C-4EC5-ABFE-A1A12E97FA42}"/>
    <cellStyle name="Normal 4 4 3 3 3 2 4" xfId="11967" xr:uid="{02270B15-9F09-4CE7-A14E-6838590E643D}"/>
    <cellStyle name="Normal 4 4 3 3 3 3" xfId="5590" xr:uid="{00000000-0005-0000-0000-000095150000}"/>
    <cellStyle name="Normal 4 4 3 3 3 3 2" xfId="22481" xr:uid="{33DFA9E4-309B-4C3F-913C-1E282A386BAC}"/>
    <cellStyle name="Normal 4 4 3 3 3 3 3" xfId="14040" xr:uid="{188A3E88-D100-4A0C-B829-160D80A055E9}"/>
    <cellStyle name="Normal 4 4 3 3 3 4" xfId="18263" xr:uid="{1A149926-C376-46EF-B072-FC995E04B8B8}"/>
    <cellStyle name="Normal 4 4 3 3 3 5" xfId="9822" xr:uid="{5CC3860B-BE72-4089-9E8F-807DA7365797}"/>
    <cellStyle name="Normal 4 4 3 3 4" xfId="1696" xr:uid="{00000000-0005-0000-0000-000096150000}"/>
    <cellStyle name="Normal 4 4 3 3 4 2" xfId="3926" xr:uid="{00000000-0005-0000-0000-000097150000}"/>
    <cellStyle name="Normal 4 4 3 3 4 2 2" xfId="8148" xr:uid="{00000000-0005-0000-0000-000098150000}"/>
    <cellStyle name="Normal 4 4 3 3 4 2 2 2" xfId="25039" xr:uid="{12178190-F87F-4BE9-B7CC-6E63884B9C3E}"/>
    <cellStyle name="Normal 4 4 3 3 4 2 2 3" xfId="16598" xr:uid="{A412C83E-AAD8-4FEE-8D6F-19F85EFDE27F}"/>
    <cellStyle name="Normal 4 4 3 3 4 2 3" xfId="20821" xr:uid="{D0911596-A30E-4D5D-8F70-59C76822CC1E}"/>
    <cellStyle name="Normal 4 4 3 3 4 2 4" xfId="12380" xr:uid="{179904F0-7606-4405-B7B0-F1CDF82446AF}"/>
    <cellStyle name="Normal 4 4 3 3 4 3" xfId="6003" xr:uid="{00000000-0005-0000-0000-000099150000}"/>
    <cellStyle name="Normal 4 4 3 3 4 3 2" xfId="22894" xr:uid="{B0E095A6-C2EB-4869-9448-83041537BCB0}"/>
    <cellStyle name="Normal 4 4 3 3 4 3 3" xfId="14453" xr:uid="{3F70DB94-344B-4D8C-B2FF-5D8A3B8E6E6B}"/>
    <cellStyle name="Normal 4 4 3 3 4 4" xfId="18676" xr:uid="{85E2C9C0-50B6-460C-8689-EF5F3C33CA10}"/>
    <cellStyle name="Normal 4 4 3 3 4 5" xfId="10235" xr:uid="{855DCB12-BAFC-45CC-8416-A42F978EE2B0}"/>
    <cellStyle name="Normal 4 4 3 3 5" xfId="2110" xr:uid="{00000000-0005-0000-0000-00009A150000}"/>
    <cellStyle name="Normal 4 4 3 3 5 2" xfId="4339" xr:uid="{00000000-0005-0000-0000-00009B150000}"/>
    <cellStyle name="Normal 4 4 3 3 5 2 2" xfId="8561" xr:uid="{00000000-0005-0000-0000-00009C150000}"/>
    <cellStyle name="Normal 4 4 3 3 5 2 2 2" xfId="25452" xr:uid="{DD772682-2565-411D-A1F6-C6B562E7A678}"/>
    <cellStyle name="Normal 4 4 3 3 5 2 2 3" xfId="17011" xr:uid="{B8433CC0-20F3-4BC1-B6EA-AF2E0265437B}"/>
    <cellStyle name="Normal 4 4 3 3 5 2 3" xfId="21234" xr:uid="{9898D258-6FF0-4C6D-B20D-20AC00BD81C1}"/>
    <cellStyle name="Normal 4 4 3 3 5 2 4" xfId="12793" xr:uid="{3E86D9A9-A02B-4744-9350-D1AE9A581C0F}"/>
    <cellStyle name="Normal 4 4 3 3 5 3" xfId="6416" xr:uid="{00000000-0005-0000-0000-00009D150000}"/>
    <cellStyle name="Normal 4 4 3 3 5 3 2" xfId="23307" xr:uid="{7F37A831-8B55-4D6F-8BB3-07E7F4A54000}"/>
    <cellStyle name="Normal 4 4 3 3 5 3 3" xfId="14866" xr:uid="{773C7DF9-9DEE-4B29-B58E-5AF6EA18F81F}"/>
    <cellStyle name="Normal 4 4 3 3 5 4" xfId="19089" xr:uid="{5E91644D-E728-473C-9CA9-79EEDE93A39E}"/>
    <cellStyle name="Normal 4 4 3 3 5 5" xfId="10648" xr:uid="{20397A92-F7DC-4B14-861B-A256D49B8642}"/>
    <cellStyle name="Normal 4 4 3 3 6" xfId="2546" xr:uid="{00000000-0005-0000-0000-00009E150000}"/>
    <cellStyle name="Normal 4 4 3 3 6 2" xfId="6829" xr:uid="{00000000-0005-0000-0000-00009F150000}"/>
    <cellStyle name="Normal 4 4 3 3 6 2 2" xfId="23720" xr:uid="{DE200F69-FADB-4CB6-987F-9056CA53D0B6}"/>
    <cellStyle name="Normal 4 4 3 3 6 2 3" xfId="15279" xr:uid="{D40791F6-637F-4BFF-AFB3-71BCF5C3F509}"/>
    <cellStyle name="Normal 4 4 3 3 6 3" xfId="19502" xr:uid="{60D67514-16FB-4576-8350-D06513891CE8}"/>
    <cellStyle name="Normal 4 4 3 3 6 4" xfId="11061" xr:uid="{D345376E-86EE-473C-8A58-0BAEA8C3CA9F}"/>
    <cellStyle name="Normal 4 4 3 3 7" xfId="4764" xr:uid="{00000000-0005-0000-0000-0000A0150000}"/>
    <cellStyle name="Normal 4 4 3 3 7 2" xfId="21655" xr:uid="{B6D7709E-9C4C-44E1-99F2-AAA7827E4E56}"/>
    <cellStyle name="Normal 4 4 3 3 7 3" xfId="13214" xr:uid="{ABDFFDB6-FF46-44D0-B239-3FA22CAFC985}"/>
    <cellStyle name="Normal 4 4 3 3 8" xfId="17437" xr:uid="{0932C1EA-50CD-4EDF-BD1B-7CE2FD043965}"/>
    <cellStyle name="Normal 4 4 3 3 9" xfId="8996" xr:uid="{489E49D3-9966-4A5D-B894-55709358996B}"/>
    <cellStyle name="Normal 4 4 3 4" xfId="862" xr:uid="{00000000-0005-0000-0000-0000A1150000}"/>
    <cellStyle name="Normal 4 4 3 4 2" xfId="3097" xr:uid="{00000000-0005-0000-0000-0000A2150000}"/>
    <cellStyle name="Normal 4 4 3 4 2 2" xfId="7319" xr:uid="{00000000-0005-0000-0000-0000A3150000}"/>
    <cellStyle name="Normal 4 4 3 4 2 2 2" xfId="24210" xr:uid="{707F5AE5-141D-4213-88CF-EB258C67204E}"/>
    <cellStyle name="Normal 4 4 3 4 2 2 3" xfId="15769" xr:uid="{DF39AE04-B946-4CE0-AFF7-09961D80533C}"/>
    <cellStyle name="Normal 4 4 3 4 2 3" xfId="19992" xr:uid="{CFE46657-A7CE-4FE0-96F7-73BBE8C084B4}"/>
    <cellStyle name="Normal 4 4 3 4 2 4" xfId="11551" xr:uid="{967C8583-1462-474B-8598-FAF74E0EFC88}"/>
    <cellStyle name="Normal 4 4 3 4 3" xfId="5174" xr:uid="{00000000-0005-0000-0000-0000A4150000}"/>
    <cellStyle name="Normal 4 4 3 4 3 2" xfId="22065" xr:uid="{85D42960-84A5-4473-903B-7892E8D74729}"/>
    <cellStyle name="Normal 4 4 3 4 3 3" xfId="13624" xr:uid="{F9A59E0C-D471-4539-8587-D99093ECC8E5}"/>
    <cellStyle name="Normal 4 4 3 4 4" xfId="17847" xr:uid="{BFFFB987-3D4C-4D07-B9DC-CBF359A17F7D}"/>
    <cellStyle name="Normal 4 4 3 4 5" xfId="9406" xr:uid="{1343C3DC-8164-449D-9FDF-D0AC7DE759E2}"/>
    <cellStyle name="Normal 4 4 3 5" xfId="1280" xr:uid="{00000000-0005-0000-0000-0000A5150000}"/>
    <cellStyle name="Normal 4 4 3 5 2" xfId="3510" xr:uid="{00000000-0005-0000-0000-0000A6150000}"/>
    <cellStyle name="Normal 4 4 3 5 2 2" xfId="7732" xr:uid="{00000000-0005-0000-0000-0000A7150000}"/>
    <cellStyle name="Normal 4 4 3 5 2 2 2" xfId="24623" xr:uid="{22E1941B-C7A1-4A00-8C15-78834F87FCF2}"/>
    <cellStyle name="Normal 4 4 3 5 2 2 3" xfId="16182" xr:uid="{0D62E757-7564-4C05-85A9-C6BFE3E3881C}"/>
    <cellStyle name="Normal 4 4 3 5 2 3" xfId="20405" xr:uid="{08DF5802-EC5D-4F40-86A4-3200C4B25F19}"/>
    <cellStyle name="Normal 4 4 3 5 2 4" xfId="11964" xr:uid="{F957ED31-3DE4-4F5A-BF03-6DED884F85B2}"/>
    <cellStyle name="Normal 4 4 3 5 3" xfId="5587" xr:uid="{00000000-0005-0000-0000-0000A8150000}"/>
    <cellStyle name="Normal 4 4 3 5 3 2" xfId="22478" xr:uid="{53925AA6-18DE-4E9D-BF35-31196C19FC2D}"/>
    <cellStyle name="Normal 4 4 3 5 3 3" xfId="14037" xr:uid="{585909D7-084B-4E8D-9C40-0ACBA68B298C}"/>
    <cellStyle name="Normal 4 4 3 5 4" xfId="18260" xr:uid="{61F46694-A61C-4042-8BF4-C28BE2AA3667}"/>
    <cellStyle name="Normal 4 4 3 5 5" xfId="9819" xr:uid="{F0C779FF-51CB-4174-9DC0-CF9FF4C3F684}"/>
    <cellStyle name="Normal 4 4 3 6" xfId="1693" xr:uid="{00000000-0005-0000-0000-0000A9150000}"/>
    <cellStyle name="Normal 4 4 3 6 2" xfId="3923" xr:uid="{00000000-0005-0000-0000-0000AA150000}"/>
    <cellStyle name="Normal 4 4 3 6 2 2" xfId="8145" xr:uid="{00000000-0005-0000-0000-0000AB150000}"/>
    <cellStyle name="Normal 4 4 3 6 2 2 2" xfId="25036" xr:uid="{757B14B7-8020-446B-8BAB-98ADB56E4684}"/>
    <cellStyle name="Normal 4 4 3 6 2 2 3" xfId="16595" xr:uid="{5756D4A7-975C-4837-A0DA-CDAACEE8B038}"/>
    <cellStyle name="Normal 4 4 3 6 2 3" xfId="20818" xr:uid="{72B68CAD-462B-4464-9459-E89D97EA8D2B}"/>
    <cellStyle name="Normal 4 4 3 6 2 4" xfId="12377" xr:uid="{FE198C03-CB5C-4EBA-BB1F-6D33B1A527DE}"/>
    <cellStyle name="Normal 4 4 3 6 3" xfId="6000" xr:uid="{00000000-0005-0000-0000-0000AC150000}"/>
    <cellStyle name="Normal 4 4 3 6 3 2" xfId="22891" xr:uid="{132A52AC-560B-488D-AC83-4093356A49B3}"/>
    <cellStyle name="Normal 4 4 3 6 3 3" xfId="14450" xr:uid="{B1537B94-0660-44B4-8E02-43D1F31558DD}"/>
    <cellStyle name="Normal 4 4 3 6 4" xfId="18673" xr:uid="{7BDFEA9B-7BAE-46A5-8622-4F2A0CF5DFA5}"/>
    <cellStyle name="Normal 4 4 3 6 5" xfId="10232" xr:uid="{E66B3231-7511-495A-A208-D3D2710A6481}"/>
    <cellStyle name="Normal 4 4 3 7" xfId="2107" xr:uid="{00000000-0005-0000-0000-0000AD150000}"/>
    <cellStyle name="Normal 4 4 3 7 2" xfId="4336" xr:uid="{00000000-0005-0000-0000-0000AE150000}"/>
    <cellStyle name="Normal 4 4 3 7 2 2" xfId="8558" xr:uid="{00000000-0005-0000-0000-0000AF150000}"/>
    <cellStyle name="Normal 4 4 3 7 2 2 2" xfId="25449" xr:uid="{E030E94F-7032-467C-B55D-E07918A58443}"/>
    <cellStyle name="Normal 4 4 3 7 2 2 3" xfId="17008" xr:uid="{D81C1388-D102-41AB-B2C2-8BB2D3E26AF5}"/>
    <cellStyle name="Normal 4 4 3 7 2 3" xfId="21231" xr:uid="{048A2D81-4556-415D-96A8-4221FC6029F3}"/>
    <cellStyle name="Normal 4 4 3 7 2 4" xfId="12790" xr:uid="{05277F2A-1037-48BC-9C57-B6C02155949E}"/>
    <cellStyle name="Normal 4 4 3 7 3" xfId="6413" xr:uid="{00000000-0005-0000-0000-0000B0150000}"/>
    <cellStyle name="Normal 4 4 3 7 3 2" xfId="23304" xr:uid="{6CE09DFD-3589-4533-8C84-4276BB10A3A3}"/>
    <cellStyle name="Normal 4 4 3 7 3 3" xfId="14863" xr:uid="{CB8C4004-544D-4F79-8AAA-22DFFA8960B6}"/>
    <cellStyle name="Normal 4 4 3 7 4" xfId="19086" xr:uid="{B7E47024-B3A8-4ABF-B8FE-8AAE7EBE008F}"/>
    <cellStyle name="Normal 4 4 3 7 5" xfId="10645" xr:uid="{DDD89442-1D70-4700-89F9-C87B9FBF39F2}"/>
    <cellStyle name="Normal 4 4 3 8" xfId="2543" xr:uid="{00000000-0005-0000-0000-0000B1150000}"/>
    <cellStyle name="Normal 4 4 3 8 2" xfId="6826" xr:uid="{00000000-0005-0000-0000-0000B2150000}"/>
    <cellStyle name="Normal 4 4 3 8 2 2" xfId="23717" xr:uid="{BBCAE79D-8EB7-4944-ADBF-17D69641B00E}"/>
    <cellStyle name="Normal 4 4 3 8 2 3" xfId="15276" xr:uid="{2C6249E8-B1B7-4EC0-83F2-F832219BC7D0}"/>
    <cellStyle name="Normal 4 4 3 8 3" xfId="19499" xr:uid="{7CB0567F-2E7C-4377-9876-86AEB7DFA7F0}"/>
    <cellStyle name="Normal 4 4 3 8 4" xfId="11058" xr:uid="{6026F62A-203A-4522-9453-52C2CA4A6978}"/>
    <cellStyle name="Normal 4 4 3 9" xfId="4761" xr:uid="{00000000-0005-0000-0000-0000B3150000}"/>
    <cellStyle name="Normal 4 4 3 9 2" xfId="21652" xr:uid="{5CBEFB4E-CB13-4D9D-9B7F-6C771A8A5841}"/>
    <cellStyle name="Normal 4 4 3 9 3" xfId="13211" xr:uid="{A6D9DCFD-CC06-4829-923F-5606CC7334F3}"/>
    <cellStyle name="Normal 4 4 4" xfId="391" xr:uid="{00000000-0005-0000-0000-0000B4150000}"/>
    <cellStyle name="Normal 4 4 4 10" xfId="8997" xr:uid="{26D25E65-F0DA-4B08-AACB-B0FC15119558}"/>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2 2 2" xfId="24215" xr:uid="{15A2FD43-FCEB-46BD-825D-2ED3E764CC48}"/>
    <cellStyle name="Normal 4 4 4 2 2 2 2 3" xfId="15774" xr:uid="{5F349C3F-F8C5-4428-91C5-5295F97A808C}"/>
    <cellStyle name="Normal 4 4 4 2 2 2 3" xfId="19997" xr:uid="{FD591B0F-09AE-4AAF-8417-81C87AA8E525}"/>
    <cellStyle name="Normal 4 4 4 2 2 2 4" xfId="11556" xr:uid="{F22611D3-8F68-4F59-BDE2-D992A9BD8762}"/>
    <cellStyle name="Normal 4 4 4 2 2 3" xfId="5179" xr:uid="{00000000-0005-0000-0000-0000B9150000}"/>
    <cellStyle name="Normal 4 4 4 2 2 3 2" xfId="22070" xr:uid="{A7FF5691-99A6-47A5-A036-0EDE51C94066}"/>
    <cellStyle name="Normal 4 4 4 2 2 3 3" xfId="13629" xr:uid="{1BFDB93D-BAE8-4412-B280-FB9FF353650C}"/>
    <cellStyle name="Normal 4 4 4 2 2 4" xfId="17852" xr:uid="{582BBA23-3B98-43A3-8FF6-AF7DD0F19511}"/>
    <cellStyle name="Normal 4 4 4 2 2 5" xfId="9411" xr:uid="{8691CC56-732A-43F0-833E-6268FEAE7AB1}"/>
    <cellStyle name="Normal 4 4 4 2 3" xfId="1285" xr:uid="{00000000-0005-0000-0000-0000BA150000}"/>
    <cellStyle name="Normal 4 4 4 2 3 2" xfId="3515" xr:uid="{00000000-0005-0000-0000-0000BB150000}"/>
    <cellStyle name="Normal 4 4 4 2 3 2 2" xfId="7737" xr:uid="{00000000-0005-0000-0000-0000BC150000}"/>
    <cellStyle name="Normal 4 4 4 2 3 2 2 2" xfId="24628" xr:uid="{BD2079E5-7197-4245-AD8D-51827E017305}"/>
    <cellStyle name="Normal 4 4 4 2 3 2 2 3" xfId="16187" xr:uid="{01FB585E-BE8B-47A2-957C-5799FCF7C1C8}"/>
    <cellStyle name="Normal 4 4 4 2 3 2 3" xfId="20410" xr:uid="{940162ED-21DA-4230-AB52-4DE402AE83BC}"/>
    <cellStyle name="Normal 4 4 4 2 3 2 4" xfId="11969" xr:uid="{A01557D5-42CF-4ED4-BD0B-61205650D305}"/>
    <cellStyle name="Normal 4 4 4 2 3 3" xfId="5592" xr:uid="{00000000-0005-0000-0000-0000BD150000}"/>
    <cellStyle name="Normal 4 4 4 2 3 3 2" xfId="22483" xr:uid="{232EC9A1-0F21-4938-BD91-5E8EE23EF5AA}"/>
    <cellStyle name="Normal 4 4 4 2 3 3 3" xfId="14042" xr:uid="{BF23DDC3-0251-42D8-89DD-DE32DD8A3480}"/>
    <cellStyle name="Normal 4 4 4 2 3 4" xfId="18265" xr:uid="{12A65FC4-E3B7-4302-B17F-6012F545FB60}"/>
    <cellStyle name="Normal 4 4 4 2 3 5" xfId="9824" xr:uid="{27521380-2B2B-47E3-8FDA-A5F38CFB247E}"/>
    <cellStyle name="Normal 4 4 4 2 4" xfId="1698" xr:uid="{00000000-0005-0000-0000-0000BE150000}"/>
    <cellStyle name="Normal 4 4 4 2 4 2" xfId="3928" xr:uid="{00000000-0005-0000-0000-0000BF150000}"/>
    <cellStyle name="Normal 4 4 4 2 4 2 2" xfId="8150" xr:uid="{00000000-0005-0000-0000-0000C0150000}"/>
    <cellStyle name="Normal 4 4 4 2 4 2 2 2" xfId="25041" xr:uid="{71B25020-E908-496C-9FB9-318B0D08EC4D}"/>
    <cellStyle name="Normal 4 4 4 2 4 2 2 3" xfId="16600" xr:uid="{412FCA6C-2939-4B83-A609-6F751113E1DC}"/>
    <cellStyle name="Normal 4 4 4 2 4 2 3" xfId="20823" xr:uid="{79E1100A-C6A3-4235-B6E8-9E083AD691F3}"/>
    <cellStyle name="Normal 4 4 4 2 4 2 4" xfId="12382" xr:uid="{9220202F-D949-491E-8139-863087AF961B}"/>
    <cellStyle name="Normal 4 4 4 2 4 3" xfId="6005" xr:uid="{00000000-0005-0000-0000-0000C1150000}"/>
    <cellStyle name="Normal 4 4 4 2 4 3 2" xfId="22896" xr:uid="{399EC2B0-3AA9-45E1-930F-F142108606A7}"/>
    <cellStyle name="Normal 4 4 4 2 4 3 3" xfId="14455" xr:uid="{93E4A661-8DA2-4F3C-9E73-0E2CA9BA3E58}"/>
    <cellStyle name="Normal 4 4 4 2 4 4" xfId="18678" xr:uid="{8E7C92A9-8411-4F3C-9866-52F621F3C9E9}"/>
    <cellStyle name="Normal 4 4 4 2 4 5" xfId="10237" xr:uid="{4D960B3A-5DDE-4FF3-BD70-0DF1C60CD38C}"/>
    <cellStyle name="Normal 4 4 4 2 5" xfId="2112" xr:uid="{00000000-0005-0000-0000-0000C2150000}"/>
    <cellStyle name="Normal 4 4 4 2 5 2" xfId="4341" xr:uid="{00000000-0005-0000-0000-0000C3150000}"/>
    <cellStyle name="Normal 4 4 4 2 5 2 2" xfId="8563" xr:uid="{00000000-0005-0000-0000-0000C4150000}"/>
    <cellStyle name="Normal 4 4 4 2 5 2 2 2" xfId="25454" xr:uid="{C4086BA6-AE33-46F5-A957-898A77B78D8F}"/>
    <cellStyle name="Normal 4 4 4 2 5 2 2 3" xfId="17013" xr:uid="{01111E33-24B0-41B7-82EA-228B5D8B3054}"/>
    <cellStyle name="Normal 4 4 4 2 5 2 3" xfId="21236" xr:uid="{0879F9DA-4948-4B57-AECD-56AA20A80962}"/>
    <cellStyle name="Normal 4 4 4 2 5 2 4" xfId="12795" xr:uid="{A2245BA8-E88E-40F7-9E76-9C5EDE639E28}"/>
    <cellStyle name="Normal 4 4 4 2 5 3" xfId="6418" xr:uid="{00000000-0005-0000-0000-0000C5150000}"/>
    <cellStyle name="Normal 4 4 4 2 5 3 2" xfId="23309" xr:uid="{491E10D6-4B6B-42C7-B581-3A7643924949}"/>
    <cellStyle name="Normal 4 4 4 2 5 3 3" xfId="14868" xr:uid="{B0FFC945-F06F-4614-AA5A-056A5495A293}"/>
    <cellStyle name="Normal 4 4 4 2 5 4" xfId="19091" xr:uid="{BE0DC271-5E52-4507-A865-0B18CFDFA9F3}"/>
    <cellStyle name="Normal 4 4 4 2 5 5" xfId="10650" xr:uid="{CD2F79A0-657F-4AAD-91A8-9EA0DCB3B2A6}"/>
    <cellStyle name="Normal 4 4 4 2 6" xfId="2548" xr:uid="{00000000-0005-0000-0000-0000C6150000}"/>
    <cellStyle name="Normal 4 4 4 2 6 2" xfId="6831" xr:uid="{00000000-0005-0000-0000-0000C7150000}"/>
    <cellStyle name="Normal 4 4 4 2 6 2 2" xfId="23722" xr:uid="{324F52FF-ACB2-415B-B89B-757AFAF0A720}"/>
    <cellStyle name="Normal 4 4 4 2 6 2 3" xfId="15281" xr:uid="{01B4D8BC-21B4-4872-9A77-3719C55A03F8}"/>
    <cellStyle name="Normal 4 4 4 2 6 3" xfId="19504" xr:uid="{887DD154-5C3D-445F-B125-C4BAACDABA9B}"/>
    <cellStyle name="Normal 4 4 4 2 6 4" xfId="11063" xr:uid="{D4EC2812-DD5A-4006-9E1B-D474BCD6B21D}"/>
    <cellStyle name="Normal 4 4 4 2 7" xfId="4766" xr:uid="{00000000-0005-0000-0000-0000C8150000}"/>
    <cellStyle name="Normal 4 4 4 2 7 2" xfId="21657" xr:uid="{5FF97143-DBF7-4800-9B18-EA62AFDC34E0}"/>
    <cellStyle name="Normal 4 4 4 2 7 3" xfId="13216" xr:uid="{F5CE7A4D-7CC5-479A-85AC-B1D749453E94}"/>
    <cellStyle name="Normal 4 4 4 2 8" xfId="17439" xr:uid="{D01B2711-A243-4B83-A0A7-97CBE4F02489}"/>
    <cellStyle name="Normal 4 4 4 2 9" xfId="8998" xr:uid="{50D80C89-8235-4EC1-B643-8471C4BD78F7}"/>
    <cellStyle name="Normal 4 4 4 3" xfId="866" xr:uid="{00000000-0005-0000-0000-0000C9150000}"/>
    <cellStyle name="Normal 4 4 4 3 2" xfId="3101" xr:uid="{00000000-0005-0000-0000-0000CA150000}"/>
    <cellStyle name="Normal 4 4 4 3 2 2" xfId="7323" xr:uid="{00000000-0005-0000-0000-0000CB150000}"/>
    <cellStyle name="Normal 4 4 4 3 2 2 2" xfId="24214" xr:uid="{49B6081A-B05A-436F-AC15-40AE03BA71E2}"/>
    <cellStyle name="Normal 4 4 4 3 2 2 3" xfId="15773" xr:uid="{27EB1F36-0686-4950-9B41-ED55FCDF6AF6}"/>
    <cellStyle name="Normal 4 4 4 3 2 3" xfId="19996" xr:uid="{D2B38AB3-B615-4674-8481-E95583D87F2A}"/>
    <cellStyle name="Normal 4 4 4 3 2 4" xfId="11555" xr:uid="{D7976AAC-1B81-467B-A0B8-DD8BEDED6350}"/>
    <cellStyle name="Normal 4 4 4 3 3" xfId="5178" xr:uid="{00000000-0005-0000-0000-0000CC150000}"/>
    <cellStyle name="Normal 4 4 4 3 3 2" xfId="22069" xr:uid="{8B7F6C03-337F-4406-AE8D-C10CB185434B}"/>
    <cellStyle name="Normal 4 4 4 3 3 3" xfId="13628" xr:uid="{90DD12A9-9C2E-4F3A-B05E-6D29F38DDC1C}"/>
    <cellStyle name="Normal 4 4 4 3 4" xfId="17851" xr:uid="{648B5248-FDCB-4BE3-911F-7C9C078FB4A5}"/>
    <cellStyle name="Normal 4 4 4 3 5" xfId="9410" xr:uid="{D56459F9-7416-4BC9-AE2B-9764C4C9AF91}"/>
    <cellStyle name="Normal 4 4 4 4" xfId="1284" xr:uid="{00000000-0005-0000-0000-0000CD150000}"/>
    <cellStyle name="Normal 4 4 4 4 2" xfId="3514" xr:uid="{00000000-0005-0000-0000-0000CE150000}"/>
    <cellStyle name="Normal 4 4 4 4 2 2" xfId="7736" xr:uid="{00000000-0005-0000-0000-0000CF150000}"/>
    <cellStyle name="Normal 4 4 4 4 2 2 2" xfId="24627" xr:uid="{0E448AB1-E848-4BD9-A218-3BA7DA969E95}"/>
    <cellStyle name="Normal 4 4 4 4 2 2 3" xfId="16186" xr:uid="{B3A0D880-ABE1-4C9A-BF3C-19800054D737}"/>
    <cellStyle name="Normal 4 4 4 4 2 3" xfId="20409" xr:uid="{7A82F951-08A4-40BE-865E-3570C30F4442}"/>
    <cellStyle name="Normal 4 4 4 4 2 4" xfId="11968" xr:uid="{D727790A-80AF-48AD-8C0C-ACC2C26A929E}"/>
    <cellStyle name="Normal 4 4 4 4 3" xfId="5591" xr:uid="{00000000-0005-0000-0000-0000D0150000}"/>
    <cellStyle name="Normal 4 4 4 4 3 2" xfId="22482" xr:uid="{71A168CF-4377-4E00-8653-CE77E7FE7BAC}"/>
    <cellStyle name="Normal 4 4 4 4 3 3" xfId="14041" xr:uid="{ECE2E2C7-4045-4D7C-94B3-6038A82EED72}"/>
    <cellStyle name="Normal 4 4 4 4 4" xfId="18264" xr:uid="{33DC010D-13AE-4FDE-BBA8-CBCDE5CF3788}"/>
    <cellStyle name="Normal 4 4 4 4 5" xfId="9823" xr:uid="{430C1E28-9208-4915-8CC9-5F3A8BA8D1F3}"/>
    <cellStyle name="Normal 4 4 4 5" xfId="1697" xr:uid="{00000000-0005-0000-0000-0000D1150000}"/>
    <cellStyle name="Normal 4 4 4 5 2" xfId="3927" xr:uid="{00000000-0005-0000-0000-0000D2150000}"/>
    <cellStyle name="Normal 4 4 4 5 2 2" xfId="8149" xr:uid="{00000000-0005-0000-0000-0000D3150000}"/>
    <cellStyle name="Normal 4 4 4 5 2 2 2" xfId="25040" xr:uid="{B685AFB4-B2C6-48B5-A953-DFDFB2BF77FD}"/>
    <cellStyle name="Normal 4 4 4 5 2 2 3" xfId="16599" xr:uid="{00B321EB-8F6A-4717-995F-42E43F2C990E}"/>
    <cellStyle name="Normal 4 4 4 5 2 3" xfId="20822" xr:uid="{82079FC4-FA79-4474-93FF-167B5890C315}"/>
    <cellStyle name="Normal 4 4 4 5 2 4" xfId="12381" xr:uid="{9C9BAC13-9825-488F-B308-EE458CD43400}"/>
    <cellStyle name="Normal 4 4 4 5 3" xfId="6004" xr:uid="{00000000-0005-0000-0000-0000D4150000}"/>
    <cellStyle name="Normal 4 4 4 5 3 2" xfId="22895" xr:uid="{9A23972A-B40D-43E2-8FB3-27F2FE2448C6}"/>
    <cellStyle name="Normal 4 4 4 5 3 3" xfId="14454" xr:uid="{B76D900E-F14B-4623-99B6-A1412247CB0D}"/>
    <cellStyle name="Normal 4 4 4 5 4" xfId="18677" xr:uid="{5FF156E9-C88A-4393-B89A-F05353DDF661}"/>
    <cellStyle name="Normal 4 4 4 5 5" xfId="10236" xr:uid="{B5361EC0-E668-4626-BB86-872234A42D35}"/>
    <cellStyle name="Normal 4 4 4 6" xfId="2111" xr:uid="{00000000-0005-0000-0000-0000D5150000}"/>
    <cellStyle name="Normal 4 4 4 6 2" xfId="4340" xr:uid="{00000000-0005-0000-0000-0000D6150000}"/>
    <cellStyle name="Normal 4 4 4 6 2 2" xfId="8562" xr:uid="{00000000-0005-0000-0000-0000D7150000}"/>
    <cellStyle name="Normal 4 4 4 6 2 2 2" xfId="25453" xr:uid="{239B8820-8CE3-4CDE-B1E5-5BD8C33059B4}"/>
    <cellStyle name="Normal 4 4 4 6 2 2 3" xfId="17012" xr:uid="{17D7FCA8-138B-49E3-8C91-9B5FA763396D}"/>
    <cellStyle name="Normal 4 4 4 6 2 3" xfId="21235" xr:uid="{BAFC6398-B715-4CD5-AB3D-B3CE9A354D51}"/>
    <cellStyle name="Normal 4 4 4 6 2 4" xfId="12794" xr:uid="{9FBA1898-71D7-42B0-A67E-39A18E49EF4A}"/>
    <cellStyle name="Normal 4 4 4 6 3" xfId="6417" xr:uid="{00000000-0005-0000-0000-0000D8150000}"/>
    <cellStyle name="Normal 4 4 4 6 3 2" xfId="23308" xr:uid="{D963F818-976E-41B5-8118-ECEBF1F36957}"/>
    <cellStyle name="Normal 4 4 4 6 3 3" xfId="14867" xr:uid="{8871B0F8-7294-4212-85AF-3FB133D671B3}"/>
    <cellStyle name="Normal 4 4 4 6 4" xfId="19090" xr:uid="{10ADBCEA-D717-4353-B431-9509A5AD9E31}"/>
    <cellStyle name="Normal 4 4 4 6 5" xfId="10649" xr:uid="{0905685E-6A7F-4D56-9650-62517A195EC2}"/>
    <cellStyle name="Normal 4 4 4 7" xfId="2547" xr:uid="{00000000-0005-0000-0000-0000D9150000}"/>
    <cellStyle name="Normal 4 4 4 7 2" xfId="6830" xr:uid="{00000000-0005-0000-0000-0000DA150000}"/>
    <cellStyle name="Normal 4 4 4 7 2 2" xfId="23721" xr:uid="{88EC116D-2025-4963-9C54-32B5D7C2DA67}"/>
    <cellStyle name="Normal 4 4 4 7 2 3" xfId="15280" xr:uid="{9788D052-ACDB-42AD-9ACB-59B88536C0E7}"/>
    <cellStyle name="Normal 4 4 4 7 3" xfId="19503" xr:uid="{1DDFCC26-CF5F-4D4C-BA65-BDBB9BFB12DA}"/>
    <cellStyle name="Normal 4 4 4 7 4" xfId="11062" xr:uid="{4C082B39-9B20-40B7-81A2-3FC426712745}"/>
    <cellStyle name="Normal 4 4 4 8" xfId="4765" xr:uid="{00000000-0005-0000-0000-0000DB150000}"/>
    <cellStyle name="Normal 4 4 4 8 2" xfId="21656" xr:uid="{87B03136-343F-4523-AD84-0735F98D26FB}"/>
    <cellStyle name="Normal 4 4 4 8 3" xfId="13215" xr:uid="{C7528446-245C-4812-AF56-F8B6C5FF266B}"/>
    <cellStyle name="Normal 4 4 4 9" xfId="17438" xr:uid="{48F075E5-042A-435F-A727-A8BEF0D388CB}"/>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2 2 2" xfId="24216" xr:uid="{D7015BE9-F2A8-4E3C-9518-B2C0FBC92129}"/>
    <cellStyle name="Normal 4 4 5 2 2 2 3" xfId="15775" xr:uid="{8ED038C8-C399-4004-B108-DB0B15017532}"/>
    <cellStyle name="Normal 4 4 5 2 2 3" xfId="19998" xr:uid="{24BD842C-FB05-4599-87B9-73DC2BC3A0B3}"/>
    <cellStyle name="Normal 4 4 5 2 2 4" xfId="11557" xr:uid="{26FEDDF5-42B5-4D68-9F89-AA8C98BF5241}"/>
    <cellStyle name="Normal 4 4 5 2 3" xfId="5180" xr:uid="{00000000-0005-0000-0000-0000E0150000}"/>
    <cellStyle name="Normal 4 4 5 2 3 2" xfId="22071" xr:uid="{067A264A-7A1D-4C6C-BB8A-F84F2441552F}"/>
    <cellStyle name="Normal 4 4 5 2 3 3" xfId="13630" xr:uid="{1F94861F-86A6-4BF2-B962-271E4627C614}"/>
    <cellStyle name="Normal 4 4 5 2 4" xfId="17853" xr:uid="{30544E11-F792-4841-90EC-BF362B697BF1}"/>
    <cellStyle name="Normal 4 4 5 2 5" xfId="9412" xr:uid="{D5232D73-C01E-4BE2-A51B-0E54139C2367}"/>
    <cellStyle name="Normal 4 4 5 3" xfId="1286" xr:uid="{00000000-0005-0000-0000-0000E1150000}"/>
    <cellStyle name="Normal 4 4 5 3 2" xfId="3516" xr:uid="{00000000-0005-0000-0000-0000E2150000}"/>
    <cellStyle name="Normal 4 4 5 3 2 2" xfId="7738" xr:uid="{00000000-0005-0000-0000-0000E3150000}"/>
    <cellStyle name="Normal 4 4 5 3 2 2 2" xfId="24629" xr:uid="{DB32D61C-B9C1-49C3-A4D1-94C1FE922AC6}"/>
    <cellStyle name="Normal 4 4 5 3 2 2 3" xfId="16188" xr:uid="{1F016BF2-C415-4A33-8A19-5741B20B06F9}"/>
    <cellStyle name="Normal 4 4 5 3 2 3" xfId="20411" xr:uid="{67E17770-44DC-410B-A028-C2F40C54D7BE}"/>
    <cellStyle name="Normal 4 4 5 3 2 4" xfId="11970" xr:uid="{12619E81-4448-4D80-8BA8-32C1BF26BB82}"/>
    <cellStyle name="Normal 4 4 5 3 3" xfId="5593" xr:uid="{00000000-0005-0000-0000-0000E4150000}"/>
    <cellStyle name="Normal 4 4 5 3 3 2" xfId="22484" xr:uid="{2AAFECF1-E3BD-421D-B4CB-F9D255A44007}"/>
    <cellStyle name="Normal 4 4 5 3 3 3" xfId="14043" xr:uid="{0820713B-CF89-4A9B-8450-DCD3C3416E1C}"/>
    <cellStyle name="Normal 4 4 5 3 4" xfId="18266" xr:uid="{112AF721-8A38-41BA-9934-8A6C44D521F5}"/>
    <cellStyle name="Normal 4 4 5 3 5" xfId="9825" xr:uid="{974BA098-4566-4921-A543-E63FEC8789D0}"/>
    <cellStyle name="Normal 4 4 5 4" xfId="1699" xr:uid="{00000000-0005-0000-0000-0000E5150000}"/>
    <cellStyle name="Normal 4 4 5 4 2" xfId="3929" xr:uid="{00000000-0005-0000-0000-0000E6150000}"/>
    <cellStyle name="Normal 4 4 5 4 2 2" xfId="8151" xr:uid="{00000000-0005-0000-0000-0000E7150000}"/>
    <cellStyle name="Normal 4 4 5 4 2 2 2" xfId="25042" xr:uid="{117A1B1C-DF0A-4E5C-AB0B-D0A2177DC77D}"/>
    <cellStyle name="Normal 4 4 5 4 2 2 3" xfId="16601" xr:uid="{85F204AC-C6E2-4064-89C8-E9F17D3E47CB}"/>
    <cellStyle name="Normal 4 4 5 4 2 3" xfId="20824" xr:uid="{82DCD462-AC85-4E78-AF48-6E00F196EF9A}"/>
    <cellStyle name="Normal 4 4 5 4 2 4" xfId="12383" xr:uid="{F0856D7E-876A-4578-AA5D-39601E82680E}"/>
    <cellStyle name="Normal 4 4 5 4 3" xfId="6006" xr:uid="{00000000-0005-0000-0000-0000E8150000}"/>
    <cellStyle name="Normal 4 4 5 4 3 2" xfId="22897" xr:uid="{719D10DD-A579-45DF-9894-39968A9B7663}"/>
    <cellStyle name="Normal 4 4 5 4 3 3" xfId="14456" xr:uid="{A4A94F36-6552-4EB0-AE85-D6DE3DEA2BD4}"/>
    <cellStyle name="Normal 4 4 5 4 4" xfId="18679" xr:uid="{9BD98C21-C5AD-4D6E-B464-9B9AC4056809}"/>
    <cellStyle name="Normal 4 4 5 4 5" xfId="10238" xr:uid="{52B63FE6-466D-4640-A257-A39C54A7EF02}"/>
    <cellStyle name="Normal 4 4 5 5" xfId="2113" xr:uid="{00000000-0005-0000-0000-0000E9150000}"/>
    <cellStyle name="Normal 4 4 5 5 2" xfId="4342" xr:uid="{00000000-0005-0000-0000-0000EA150000}"/>
    <cellStyle name="Normal 4 4 5 5 2 2" xfId="8564" xr:uid="{00000000-0005-0000-0000-0000EB150000}"/>
    <cellStyle name="Normal 4 4 5 5 2 2 2" xfId="25455" xr:uid="{71E7CF25-30A9-4B6F-87DA-1CEBE095566C}"/>
    <cellStyle name="Normal 4 4 5 5 2 2 3" xfId="17014" xr:uid="{FA7B7437-17C1-4CEC-A7B5-8898ADD99A52}"/>
    <cellStyle name="Normal 4 4 5 5 2 3" xfId="21237" xr:uid="{041EC05C-99D3-432F-81F4-141EE1C89E21}"/>
    <cellStyle name="Normal 4 4 5 5 2 4" xfId="12796" xr:uid="{C2B3C726-B00D-4634-A4A0-40714E1DC681}"/>
    <cellStyle name="Normal 4 4 5 5 3" xfId="6419" xr:uid="{00000000-0005-0000-0000-0000EC150000}"/>
    <cellStyle name="Normal 4 4 5 5 3 2" xfId="23310" xr:uid="{0C7D60DC-326D-4D1A-A1F4-6B0C3B7F4B30}"/>
    <cellStyle name="Normal 4 4 5 5 3 3" xfId="14869" xr:uid="{88078093-F5F8-4DD9-A2CA-C2DBC06B18D2}"/>
    <cellStyle name="Normal 4 4 5 5 4" xfId="19092" xr:uid="{8026027A-9538-4794-B577-B76B84B1959A}"/>
    <cellStyle name="Normal 4 4 5 5 5" xfId="10651" xr:uid="{703EB3D3-B52B-4CF4-B4C8-D19BE4FB16F9}"/>
    <cellStyle name="Normal 4 4 5 6" xfId="2549" xr:uid="{00000000-0005-0000-0000-0000ED150000}"/>
    <cellStyle name="Normal 4 4 5 6 2" xfId="6832" xr:uid="{00000000-0005-0000-0000-0000EE150000}"/>
    <cellStyle name="Normal 4 4 5 6 2 2" xfId="23723" xr:uid="{BC58645E-C403-4A3A-9DEF-D09BEBA71890}"/>
    <cellStyle name="Normal 4 4 5 6 2 3" xfId="15282" xr:uid="{45231DC7-2183-4304-9ADC-AD498EC2F05D}"/>
    <cellStyle name="Normal 4 4 5 6 3" xfId="19505" xr:uid="{DE97B2A6-A7BA-446C-8AB4-9DB7BD036315}"/>
    <cellStyle name="Normal 4 4 5 6 4" xfId="11064" xr:uid="{B91BB4E1-965A-4789-88D3-35268B3C695B}"/>
    <cellStyle name="Normal 4 4 5 7" xfId="4767" xr:uid="{00000000-0005-0000-0000-0000EF150000}"/>
    <cellStyle name="Normal 4 4 5 7 2" xfId="21658" xr:uid="{62DD4E52-7224-499D-9BFB-C62E1CF444FA}"/>
    <cellStyle name="Normal 4 4 5 7 3" xfId="13217" xr:uid="{B3154A1A-AAB5-4184-BAC6-2549709DC722}"/>
    <cellStyle name="Normal 4 4 5 8" xfId="17440" xr:uid="{35164E12-21ED-426D-ACE0-D3A61D72C4B2}"/>
    <cellStyle name="Normal 4 4 5 9" xfId="8999" xr:uid="{8264C1EA-DBA1-4B32-B6E2-56B255E80ED3}"/>
    <cellStyle name="Normal 4 4 6" xfId="853" xr:uid="{00000000-0005-0000-0000-0000F0150000}"/>
    <cellStyle name="Normal 4 4 6 2" xfId="3088" xr:uid="{00000000-0005-0000-0000-0000F1150000}"/>
    <cellStyle name="Normal 4 4 6 2 2" xfId="7310" xr:uid="{00000000-0005-0000-0000-0000F2150000}"/>
    <cellStyle name="Normal 4 4 6 2 2 2" xfId="24201" xr:uid="{B0D19F05-B1AA-4694-A2F8-AD50B3F1949A}"/>
    <cellStyle name="Normal 4 4 6 2 2 3" xfId="15760" xr:uid="{30E3BC4A-C68E-4700-8CA8-CA9CC46DF7C9}"/>
    <cellStyle name="Normal 4 4 6 2 3" xfId="19983" xr:uid="{389DBD8F-872B-40C4-A4CC-AA311468745B}"/>
    <cellStyle name="Normal 4 4 6 2 4" xfId="11542" xr:uid="{222A92B4-4A5D-4275-865C-E6FDAAD7C4DE}"/>
    <cellStyle name="Normal 4 4 6 3" xfId="5165" xr:uid="{00000000-0005-0000-0000-0000F3150000}"/>
    <cellStyle name="Normal 4 4 6 3 2" xfId="22056" xr:uid="{152FF183-CF47-4324-9BC3-299B411E71A0}"/>
    <cellStyle name="Normal 4 4 6 3 3" xfId="13615" xr:uid="{BF9AFF9F-6CB8-42DE-BCEB-E4C61B0E1D07}"/>
    <cellStyle name="Normal 4 4 6 4" xfId="17838" xr:uid="{BA5DD0C5-567A-4030-8A86-187469B449C2}"/>
    <cellStyle name="Normal 4 4 6 5" xfId="9397" xr:uid="{D31C9AE1-DA41-49B8-A43A-D83B2425D6EE}"/>
    <cellStyle name="Normal 4 4 7" xfId="1271" xr:uid="{00000000-0005-0000-0000-0000F4150000}"/>
    <cellStyle name="Normal 4 4 7 2" xfId="3501" xr:uid="{00000000-0005-0000-0000-0000F5150000}"/>
    <cellStyle name="Normal 4 4 7 2 2" xfId="7723" xr:uid="{00000000-0005-0000-0000-0000F6150000}"/>
    <cellStyle name="Normal 4 4 7 2 2 2" xfId="24614" xr:uid="{B2DC0E0C-87BE-4BBF-A33A-49FF3DA8E320}"/>
    <cellStyle name="Normal 4 4 7 2 2 3" xfId="16173" xr:uid="{C33EAAAC-9690-4F81-B9BE-7BF0525D15FE}"/>
    <cellStyle name="Normal 4 4 7 2 3" xfId="20396" xr:uid="{1E25C590-9840-49C2-BBE9-52A7B2EAD90E}"/>
    <cellStyle name="Normal 4 4 7 2 4" xfId="11955" xr:uid="{2280A19D-DDFD-4D33-928D-6447871A0007}"/>
    <cellStyle name="Normal 4 4 7 3" xfId="5578" xr:uid="{00000000-0005-0000-0000-0000F7150000}"/>
    <cellStyle name="Normal 4 4 7 3 2" xfId="22469" xr:uid="{AB2C2BF0-CC4B-4F83-886C-0AA12DAE5141}"/>
    <cellStyle name="Normal 4 4 7 3 3" xfId="14028" xr:uid="{6171169B-BD75-4A2C-AC30-3B82AC33BC1C}"/>
    <cellStyle name="Normal 4 4 7 4" xfId="18251" xr:uid="{5869D831-C469-4B66-9728-5ACE33CA1DF2}"/>
    <cellStyle name="Normal 4 4 7 5" xfId="9810" xr:uid="{03A96BA8-4132-4D9F-91AF-24683F4958C4}"/>
    <cellStyle name="Normal 4 4 8" xfId="1684" xr:uid="{00000000-0005-0000-0000-0000F8150000}"/>
    <cellStyle name="Normal 4 4 8 2" xfId="3914" xr:uid="{00000000-0005-0000-0000-0000F9150000}"/>
    <cellStyle name="Normal 4 4 8 2 2" xfId="8136" xr:uid="{00000000-0005-0000-0000-0000FA150000}"/>
    <cellStyle name="Normal 4 4 8 2 2 2" xfId="25027" xr:uid="{D5326E10-B512-4391-9FA8-4342634C0A2B}"/>
    <cellStyle name="Normal 4 4 8 2 2 3" xfId="16586" xr:uid="{F5BE51B8-C519-4DEF-AE7D-D63B68BFA172}"/>
    <cellStyle name="Normal 4 4 8 2 3" xfId="20809" xr:uid="{3FE52D9F-3F43-4566-A198-C372DC74141C}"/>
    <cellStyle name="Normal 4 4 8 2 4" xfId="12368" xr:uid="{AE63E4A3-EA92-4C15-B999-C1692253EFEE}"/>
    <cellStyle name="Normal 4 4 8 3" xfId="5991" xr:uid="{00000000-0005-0000-0000-0000FB150000}"/>
    <cellStyle name="Normal 4 4 8 3 2" xfId="22882" xr:uid="{AC8E9FAB-5789-4828-A76D-3A88285746C5}"/>
    <cellStyle name="Normal 4 4 8 3 3" xfId="14441" xr:uid="{1C9750FD-1984-4B5C-A9BE-AA78A2DB3645}"/>
    <cellStyle name="Normal 4 4 8 4" xfId="18664" xr:uid="{EA32E448-5084-4AE7-99E0-8C6B173EB868}"/>
    <cellStyle name="Normal 4 4 8 5" xfId="10223" xr:uid="{18E3C137-BE05-4BBE-9C4C-E0FB7C4E421D}"/>
    <cellStyle name="Normal 4 4 9" xfId="2098" xr:uid="{00000000-0005-0000-0000-0000FC150000}"/>
    <cellStyle name="Normal 4 4 9 2" xfId="4327" xr:uid="{00000000-0005-0000-0000-0000FD150000}"/>
    <cellStyle name="Normal 4 4 9 2 2" xfId="8549" xr:uid="{00000000-0005-0000-0000-0000FE150000}"/>
    <cellStyle name="Normal 4 4 9 2 2 2" xfId="25440" xr:uid="{08D22497-1DD2-4521-9802-BDC2F1B4677D}"/>
    <cellStyle name="Normal 4 4 9 2 2 3" xfId="16999" xr:uid="{344A64BC-FB17-4D4D-B38F-92276A8A05B2}"/>
    <cellStyle name="Normal 4 4 9 2 3" xfId="21222" xr:uid="{3F9FF9C1-7BB6-4AF2-B253-525E1F20B62E}"/>
    <cellStyle name="Normal 4 4 9 2 4" xfId="12781" xr:uid="{CADB9264-1E02-4C5B-B874-FF9956058509}"/>
    <cellStyle name="Normal 4 4 9 3" xfId="6404" xr:uid="{00000000-0005-0000-0000-0000FF150000}"/>
    <cellStyle name="Normal 4 4 9 3 2" xfId="23295" xr:uid="{9EF6949B-8CCC-42D4-ADB7-A489A112F725}"/>
    <cellStyle name="Normal 4 4 9 3 3" xfId="14854" xr:uid="{E9EB57C8-A602-4DB9-BC19-507E5CED587D}"/>
    <cellStyle name="Normal 4 4 9 4" xfId="19077" xr:uid="{DF2D6270-A78C-4ECB-A998-EBE02E065742}"/>
    <cellStyle name="Normal 4 4 9 5" xfId="10636" xr:uid="{A710ECA3-C25C-4303-9943-40D27FAFBC97}"/>
    <cellStyle name="Normal 4 5" xfId="394" xr:uid="{00000000-0005-0000-0000-000000160000}"/>
    <cellStyle name="Normal 4 6" xfId="395" xr:uid="{00000000-0005-0000-0000-000001160000}"/>
    <cellStyle name="Normal 4 6 10" xfId="4768" xr:uid="{00000000-0005-0000-0000-000002160000}"/>
    <cellStyle name="Normal 4 6 10 2" xfId="21659" xr:uid="{A8BB0A68-C0D2-431E-9A94-2E49511C137A}"/>
    <cellStyle name="Normal 4 6 10 3" xfId="13218" xr:uid="{8588DB3B-DD71-4696-843B-8986C6CF85CA}"/>
    <cellStyle name="Normal 4 6 11" xfId="17441" xr:uid="{C07C4967-F8C1-40C7-860E-52306F1EE6FA}"/>
    <cellStyle name="Normal 4 6 12" xfId="9000" xr:uid="{61D00B9F-7837-4D53-A24D-695780271434}"/>
    <cellStyle name="Normal 4 6 2" xfId="396" xr:uid="{00000000-0005-0000-0000-000003160000}"/>
    <cellStyle name="Normal 4 6 2 10" xfId="17442" xr:uid="{55BA48D5-6538-4AA3-8B36-3AFF1F4B6A97}"/>
    <cellStyle name="Normal 4 6 2 11" xfId="9001" xr:uid="{435B5889-CF16-4526-BD08-60C13EC80B40}"/>
    <cellStyle name="Normal 4 6 2 2" xfId="397" xr:uid="{00000000-0005-0000-0000-000004160000}"/>
    <cellStyle name="Normal 4 6 2 2 10" xfId="9002" xr:uid="{20929559-73B6-4724-A198-66BB0E4596F6}"/>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2 2 2" xfId="24220" xr:uid="{6542B212-9E24-4F2B-B354-AB8C19B15909}"/>
    <cellStyle name="Normal 4 6 2 2 2 2 2 2 3" xfId="15779" xr:uid="{EA7D9844-5394-4376-8B9C-D6703A9E5AD9}"/>
    <cellStyle name="Normal 4 6 2 2 2 2 2 3" xfId="20002" xr:uid="{0A7CD013-0A0A-4373-9D81-43FFF498A626}"/>
    <cellStyle name="Normal 4 6 2 2 2 2 2 4" xfId="11561" xr:uid="{57D21D3C-1483-4CD5-9B67-2977158EA7A2}"/>
    <cellStyle name="Normal 4 6 2 2 2 2 3" xfId="5184" xr:uid="{00000000-0005-0000-0000-000009160000}"/>
    <cellStyle name="Normal 4 6 2 2 2 2 3 2" xfId="22075" xr:uid="{882A9C26-FBE7-4F16-A7FE-E63A110EBE24}"/>
    <cellStyle name="Normal 4 6 2 2 2 2 3 3" xfId="13634" xr:uid="{614A1302-6D2B-41BB-85A7-451D11D303BB}"/>
    <cellStyle name="Normal 4 6 2 2 2 2 4" xfId="17857" xr:uid="{E630590D-B398-48E1-B104-E90011440DC5}"/>
    <cellStyle name="Normal 4 6 2 2 2 2 5" xfId="9416" xr:uid="{72AB99A1-8B1F-405C-8CD9-F89254A40EF5}"/>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2 2 2" xfId="24633" xr:uid="{7E28249E-12B4-40E5-BB14-040EBFE7050A}"/>
    <cellStyle name="Normal 4 6 2 2 2 3 2 2 3" xfId="16192" xr:uid="{C4830CDB-BBC5-4827-8E40-875AD505A96C}"/>
    <cellStyle name="Normal 4 6 2 2 2 3 2 3" xfId="20415" xr:uid="{5AC06DE8-05E2-47C2-8067-395378E635D7}"/>
    <cellStyle name="Normal 4 6 2 2 2 3 2 4" xfId="11974" xr:uid="{35C935F2-269E-4C1B-A8E7-5B201F4EF76A}"/>
    <cellStyle name="Normal 4 6 2 2 2 3 3" xfId="5597" xr:uid="{00000000-0005-0000-0000-00000D160000}"/>
    <cellStyle name="Normal 4 6 2 2 2 3 3 2" xfId="22488" xr:uid="{ECC9C2EE-50EF-4F7A-967F-D303E3CC5A4C}"/>
    <cellStyle name="Normal 4 6 2 2 2 3 3 3" xfId="14047" xr:uid="{0F55EB3C-4C60-43AB-874D-3C6F7CD79515}"/>
    <cellStyle name="Normal 4 6 2 2 2 3 4" xfId="18270" xr:uid="{4E1BDE88-02BA-4BAC-828C-2CCD090DFB7F}"/>
    <cellStyle name="Normal 4 6 2 2 2 3 5" xfId="9829" xr:uid="{2C736D99-EF2C-4C1A-9DB2-FD68B4A7D886}"/>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2 2 2" xfId="25046" xr:uid="{275D1AE6-7CC9-408B-A8CA-B6B2E67B78BD}"/>
    <cellStyle name="Normal 4 6 2 2 2 4 2 2 3" xfId="16605" xr:uid="{3F5B566F-47B4-415C-87B1-D4E3AE0D07CB}"/>
    <cellStyle name="Normal 4 6 2 2 2 4 2 3" xfId="20828" xr:uid="{B04BCBF6-42B5-4AD8-93CC-09B3A6908C12}"/>
    <cellStyle name="Normal 4 6 2 2 2 4 2 4" xfId="12387" xr:uid="{80CC454D-6A04-4637-901A-1B01793A2634}"/>
    <cellStyle name="Normal 4 6 2 2 2 4 3" xfId="6010" xr:uid="{00000000-0005-0000-0000-000011160000}"/>
    <cellStyle name="Normal 4 6 2 2 2 4 3 2" xfId="22901" xr:uid="{3BE1B0AB-8104-4E15-B181-C9CBE9A6F737}"/>
    <cellStyle name="Normal 4 6 2 2 2 4 3 3" xfId="14460" xr:uid="{FB4364ED-804B-4EE1-BDFC-DE109575DB29}"/>
    <cellStyle name="Normal 4 6 2 2 2 4 4" xfId="18683" xr:uid="{1709757E-D3C8-4FAF-B77A-9A90F0D7B069}"/>
    <cellStyle name="Normal 4 6 2 2 2 4 5" xfId="10242" xr:uid="{46739586-2CDF-4425-8887-804BF1AAF808}"/>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2 2 2" xfId="25459" xr:uid="{85D2866E-BA4D-4585-B78B-205D6C2F34DD}"/>
    <cellStyle name="Normal 4 6 2 2 2 5 2 2 3" xfId="17018" xr:uid="{2993BC27-68D9-46FB-9A1A-A8B5DD4013A8}"/>
    <cellStyle name="Normal 4 6 2 2 2 5 2 3" xfId="21241" xr:uid="{A86ED3DC-F06A-44EF-A749-A1240F6FDCF1}"/>
    <cellStyle name="Normal 4 6 2 2 2 5 2 4" xfId="12800" xr:uid="{114CFB59-60D7-4399-9186-DCBA09F0B65D}"/>
    <cellStyle name="Normal 4 6 2 2 2 5 3" xfId="6423" xr:uid="{00000000-0005-0000-0000-000015160000}"/>
    <cellStyle name="Normal 4 6 2 2 2 5 3 2" xfId="23314" xr:uid="{0AE55AB2-57F8-4107-ADB4-1E3A2149B85A}"/>
    <cellStyle name="Normal 4 6 2 2 2 5 3 3" xfId="14873" xr:uid="{C0A9BF54-6E8E-469D-BA4C-481CE2AC11C0}"/>
    <cellStyle name="Normal 4 6 2 2 2 5 4" xfId="19096" xr:uid="{83BB2B37-B33C-4416-A2B1-191221F84E9F}"/>
    <cellStyle name="Normal 4 6 2 2 2 5 5" xfId="10655" xr:uid="{687926F2-8B91-4AAB-A55B-EA6B70D3C96A}"/>
    <cellStyle name="Normal 4 6 2 2 2 6" xfId="2553" xr:uid="{00000000-0005-0000-0000-000016160000}"/>
    <cellStyle name="Normal 4 6 2 2 2 6 2" xfId="6836" xr:uid="{00000000-0005-0000-0000-000017160000}"/>
    <cellStyle name="Normal 4 6 2 2 2 6 2 2" xfId="23727" xr:uid="{995BCE6E-C507-46B3-955D-56844671195A}"/>
    <cellStyle name="Normal 4 6 2 2 2 6 2 3" xfId="15286" xr:uid="{34642DFE-9AAC-495D-9833-7F500D7A6DD3}"/>
    <cellStyle name="Normal 4 6 2 2 2 6 3" xfId="19509" xr:uid="{BB514C74-501D-4A6F-A951-B73B64DEB3F1}"/>
    <cellStyle name="Normal 4 6 2 2 2 6 4" xfId="11068" xr:uid="{B3EDEDF0-87F4-4A61-9B88-72ADE3C0E814}"/>
    <cellStyle name="Normal 4 6 2 2 2 7" xfId="4771" xr:uid="{00000000-0005-0000-0000-000018160000}"/>
    <cellStyle name="Normal 4 6 2 2 2 7 2" xfId="21662" xr:uid="{45E93D24-3479-41D2-B5B9-0F6B3698642E}"/>
    <cellStyle name="Normal 4 6 2 2 2 7 3" xfId="13221" xr:uid="{A698C3E6-77EB-4CB6-ABB6-5FDEF7A9DEA6}"/>
    <cellStyle name="Normal 4 6 2 2 2 8" xfId="17444" xr:uid="{2017462F-F7D5-4B63-8823-4AD203ECA17D}"/>
    <cellStyle name="Normal 4 6 2 2 2 9" xfId="9003" xr:uid="{48CCA835-0AAE-46E3-8A68-8179C5A4754A}"/>
    <cellStyle name="Normal 4 6 2 2 3" xfId="871" xr:uid="{00000000-0005-0000-0000-000019160000}"/>
    <cellStyle name="Normal 4 6 2 2 3 2" xfId="3106" xr:uid="{00000000-0005-0000-0000-00001A160000}"/>
    <cellStyle name="Normal 4 6 2 2 3 2 2" xfId="7328" xr:uid="{00000000-0005-0000-0000-00001B160000}"/>
    <cellStyle name="Normal 4 6 2 2 3 2 2 2" xfId="24219" xr:uid="{73402007-1861-4135-8FB8-45CB592EF8BA}"/>
    <cellStyle name="Normal 4 6 2 2 3 2 2 3" xfId="15778" xr:uid="{A47F5B88-6FAF-40AC-AD8C-441F4B2FA939}"/>
    <cellStyle name="Normal 4 6 2 2 3 2 3" xfId="20001" xr:uid="{FA0A07F6-0DFF-4E13-BD35-9EB9ADEB39AA}"/>
    <cellStyle name="Normal 4 6 2 2 3 2 4" xfId="11560" xr:uid="{E5E78B4E-5B46-454B-861E-8A4D1CE1CBF0}"/>
    <cellStyle name="Normal 4 6 2 2 3 3" xfId="5183" xr:uid="{00000000-0005-0000-0000-00001C160000}"/>
    <cellStyle name="Normal 4 6 2 2 3 3 2" xfId="22074" xr:uid="{B39494C8-DBF9-48A6-8201-0D0417D80B2C}"/>
    <cellStyle name="Normal 4 6 2 2 3 3 3" xfId="13633" xr:uid="{6337E8B4-16CF-4080-9E26-43D668899117}"/>
    <cellStyle name="Normal 4 6 2 2 3 4" xfId="17856" xr:uid="{6742D49E-9461-4B64-AD98-A5C20238A487}"/>
    <cellStyle name="Normal 4 6 2 2 3 5" xfId="9415" xr:uid="{68C3C188-8FC5-4900-A113-394B2A6E4F63}"/>
    <cellStyle name="Normal 4 6 2 2 4" xfId="1289" xr:uid="{00000000-0005-0000-0000-00001D160000}"/>
    <cellStyle name="Normal 4 6 2 2 4 2" xfId="3519" xr:uid="{00000000-0005-0000-0000-00001E160000}"/>
    <cellStyle name="Normal 4 6 2 2 4 2 2" xfId="7741" xr:uid="{00000000-0005-0000-0000-00001F160000}"/>
    <cellStyle name="Normal 4 6 2 2 4 2 2 2" xfId="24632" xr:uid="{B5ECA4E3-BC77-4FDD-A6B3-F8E4CCE02D61}"/>
    <cellStyle name="Normal 4 6 2 2 4 2 2 3" xfId="16191" xr:uid="{A78A4A4F-DF1C-40F6-A46B-A4C803868ACB}"/>
    <cellStyle name="Normal 4 6 2 2 4 2 3" xfId="20414" xr:uid="{40EE7ED9-1454-4F3B-9132-4823A17747F9}"/>
    <cellStyle name="Normal 4 6 2 2 4 2 4" xfId="11973" xr:uid="{73CCD2DB-6DA2-4661-A345-7F9C28C7B1DE}"/>
    <cellStyle name="Normal 4 6 2 2 4 3" xfId="5596" xr:uid="{00000000-0005-0000-0000-000020160000}"/>
    <cellStyle name="Normal 4 6 2 2 4 3 2" xfId="22487" xr:uid="{6561AE8A-C7BA-460B-BD59-022217E2FA19}"/>
    <cellStyle name="Normal 4 6 2 2 4 3 3" xfId="14046" xr:uid="{98B3CA27-BAC2-4070-8F99-19EFD442C65C}"/>
    <cellStyle name="Normal 4 6 2 2 4 4" xfId="18269" xr:uid="{CDE5A26F-7090-45A9-A5CE-E2F1067C6168}"/>
    <cellStyle name="Normal 4 6 2 2 4 5" xfId="9828" xr:uid="{4A0E29CA-12E0-4335-8F5F-78AF1B41B13A}"/>
    <cellStyle name="Normal 4 6 2 2 5" xfId="1702" xr:uid="{00000000-0005-0000-0000-000021160000}"/>
    <cellStyle name="Normal 4 6 2 2 5 2" xfId="3932" xr:uid="{00000000-0005-0000-0000-000022160000}"/>
    <cellStyle name="Normal 4 6 2 2 5 2 2" xfId="8154" xr:uid="{00000000-0005-0000-0000-000023160000}"/>
    <cellStyle name="Normal 4 6 2 2 5 2 2 2" xfId="25045" xr:uid="{6139ECF5-6856-454C-871F-4ECA7CC264B0}"/>
    <cellStyle name="Normal 4 6 2 2 5 2 2 3" xfId="16604" xr:uid="{83607B1B-21D5-4C4F-93A9-993102BE8906}"/>
    <cellStyle name="Normal 4 6 2 2 5 2 3" xfId="20827" xr:uid="{B9C49C5B-4751-4210-B1DA-200E86A30646}"/>
    <cellStyle name="Normal 4 6 2 2 5 2 4" xfId="12386" xr:uid="{684EC2B7-1C5F-4285-A9D6-81BF1E7753A0}"/>
    <cellStyle name="Normal 4 6 2 2 5 3" xfId="6009" xr:uid="{00000000-0005-0000-0000-000024160000}"/>
    <cellStyle name="Normal 4 6 2 2 5 3 2" xfId="22900" xr:uid="{A36D6D24-6B17-4F82-9D8F-EB861F92AC08}"/>
    <cellStyle name="Normal 4 6 2 2 5 3 3" xfId="14459" xr:uid="{29865A4F-3895-4403-9B39-C5CE801BAABA}"/>
    <cellStyle name="Normal 4 6 2 2 5 4" xfId="18682" xr:uid="{9B37CA3C-71A2-41F9-B214-F69708771B8C}"/>
    <cellStyle name="Normal 4 6 2 2 5 5" xfId="10241" xr:uid="{BA43D331-2A61-4E0A-890A-7E4889C789A0}"/>
    <cellStyle name="Normal 4 6 2 2 6" xfId="2116" xr:uid="{00000000-0005-0000-0000-000025160000}"/>
    <cellStyle name="Normal 4 6 2 2 6 2" xfId="4345" xr:uid="{00000000-0005-0000-0000-000026160000}"/>
    <cellStyle name="Normal 4 6 2 2 6 2 2" xfId="8567" xr:uid="{00000000-0005-0000-0000-000027160000}"/>
    <cellStyle name="Normal 4 6 2 2 6 2 2 2" xfId="25458" xr:uid="{FFE81162-38BF-4C9B-88CA-FFC6945E379E}"/>
    <cellStyle name="Normal 4 6 2 2 6 2 2 3" xfId="17017" xr:uid="{76BE1C29-BE70-4B37-A2CA-E10EB1ABB908}"/>
    <cellStyle name="Normal 4 6 2 2 6 2 3" xfId="21240" xr:uid="{203D3C7C-0BB5-42F9-9A52-279376D54E36}"/>
    <cellStyle name="Normal 4 6 2 2 6 2 4" xfId="12799" xr:uid="{7988D1A9-EECA-452A-8606-6682E8626C8C}"/>
    <cellStyle name="Normal 4 6 2 2 6 3" xfId="6422" xr:uid="{00000000-0005-0000-0000-000028160000}"/>
    <cellStyle name="Normal 4 6 2 2 6 3 2" xfId="23313" xr:uid="{52656CF8-BCDC-4C35-8A8A-9857E43E22C6}"/>
    <cellStyle name="Normal 4 6 2 2 6 3 3" xfId="14872" xr:uid="{53D66D25-FA7D-435B-8DBD-C9972F6D5DF7}"/>
    <cellStyle name="Normal 4 6 2 2 6 4" xfId="19095" xr:uid="{023D5ACC-20C6-432F-A8E6-F5ECA2A79C79}"/>
    <cellStyle name="Normal 4 6 2 2 6 5" xfId="10654" xr:uid="{FADC7F34-8AF4-49A9-9664-5013C438DD44}"/>
    <cellStyle name="Normal 4 6 2 2 7" xfId="2552" xr:uid="{00000000-0005-0000-0000-000029160000}"/>
    <cellStyle name="Normal 4 6 2 2 7 2" xfId="6835" xr:uid="{00000000-0005-0000-0000-00002A160000}"/>
    <cellStyle name="Normal 4 6 2 2 7 2 2" xfId="23726" xr:uid="{DF71C8D7-DC1E-4839-A903-D1BCF9FCF738}"/>
    <cellStyle name="Normal 4 6 2 2 7 2 3" xfId="15285" xr:uid="{2A78F50D-E1C5-4916-A448-A8D060CA2E81}"/>
    <cellStyle name="Normal 4 6 2 2 7 3" xfId="19508" xr:uid="{D82B35B3-332B-46AA-8195-FCB03E571114}"/>
    <cellStyle name="Normal 4 6 2 2 7 4" xfId="11067" xr:uid="{8375A0AB-EE45-47D1-BD20-E6AD61800025}"/>
    <cellStyle name="Normal 4 6 2 2 8" xfId="4770" xr:uid="{00000000-0005-0000-0000-00002B160000}"/>
    <cellStyle name="Normal 4 6 2 2 8 2" xfId="21661" xr:uid="{1B387F5C-BAC9-4601-8560-7746CE4378FF}"/>
    <cellStyle name="Normal 4 6 2 2 8 3" xfId="13220" xr:uid="{71059E4E-3D29-429D-BD2D-3CBC3A9846B1}"/>
    <cellStyle name="Normal 4 6 2 2 9" xfId="17443" xr:uid="{C53D41FB-9FC8-4E50-A583-0D516CFDD3A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2 2 2" xfId="24221" xr:uid="{9437A1FF-AB7A-48F4-BA13-AE2AA9E43ED9}"/>
    <cellStyle name="Normal 4 6 2 3 2 2 2 3" xfId="15780" xr:uid="{20AF3715-88C7-4F3F-B9D4-27034820E475}"/>
    <cellStyle name="Normal 4 6 2 3 2 2 3" xfId="20003" xr:uid="{32B27973-AD31-437A-8121-EAA5762DDBCF}"/>
    <cellStyle name="Normal 4 6 2 3 2 2 4" xfId="11562" xr:uid="{540F39DA-B37A-4691-8626-8101118392BF}"/>
    <cellStyle name="Normal 4 6 2 3 2 3" xfId="5185" xr:uid="{00000000-0005-0000-0000-000030160000}"/>
    <cellStyle name="Normal 4 6 2 3 2 3 2" xfId="22076" xr:uid="{C09DAB17-8518-496D-9BBE-2E92FAD7F3F3}"/>
    <cellStyle name="Normal 4 6 2 3 2 3 3" xfId="13635" xr:uid="{E9B10AC6-A795-4B82-A298-B1673D3CC306}"/>
    <cellStyle name="Normal 4 6 2 3 2 4" xfId="17858" xr:uid="{6ECC3498-292C-46B8-B728-CE4A266AD973}"/>
    <cellStyle name="Normal 4 6 2 3 2 5" xfId="9417" xr:uid="{ABC2903F-0D8F-445C-BE7C-BF2BAD1B15E5}"/>
    <cellStyle name="Normal 4 6 2 3 3" xfId="1291" xr:uid="{00000000-0005-0000-0000-000031160000}"/>
    <cellStyle name="Normal 4 6 2 3 3 2" xfId="3521" xr:uid="{00000000-0005-0000-0000-000032160000}"/>
    <cellStyle name="Normal 4 6 2 3 3 2 2" xfId="7743" xr:uid="{00000000-0005-0000-0000-000033160000}"/>
    <cellStyle name="Normal 4 6 2 3 3 2 2 2" xfId="24634" xr:uid="{EEA9524B-BBAF-4830-86C5-6E96C50764D6}"/>
    <cellStyle name="Normal 4 6 2 3 3 2 2 3" xfId="16193" xr:uid="{29E73B5B-E4AB-4A1A-93CB-3147B0110CA4}"/>
    <cellStyle name="Normal 4 6 2 3 3 2 3" xfId="20416" xr:uid="{77B77F00-09E4-449B-BD9A-FA40E886BAF7}"/>
    <cellStyle name="Normal 4 6 2 3 3 2 4" xfId="11975" xr:uid="{1485169B-BA65-44F2-8C62-5D1CF492F14F}"/>
    <cellStyle name="Normal 4 6 2 3 3 3" xfId="5598" xr:uid="{00000000-0005-0000-0000-000034160000}"/>
    <cellStyle name="Normal 4 6 2 3 3 3 2" xfId="22489" xr:uid="{76A20342-7924-4BB6-83AC-93DB8A73F09F}"/>
    <cellStyle name="Normal 4 6 2 3 3 3 3" xfId="14048" xr:uid="{3842814E-DC0C-4535-BD33-3A135A2B57A7}"/>
    <cellStyle name="Normal 4 6 2 3 3 4" xfId="18271" xr:uid="{06728CE7-4E43-4323-8C6F-509160088B51}"/>
    <cellStyle name="Normal 4 6 2 3 3 5" xfId="9830" xr:uid="{37AB5996-6CB2-40A3-93DC-2150CDC584B3}"/>
    <cellStyle name="Normal 4 6 2 3 4" xfId="1704" xr:uid="{00000000-0005-0000-0000-000035160000}"/>
    <cellStyle name="Normal 4 6 2 3 4 2" xfId="3934" xr:uid="{00000000-0005-0000-0000-000036160000}"/>
    <cellStyle name="Normal 4 6 2 3 4 2 2" xfId="8156" xr:uid="{00000000-0005-0000-0000-000037160000}"/>
    <cellStyle name="Normal 4 6 2 3 4 2 2 2" xfId="25047" xr:uid="{7221E78F-CDB7-41E7-93F3-77E0C0F5E69A}"/>
    <cellStyle name="Normal 4 6 2 3 4 2 2 3" xfId="16606" xr:uid="{30E9537E-E430-4627-8526-0CA5F0846A03}"/>
    <cellStyle name="Normal 4 6 2 3 4 2 3" xfId="20829" xr:uid="{C32CF7DF-3A90-405D-A105-359C237FF487}"/>
    <cellStyle name="Normal 4 6 2 3 4 2 4" xfId="12388" xr:uid="{9C883607-09E2-4D77-A19A-0EA27D9254A2}"/>
    <cellStyle name="Normal 4 6 2 3 4 3" xfId="6011" xr:uid="{00000000-0005-0000-0000-000038160000}"/>
    <cellStyle name="Normal 4 6 2 3 4 3 2" xfId="22902" xr:uid="{B4E8FBD1-F044-40B7-BF36-0E16E85DC6C6}"/>
    <cellStyle name="Normal 4 6 2 3 4 3 3" xfId="14461" xr:uid="{396322CC-1850-4D38-BBD0-C2CADA2C3DF6}"/>
    <cellStyle name="Normal 4 6 2 3 4 4" xfId="18684" xr:uid="{EAC0A606-414D-4A28-ABCA-D0C896D6A978}"/>
    <cellStyle name="Normal 4 6 2 3 4 5" xfId="10243" xr:uid="{234683CF-D01B-4A33-8409-47E858DE5EC1}"/>
    <cellStyle name="Normal 4 6 2 3 5" xfId="2118" xr:uid="{00000000-0005-0000-0000-000039160000}"/>
    <cellStyle name="Normal 4 6 2 3 5 2" xfId="4347" xr:uid="{00000000-0005-0000-0000-00003A160000}"/>
    <cellStyle name="Normal 4 6 2 3 5 2 2" xfId="8569" xr:uid="{00000000-0005-0000-0000-00003B160000}"/>
    <cellStyle name="Normal 4 6 2 3 5 2 2 2" xfId="25460" xr:uid="{E360D156-518A-46B6-9257-F749190322FB}"/>
    <cellStyle name="Normal 4 6 2 3 5 2 2 3" xfId="17019" xr:uid="{119C05B3-F9EC-4AEE-B6EC-D14B709F4B94}"/>
    <cellStyle name="Normal 4 6 2 3 5 2 3" xfId="21242" xr:uid="{FFC14B63-351A-4DD3-B693-777A8FCC9CD1}"/>
    <cellStyle name="Normal 4 6 2 3 5 2 4" xfId="12801" xr:uid="{03F42184-C421-44B5-B03B-6A3792D6A2D4}"/>
    <cellStyle name="Normal 4 6 2 3 5 3" xfId="6424" xr:uid="{00000000-0005-0000-0000-00003C160000}"/>
    <cellStyle name="Normal 4 6 2 3 5 3 2" xfId="23315" xr:uid="{5ED3C0F0-8A59-4DF1-9FD7-109617CD1058}"/>
    <cellStyle name="Normal 4 6 2 3 5 3 3" xfId="14874" xr:uid="{71ECFF8C-0469-4A6B-9BC9-86932B1B4550}"/>
    <cellStyle name="Normal 4 6 2 3 5 4" xfId="19097" xr:uid="{467DC2AD-BC9E-4621-AE5B-33A2639C24D1}"/>
    <cellStyle name="Normal 4 6 2 3 5 5" xfId="10656" xr:uid="{BB284DFC-A2D9-436E-8B06-1E2E9AC22660}"/>
    <cellStyle name="Normal 4 6 2 3 6" xfId="2554" xr:uid="{00000000-0005-0000-0000-00003D160000}"/>
    <cellStyle name="Normal 4 6 2 3 6 2" xfId="6837" xr:uid="{00000000-0005-0000-0000-00003E160000}"/>
    <cellStyle name="Normal 4 6 2 3 6 2 2" xfId="23728" xr:uid="{2E919432-A694-43AC-94E2-F3AF9C3B04A8}"/>
    <cellStyle name="Normal 4 6 2 3 6 2 3" xfId="15287" xr:uid="{CE7C8BE1-8186-4A17-A8C1-CCBDE6DAD814}"/>
    <cellStyle name="Normal 4 6 2 3 6 3" xfId="19510" xr:uid="{F88DD7C4-B5A1-411E-BC42-A42C4BAE1681}"/>
    <cellStyle name="Normal 4 6 2 3 6 4" xfId="11069" xr:uid="{800F0FDD-A0A9-4E15-9F7F-115A64B40C3A}"/>
    <cellStyle name="Normal 4 6 2 3 7" xfId="4772" xr:uid="{00000000-0005-0000-0000-00003F160000}"/>
    <cellStyle name="Normal 4 6 2 3 7 2" xfId="21663" xr:uid="{D9E1B80F-C661-44DE-A4F6-4B7AFA23F84E}"/>
    <cellStyle name="Normal 4 6 2 3 7 3" xfId="13222" xr:uid="{90A53CFC-9870-488E-A999-6112C1296621}"/>
    <cellStyle name="Normal 4 6 2 3 8" xfId="17445" xr:uid="{44800015-1C36-410F-B758-E3AF69402ACB}"/>
    <cellStyle name="Normal 4 6 2 3 9" xfId="9004" xr:uid="{1E31ADEE-2163-43DB-895B-724312175011}"/>
    <cellStyle name="Normal 4 6 2 4" xfId="870" xr:uid="{00000000-0005-0000-0000-000040160000}"/>
    <cellStyle name="Normal 4 6 2 4 2" xfId="3105" xr:uid="{00000000-0005-0000-0000-000041160000}"/>
    <cellStyle name="Normal 4 6 2 4 2 2" xfId="7327" xr:uid="{00000000-0005-0000-0000-000042160000}"/>
    <cellStyle name="Normal 4 6 2 4 2 2 2" xfId="24218" xr:uid="{D2C4AFB1-12CB-402E-BC27-3696B32E592E}"/>
    <cellStyle name="Normal 4 6 2 4 2 2 3" xfId="15777" xr:uid="{E5021412-B3E1-491A-A93E-7B76E6207D95}"/>
    <cellStyle name="Normal 4 6 2 4 2 3" xfId="20000" xr:uid="{EA392939-1D24-40F0-9CA6-B52C3EC400CB}"/>
    <cellStyle name="Normal 4 6 2 4 2 4" xfId="11559" xr:uid="{76B4B7F3-5C70-4FB2-8550-27721D561B05}"/>
    <cellStyle name="Normal 4 6 2 4 3" xfId="5182" xr:uid="{00000000-0005-0000-0000-000043160000}"/>
    <cellStyle name="Normal 4 6 2 4 3 2" xfId="22073" xr:uid="{F25D15FC-8C86-4105-973D-4E16859189F3}"/>
    <cellStyle name="Normal 4 6 2 4 3 3" xfId="13632" xr:uid="{3077AB20-36B9-4318-9C1B-C006995E1E8D}"/>
    <cellStyle name="Normal 4 6 2 4 4" xfId="17855" xr:uid="{06D8B2E8-7046-4EDE-AFD5-D33610ECAEC6}"/>
    <cellStyle name="Normal 4 6 2 4 5" xfId="9414" xr:uid="{885B2645-CFBF-4FC2-8982-A2A075F611DE}"/>
    <cellStyle name="Normal 4 6 2 5" xfId="1288" xr:uid="{00000000-0005-0000-0000-000044160000}"/>
    <cellStyle name="Normal 4 6 2 5 2" xfId="3518" xr:uid="{00000000-0005-0000-0000-000045160000}"/>
    <cellStyle name="Normal 4 6 2 5 2 2" xfId="7740" xr:uid="{00000000-0005-0000-0000-000046160000}"/>
    <cellStyle name="Normal 4 6 2 5 2 2 2" xfId="24631" xr:uid="{5CA3387D-210F-4B0C-978C-CA23BFAEE956}"/>
    <cellStyle name="Normal 4 6 2 5 2 2 3" xfId="16190" xr:uid="{6D9988A0-032D-4085-9C4A-6C36FFABDB54}"/>
    <cellStyle name="Normal 4 6 2 5 2 3" xfId="20413" xr:uid="{4D968BC8-4FD1-4358-A703-26BFEA8F8E24}"/>
    <cellStyle name="Normal 4 6 2 5 2 4" xfId="11972" xr:uid="{67B13B40-FAFE-4FB0-91CC-F461B0D2D8B8}"/>
    <cellStyle name="Normal 4 6 2 5 3" xfId="5595" xr:uid="{00000000-0005-0000-0000-000047160000}"/>
    <cellStyle name="Normal 4 6 2 5 3 2" xfId="22486" xr:uid="{8CF6500B-CE9C-42C2-A37A-EAE9752B7A08}"/>
    <cellStyle name="Normal 4 6 2 5 3 3" xfId="14045" xr:uid="{B8140EDA-70B5-4618-A2C2-187D9769DD6A}"/>
    <cellStyle name="Normal 4 6 2 5 4" xfId="18268" xr:uid="{3EB9B30B-1D19-439D-9564-BE935C917EF9}"/>
    <cellStyle name="Normal 4 6 2 5 5" xfId="9827" xr:uid="{6B668DD4-E4F5-4112-9CFD-A7A2323825E0}"/>
    <cellStyle name="Normal 4 6 2 6" xfId="1701" xr:uid="{00000000-0005-0000-0000-000048160000}"/>
    <cellStyle name="Normal 4 6 2 6 2" xfId="3931" xr:uid="{00000000-0005-0000-0000-000049160000}"/>
    <cellStyle name="Normal 4 6 2 6 2 2" xfId="8153" xr:uid="{00000000-0005-0000-0000-00004A160000}"/>
    <cellStyle name="Normal 4 6 2 6 2 2 2" xfId="25044" xr:uid="{7E348E97-6518-431F-82CF-DB04B6D03BDB}"/>
    <cellStyle name="Normal 4 6 2 6 2 2 3" xfId="16603" xr:uid="{0982DD74-3CB4-41CC-92C7-EE5D0A954552}"/>
    <cellStyle name="Normal 4 6 2 6 2 3" xfId="20826" xr:uid="{3C9A2EB0-123C-4684-8AE3-7DD21BB3E40C}"/>
    <cellStyle name="Normal 4 6 2 6 2 4" xfId="12385" xr:uid="{24449CDD-A8F2-4FFF-935E-D533C2DFE359}"/>
    <cellStyle name="Normal 4 6 2 6 3" xfId="6008" xr:uid="{00000000-0005-0000-0000-00004B160000}"/>
    <cellStyle name="Normal 4 6 2 6 3 2" xfId="22899" xr:uid="{5D1CFA49-4207-420F-BE5C-990400F956FC}"/>
    <cellStyle name="Normal 4 6 2 6 3 3" xfId="14458" xr:uid="{D3DF3EEC-49D9-4F02-9719-A0DDD9845F9F}"/>
    <cellStyle name="Normal 4 6 2 6 4" xfId="18681" xr:uid="{94788C3A-E635-476E-A4BA-09102D1F1D1E}"/>
    <cellStyle name="Normal 4 6 2 6 5" xfId="10240" xr:uid="{4FD39B64-5EAC-47E1-8210-D1F21FCF145A}"/>
    <cellStyle name="Normal 4 6 2 7" xfId="2115" xr:uid="{00000000-0005-0000-0000-00004C160000}"/>
    <cellStyle name="Normal 4 6 2 7 2" xfId="4344" xr:uid="{00000000-0005-0000-0000-00004D160000}"/>
    <cellStyle name="Normal 4 6 2 7 2 2" xfId="8566" xr:uid="{00000000-0005-0000-0000-00004E160000}"/>
    <cellStyle name="Normal 4 6 2 7 2 2 2" xfId="25457" xr:uid="{13478D8F-027F-4C55-97B2-B50E02357DC1}"/>
    <cellStyle name="Normal 4 6 2 7 2 2 3" xfId="17016" xr:uid="{EED4D9A5-EC0C-4C83-AF0E-C2CFCFD8E0B5}"/>
    <cellStyle name="Normal 4 6 2 7 2 3" xfId="21239" xr:uid="{F0569B07-D65D-44E9-91DB-0309CEC44DE0}"/>
    <cellStyle name="Normal 4 6 2 7 2 4" xfId="12798" xr:uid="{243C1583-ADF7-4DE0-8502-643DE4E8F6B9}"/>
    <cellStyle name="Normal 4 6 2 7 3" xfId="6421" xr:uid="{00000000-0005-0000-0000-00004F160000}"/>
    <cellStyle name="Normal 4 6 2 7 3 2" xfId="23312" xr:uid="{0A8E4959-4769-469D-9D61-C3CF8D59E8B7}"/>
    <cellStyle name="Normal 4 6 2 7 3 3" xfId="14871" xr:uid="{23DAD9D1-6EBE-4096-A5C0-559062BC719C}"/>
    <cellStyle name="Normal 4 6 2 7 4" xfId="19094" xr:uid="{01C2016A-C909-48B0-9E1A-432221274499}"/>
    <cellStyle name="Normal 4 6 2 7 5" xfId="10653" xr:uid="{0F279B20-420E-4BF6-A23F-1601DFCDDB81}"/>
    <cellStyle name="Normal 4 6 2 8" xfId="2551" xr:uid="{00000000-0005-0000-0000-000050160000}"/>
    <cellStyle name="Normal 4 6 2 8 2" xfId="6834" xr:uid="{00000000-0005-0000-0000-000051160000}"/>
    <cellStyle name="Normal 4 6 2 8 2 2" xfId="23725" xr:uid="{A7E7F800-9EAE-47C3-85FD-C9BFEEE44D73}"/>
    <cellStyle name="Normal 4 6 2 8 2 3" xfId="15284" xr:uid="{2F25FFCA-5E8B-4A8C-950F-0262A789B85F}"/>
    <cellStyle name="Normal 4 6 2 8 3" xfId="19507" xr:uid="{E59B4022-DB44-48A3-A051-F7499283E6A3}"/>
    <cellStyle name="Normal 4 6 2 8 4" xfId="11066" xr:uid="{242FDD35-B18C-42AE-9391-2F92BE0E0AB6}"/>
    <cellStyle name="Normal 4 6 2 9" xfId="4769" xr:uid="{00000000-0005-0000-0000-000052160000}"/>
    <cellStyle name="Normal 4 6 2 9 2" xfId="21660" xr:uid="{361CE371-44EF-416F-AAB8-D65F9D4D388F}"/>
    <cellStyle name="Normal 4 6 2 9 3" xfId="13219" xr:uid="{4E095BDB-13EB-4CE9-AF20-B06FE7A598BA}"/>
    <cellStyle name="Normal 4 6 3" xfId="400" xr:uid="{00000000-0005-0000-0000-000053160000}"/>
    <cellStyle name="Normal 4 6 3 10" xfId="9005" xr:uid="{D074BC84-EA98-4A93-AF1C-50209C1FD674}"/>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2 2 2" xfId="24223" xr:uid="{EE8EFD55-41B2-4ACD-8E21-D29D9DB5CABD}"/>
    <cellStyle name="Normal 4 6 3 2 2 2 2 3" xfId="15782" xr:uid="{D63C2C4E-AA21-4441-B45A-7F61C4B41E86}"/>
    <cellStyle name="Normal 4 6 3 2 2 2 3" xfId="20005" xr:uid="{30FFAABA-41C6-4524-A8EE-80E051F0CB41}"/>
    <cellStyle name="Normal 4 6 3 2 2 2 4" xfId="11564" xr:uid="{6299BA8E-E55E-4257-9BCA-685359E546EB}"/>
    <cellStyle name="Normal 4 6 3 2 2 3" xfId="5187" xr:uid="{00000000-0005-0000-0000-000058160000}"/>
    <cellStyle name="Normal 4 6 3 2 2 3 2" xfId="22078" xr:uid="{32E7CC91-3247-4B72-AE15-0D242533AB2A}"/>
    <cellStyle name="Normal 4 6 3 2 2 3 3" xfId="13637" xr:uid="{C9604EAA-A62B-4E6A-9F23-001F44A283BE}"/>
    <cellStyle name="Normal 4 6 3 2 2 4" xfId="17860" xr:uid="{F6267E4F-D1B3-44FE-91F4-39B750606227}"/>
    <cellStyle name="Normal 4 6 3 2 2 5" xfId="9419" xr:uid="{09589EED-2A02-4656-81E1-69B37E950639}"/>
    <cellStyle name="Normal 4 6 3 2 3" xfId="1293" xr:uid="{00000000-0005-0000-0000-000059160000}"/>
    <cellStyle name="Normal 4 6 3 2 3 2" xfId="3523" xr:uid="{00000000-0005-0000-0000-00005A160000}"/>
    <cellStyle name="Normal 4 6 3 2 3 2 2" xfId="7745" xr:uid="{00000000-0005-0000-0000-00005B160000}"/>
    <cellStyle name="Normal 4 6 3 2 3 2 2 2" xfId="24636" xr:uid="{90F99B6F-9663-4966-A236-4726954C5BB9}"/>
    <cellStyle name="Normal 4 6 3 2 3 2 2 3" xfId="16195" xr:uid="{29EE62C7-9712-4D35-87C0-7348F1739589}"/>
    <cellStyle name="Normal 4 6 3 2 3 2 3" xfId="20418" xr:uid="{889DC761-1B9F-435C-906F-1EEBF94C48C4}"/>
    <cellStyle name="Normal 4 6 3 2 3 2 4" xfId="11977" xr:uid="{98E84F64-F9AC-4C78-84F7-A8F699D437C3}"/>
    <cellStyle name="Normal 4 6 3 2 3 3" xfId="5600" xr:uid="{00000000-0005-0000-0000-00005C160000}"/>
    <cellStyle name="Normal 4 6 3 2 3 3 2" xfId="22491" xr:uid="{58B83B03-15A0-4785-AD7F-3ADB7A97DEF6}"/>
    <cellStyle name="Normal 4 6 3 2 3 3 3" xfId="14050" xr:uid="{735DFFC5-E930-412A-9454-22DCDF593DAA}"/>
    <cellStyle name="Normal 4 6 3 2 3 4" xfId="18273" xr:uid="{441EEFA2-DF5B-4ADA-ABDA-06134EB93B1B}"/>
    <cellStyle name="Normal 4 6 3 2 3 5" xfId="9832" xr:uid="{4D3EC9D6-87F6-4BF9-A5CD-3633988DF079}"/>
    <cellStyle name="Normal 4 6 3 2 4" xfId="1706" xr:uid="{00000000-0005-0000-0000-00005D160000}"/>
    <cellStyle name="Normal 4 6 3 2 4 2" xfId="3936" xr:uid="{00000000-0005-0000-0000-00005E160000}"/>
    <cellStyle name="Normal 4 6 3 2 4 2 2" xfId="8158" xr:uid="{00000000-0005-0000-0000-00005F160000}"/>
    <cellStyle name="Normal 4 6 3 2 4 2 2 2" xfId="25049" xr:uid="{D94442CA-81C2-4181-9B9D-95EF662467E5}"/>
    <cellStyle name="Normal 4 6 3 2 4 2 2 3" xfId="16608" xr:uid="{5D794696-AB03-4FD2-9880-F11CA316BE88}"/>
    <cellStyle name="Normal 4 6 3 2 4 2 3" xfId="20831" xr:uid="{9452C82B-59AF-4AA3-884D-17430B4E5C43}"/>
    <cellStyle name="Normal 4 6 3 2 4 2 4" xfId="12390" xr:uid="{ABDC4E0B-9022-493B-A2B3-B97B417C9364}"/>
    <cellStyle name="Normal 4 6 3 2 4 3" xfId="6013" xr:uid="{00000000-0005-0000-0000-000060160000}"/>
    <cellStyle name="Normal 4 6 3 2 4 3 2" xfId="22904" xr:uid="{E537960C-DBEF-4CCD-87AE-0B4B1E4404AC}"/>
    <cellStyle name="Normal 4 6 3 2 4 3 3" xfId="14463" xr:uid="{985323E4-3F5E-4818-91C6-D6E31F6BA3DE}"/>
    <cellStyle name="Normal 4 6 3 2 4 4" xfId="18686" xr:uid="{B4FDB59F-80B7-4FFA-AF92-7F497398C60C}"/>
    <cellStyle name="Normal 4 6 3 2 4 5" xfId="10245" xr:uid="{50F3B860-5A9C-4AAA-B975-6237C1F0ED56}"/>
    <cellStyle name="Normal 4 6 3 2 5" xfId="2120" xr:uid="{00000000-0005-0000-0000-000061160000}"/>
    <cellStyle name="Normal 4 6 3 2 5 2" xfId="4349" xr:uid="{00000000-0005-0000-0000-000062160000}"/>
    <cellStyle name="Normal 4 6 3 2 5 2 2" xfId="8571" xr:uid="{00000000-0005-0000-0000-000063160000}"/>
    <cellStyle name="Normal 4 6 3 2 5 2 2 2" xfId="25462" xr:uid="{9DF4B658-378B-4997-B8FF-1D4A7ACA9D5E}"/>
    <cellStyle name="Normal 4 6 3 2 5 2 2 3" xfId="17021" xr:uid="{8FD69039-327E-4C1E-8402-36AF038B13B9}"/>
    <cellStyle name="Normal 4 6 3 2 5 2 3" xfId="21244" xr:uid="{4472C39D-675A-474E-836D-FBDE47761A22}"/>
    <cellStyle name="Normal 4 6 3 2 5 2 4" xfId="12803" xr:uid="{9B49ED2E-59E9-42D6-BF89-74D7A80009F2}"/>
    <cellStyle name="Normal 4 6 3 2 5 3" xfId="6426" xr:uid="{00000000-0005-0000-0000-000064160000}"/>
    <cellStyle name="Normal 4 6 3 2 5 3 2" xfId="23317" xr:uid="{8ADAFD39-0888-47D5-90D5-2C5F6EA7E38A}"/>
    <cellStyle name="Normal 4 6 3 2 5 3 3" xfId="14876" xr:uid="{8B90B3A8-A4A0-4EB0-BEA6-2DA7D44CC8EA}"/>
    <cellStyle name="Normal 4 6 3 2 5 4" xfId="19099" xr:uid="{71FD29FB-33B7-4991-AFE5-C14EDF7051BC}"/>
    <cellStyle name="Normal 4 6 3 2 5 5" xfId="10658" xr:uid="{2B0281C0-74D0-49B5-BC94-BE7506345C3D}"/>
    <cellStyle name="Normal 4 6 3 2 6" xfId="2556" xr:uid="{00000000-0005-0000-0000-000065160000}"/>
    <cellStyle name="Normal 4 6 3 2 6 2" xfId="6839" xr:uid="{00000000-0005-0000-0000-000066160000}"/>
    <cellStyle name="Normal 4 6 3 2 6 2 2" xfId="23730" xr:uid="{3160EC8B-BFAF-4CE4-A0AA-DDED410DF2EE}"/>
    <cellStyle name="Normal 4 6 3 2 6 2 3" xfId="15289" xr:uid="{1A413C1B-3AAB-48BB-95D7-FA911EC44095}"/>
    <cellStyle name="Normal 4 6 3 2 6 3" xfId="19512" xr:uid="{902AF39C-6F22-47B1-AACF-B491AD1655D3}"/>
    <cellStyle name="Normal 4 6 3 2 6 4" xfId="11071" xr:uid="{912C1691-B26F-43EA-98EB-121C8A5C55CA}"/>
    <cellStyle name="Normal 4 6 3 2 7" xfId="4774" xr:uid="{00000000-0005-0000-0000-000067160000}"/>
    <cellStyle name="Normal 4 6 3 2 7 2" xfId="21665" xr:uid="{93647935-2B0F-4B17-AEAD-488F8B4CACA8}"/>
    <cellStyle name="Normal 4 6 3 2 7 3" xfId="13224" xr:uid="{1FF5FEC2-A7EB-4332-82B5-17CE6C8B6507}"/>
    <cellStyle name="Normal 4 6 3 2 8" xfId="17447" xr:uid="{0194A330-EB3F-492D-A959-DDC04B94404E}"/>
    <cellStyle name="Normal 4 6 3 2 9" xfId="9006" xr:uid="{751B2E1F-9BFD-479D-BBBF-27D0D4BFB185}"/>
    <cellStyle name="Normal 4 6 3 3" xfId="874" xr:uid="{00000000-0005-0000-0000-000068160000}"/>
    <cellStyle name="Normal 4 6 3 3 2" xfId="3109" xr:uid="{00000000-0005-0000-0000-000069160000}"/>
    <cellStyle name="Normal 4 6 3 3 2 2" xfId="7331" xr:uid="{00000000-0005-0000-0000-00006A160000}"/>
    <cellStyle name="Normal 4 6 3 3 2 2 2" xfId="24222" xr:uid="{3719420D-55E2-48E3-A2DA-955D075EA2E9}"/>
    <cellStyle name="Normal 4 6 3 3 2 2 3" xfId="15781" xr:uid="{D88ABB9B-DB89-4109-87C4-6C310610F347}"/>
    <cellStyle name="Normal 4 6 3 3 2 3" xfId="20004" xr:uid="{C13E7DCB-D1D7-4E5B-9CAC-B45C18F0B04D}"/>
    <cellStyle name="Normal 4 6 3 3 2 4" xfId="11563" xr:uid="{1F89EAB9-0588-4779-9304-3297585F9095}"/>
    <cellStyle name="Normal 4 6 3 3 3" xfId="5186" xr:uid="{00000000-0005-0000-0000-00006B160000}"/>
    <cellStyle name="Normal 4 6 3 3 3 2" xfId="22077" xr:uid="{65775C91-9901-4524-8425-D51C699C7F5A}"/>
    <cellStyle name="Normal 4 6 3 3 3 3" xfId="13636" xr:uid="{ECBA72CE-28C3-47E7-AC48-A982ACBAB872}"/>
    <cellStyle name="Normal 4 6 3 3 4" xfId="17859" xr:uid="{C4F2163B-2152-492E-A82D-5FB242DACED1}"/>
    <cellStyle name="Normal 4 6 3 3 5" xfId="9418" xr:uid="{5B716379-977E-451D-809D-244264A04E9F}"/>
    <cellStyle name="Normal 4 6 3 4" xfId="1292" xr:uid="{00000000-0005-0000-0000-00006C160000}"/>
    <cellStyle name="Normal 4 6 3 4 2" xfId="3522" xr:uid="{00000000-0005-0000-0000-00006D160000}"/>
    <cellStyle name="Normal 4 6 3 4 2 2" xfId="7744" xr:uid="{00000000-0005-0000-0000-00006E160000}"/>
    <cellStyle name="Normal 4 6 3 4 2 2 2" xfId="24635" xr:uid="{00CEFFF2-B793-4764-9672-AFC133DA35A8}"/>
    <cellStyle name="Normal 4 6 3 4 2 2 3" xfId="16194" xr:uid="{19FE4711-B560-40E3-A095-7C1E3EEC58A3}"/>
    <cellStyle name="Normal 4 6 3 4 2 3" xfId="20417" xr:uid="{50DB7550-B905-49C5-921E-6DEEDA88B7B3}"/>
    <cellStyle name="Normal 4 6 3 4 2 4" xfId="11976" xr:uid="{8F50DACF-A0B6-4959-854A-A58BFCEE4DBD}"/>
    <cellStyle name="Normal 4 6 3 4 3" xfId="5599" xr:uid="{00000000-0005-0000-0000-00006F160000}"/>
    <cellStyle name="Normal 4 6 3 4 3 2" xfId="22490" xr:uid="{C92C3F23-03C7-4B50-8720-3C8DC1B522B8}"/>
    <cellStyle name="Normal 4 6 3 4 3 3" xfId="14049" xr:uid="{1C0DC939-094D-4AC6-A587-1F83EDD1D425}"/>
    <cellStyle name="Normal 4 6 3 4 4" xfId="18272" xr:uid="{616B1A96-F7D9-44AB-99C7-2B88FF5FCF19}"/>
    <cellStyle name="Normal 4 6 3 4 5" xfId="9831" xr:uid="{07184C3F-A75A-429A-AEB4-EE78AEDD15F3}"/>
    <cellStyle name="Normal 4 6 3 5" xfId="1705" xr:uid="{00000000-0005-0000-0000-000070160000}"/>
    <cellStyle name="Normal 4 6 3 5 2" xfId="3935" xr:uid="{00000000-0005-0000-0000-000071160000}"/>
    <cellStyle name="Normal 4 6 3 5 2 2" xfId="8157" xr:uid="{00000000-0005-0000-0000-000072160000}"/>
    <cellStyle name="Normal 4 6 3 5 2 2 2" xfId="25048" xr:uid="{FCD5F4AB-0118-4894-93AD-9999292F47C6}"/>
    <cellStyle name="Normal 4 6 3 5 2 2 3" xfId="16607" xr:uid="{47434ECD-1569-4FCE-92A7-338BCB35E270}"/>
    <cellStyle name="Normal 4 6 3 5 2 3" xfId="20830" xr:uid="{7B2BE562-F203-449B-9BD7-27083251C3EC}"/>
    <cellStyle name="Normal 4 6 3 5 2 4" xfId="12389" xr:uid="{A553AF6E-5435-414C-BFEA-1B6081484ECA}"/>
    <cellStyle name="Normal 4 6 3 5 3" xfId="6012" xr:uid="{00000000-0005-0000-0000-000073160000}"/>
    <cellStyle name="Normal 4 6 3 5 3 2" xfId="22903" xr:uid="{8C7A191D-4D10-42AE-BC6B-62D5D518330C}"/>
    <cellStyle name="Normal 4 6 3 5 3 3" xfId="14462" xr:uid="{C554EE88-7B46-4408-A510-A44D4049080A}"/>
    <cellStyle name="Normal 4 6 3 5 4" xfId="18685" xr:uid="{F05E4FD7-1E1C-40FB-BB2C-7399C27BA217}"/>
    <cellStyle name="Normal 4 6 3 5 5" xfId="10244" xr:uid="{CFA50FA8-ED92-4EDF-9BA8-4D71BCE546D7}"/>
    <cellStyle name="Normal 4 6 3 6" xfId="2119" xr:uid="{00000000-0005-0000-0000-000074160000}"/>
    <cellStyle name="Normal 4 6 3 6 2" xfId="4348" xr:uid="{00000000-0005-0000-0000-000075160000}"/>
    <cellStyle name="Normal 4 6 3 6 2 2" xfId="8570" xr:uid="{00000000-0005-0000-0000-000076160000}"/>
    <cellStyle name="Normal 4 6 3 6 2 2 2" xfId="25461" xr:uid="{C6DDB109-4ADA-4624-A399-07B536C91E56}"/>
    <cellStyle name="Normal 4 6 3 6 2 2 3" xfId="17020" xr:uid="{36D0E11E-5A2D-43C2-9CFE-8502D53DFBF5}"/>
    <cellStyle name="Normal 4 6 3 6 2 3" xfId="21243" xr:uid="{57088318-F69E-47F5-8473-6AE4316DFBEB}"/>
    <cellStyle name="Normal 4 6 3 6 2 4" xfId="12802" xr:uid="{18189A38-CF1E-4EF6-A59E-C559499F6BEB}"/>
    <cellStyle name="Normal 4 6 3 6 3" xfId="6425" xr:uid="{00000000-0005-0000-0000-000077160000}"/>
    <cellStyle name="Normal 4 6 3 6 3 2" xfId="23316" xr:uid="{E5E5D546-5A72-49A0-9B26-C7DEF2B80DB6}"/>
    <cellStyle name="Normal 4 6 3 6 3 3" xfId="14875" xr:uid="{1A28A6B6-0F33-4E0E-A1F8-634F022565FE}"/>
    <cellStyle name="Normal 4 6 3 6 4" xfId="19098" xr:uid="{96DA262A-3981-40BF-8910-689DB07D1FB0}"/>
    <cellStyle name="Normal 4 6 3 6 5" xfId="10657" xr:uid="{06A7DE86-F345-48EE-ADD7-1B829C9781EF}"/>
    <cellStyle name="Normal 4 6 3 7" xfId="2555" xr:uid="{00000000-0005-0000-0000-000078160000}"/>
    <cellStyle name="Normal 4 6 3 7 2" xfId="6838" xr:uid="{00000000-0005-0000-0000-000079160000}"/>
    <cellStyle name="Normal 4 6 3 7 2 2" xfId="23729" xr:uid="{C718274B-4B74-48B3-A937-7CA356694629}"/>
    <cellStyle name="Normal 4 6 3 7 2 3" xfId="15288" xr:uid="{95EB0BEE-4973-4788-8CA9-D9B46892C164}"/>
    <cellStyle name="Normal 4 6 3 7 3" xfId="19511" xr:uid="{29D32BA0-C3AF-4B22-9EF9-05F918FA9987}"/>
    <cellStyle name="Normal 4 6 3 7 4" xfId="11070" xr:uid="{8D88D418-1CF1-4381-834A-6606C915E6DC}"/>
    <cellStyle name="Normal 4 6 3 8" xfId="4773" xr:uid="{00000000-0005-0000-0000-00007A160000}"/>
    <cellStyle name="Normal 4 6 3 8 2" xfId="21664" xr:uid="{1BE8430A-56C1-4D9E-9672-A70C4FF5777E}"/>
    <cellStyle name="Normal 4 6 3 8 3" xfId="13223" xr:uid="{4E8CF2CA-8FAA-4C82-A8FB-E6DECE58F919}"/>
    <cellStyle name="Normal 4 6 3 9" xfId="17446" xr:uid="{885E0FDB-73C3-4B64-BE44-93107B66B37C}"/>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2 2 2" xfId="24224" xr:uid="{9B54E68F-676D-4673-8B3A-A8F1BD175ADE}"/>
    <cellStyle name="Normal 4 6 4 2 2 2 3" xfId="15783" xr:uid="{844A313E-FF92-48DF-AA53-7E6C4DCE236B}"/>
    <cellStyle name="Normal 4 6 4 2 2 3" xfId="20006" xr:uid="{C391D874-B56C-4420-AFD8-A3C8D78D26F1}"/>
    <cellStyle name="Normal 4 6 4 2 2 4" xfId="11565" xr:uid="{36AAEA45-F4B3-4337-83C7-7087C54CEBC5}"/>
    <cellStyle name="Normal 4 6 4 2 3" xfId="5188" xr:uid="{00000000-0005-0000-0000-00007F160000}"/>
    <cellStyle name="Normal 4 6 4 2 3 2" xfId="22079" xr:uid="{AB3F415D-7832-49BB-B538-BE69087B1630}"/>
    <cellStyle name="Normal 4 6 4 2 3 3" xfId="13638" xr:uid="{8E33683E-D5BC-49CA-9EC4-6F2F67FCC6E5}"/>
    <cellStyle name="Normal 4 6 4 2 4" xfId="17861" xr:uid="{5082019C-CCF4-4AA1-9F10-01A8F59343EE}"/>
    <cellStyle name="Normal 4 6 4 2 5" xfId="9420" xr:uid="{B44E03C1-CE8D-4656-A204-F5FE329A7CAE}"/>
    <cellStyle name="Normal 4 6 4 3" xfId="1294" xr:uid="{00000000-0005-0000-0000-000080160000}"/>
    <cellStyle name="Normal 4 6 4 3 2" xfId="3524" xr:uid="{00000000-0005-0000-0000-000081160000}"/>
    <cellStyle name="Normal 4 6 4 3 2 2" xfId="7746" xr:uid="{00000000-0005-0000-0000-000082160000}"/>
    <cellStyle name="Normal 4 6 4 3 2 2 2" xfId="24637" xr:uid="{53767366-7B86-4F1D-A3CC-0968A9DA2507}"/>
    <cellStyle name="Normal 4 6 4 3 2 2 3" xfId="16196" xr:uid="{8F36C14A-C372-4754-BA32-74E73F77F452}"/>
    <cellStyle name="Normal 4 6 4 3 2 3" xfId="20419" xr:uid="{FE934FC1-8559-417C-BF33-C9739F637DAB}"/>
    <cellStyle name="Normal 4 6 4 3 2 4" xfId="11978" xr:uid="{964AEA13-8CC3-4066-A498-4CD24F2B7FA4}"/>
    <cellStyle name="Normal 4 6 4 3 3" xfId="5601" xr:uid="{00000000-0005-0000-0000-000083160000}"/>
    <cellStyle name="Normal 4 6 4 3 3 2" xfId="22492" xr:uid="{C42EACDC-FC6F-484B-9561-A43EB146AD45}"/>
    <cellStyle name="Normal 4 6 4 3 3 3" xfId="14051" xr:uid="{E6A163DE-1445-4A5E-835A-BF6751605983}"/>
    <cellStyle name="Normal 4 6 4 3 4" xfId="18274" xr:uid="{CE2E4273-AA4D-4DDE-8F17-06B5E04018BB}"/>
    <cellStyle name="Normal 4 6 4 3 5" xfId="9833" xr:uid="{F40D13A2-334D-4582-B4B9-7E6AAD8242D0}"/>
    <cellStyle name="Normal 4 6 4 4" xfId="1707" xr:uid="{00000000-0005-0000-0000-000084160000}"/>
    <cellStyle name="Normal 4 6 4 4 2" xfId="3937" xr:uid="{00000000-0005-0000-0000-000085160000}"/>
    <cellStyle name="Normal 4 6 4 4 2 2" xfId="8159" xr:uid="{00000000-0005-0000-0000-000086160000}"/>
    <cellStyle name="Normal 4 6 4 4 2 2 2" xfId="25050" xr:uid="{10365394-04A4-4FCC-A6D6-24480EAF661A}"/>
    <cellStyle name="Normal 4 6 4 4 2 2 3" xfId="16609" xr:uid="{7CD69B26-E3D4-44BC-B1EF-FB271B79B907}"/>
    <cellStyle name="Normal 4 6 4 4 2 3" xfId="20832" xr:uid="{07FDAE1E-B63B-478A-8D05-479ABEB826DC}"/>
    <cellStyle name="Normal 4 6 4 4 2 4" xfId="12391" xr:uid="{72E4E328-4034-4073-BE47-088DE32AE5AE}"/>
    <cellStyle name="Normal 4 6 4 4 3" xfId="6014" xr:uid="{00000000-0005-0000-0000-000087160000}"/>
    <cellStyle name="Normal 4 6 4 4 3 2" xfId="22905" xr:uid="{DBC46B92-AC94-42FF-B73B-110E61E2D1B4}"/>
    <cellStyle name="Normal 4 6 4 4 3 3" xfId="14464" xr:uid="{910B7C1A-BFF8-419F-AD01-F0AB71164486}"/>
    <cellStyle name="Normal 4 6 4 4 4" xfId="18687" xr:uid="{515B7498-A7E0-4427-A731-1BE07298B760}"/>
    <cellStyle name="Normal 4 6 4 4 5" xfId="10246" xr:uid="{73615A39-373A-42A6-A9DE-2D618780ECE9}"/>
    <cellStyle name="Normal 4 6 4 5" xfId="2121" xr:uid="{00000000-0005-0000-0000-000088160000}"/>
    <cellStyle name="Normal 4 6 4 5 2" xfId="4350" xr:uid="{00000000-0005-0000-0000-000089160000}"/>
    <cellStyle name="Normal 4 6 4 5 2 2" xfId="8572" xr:uid="{00000000-0005-0000-0000-00008A160000}"/>
    <cellStyle name="Normal 4 6 4 5 2 2 2" xfId="25463" xr:uid="{E0BB11D6-3C18-40BA-B497-4D510DA7A311}"/>
    <cellStyle name="Normal 4 6 4 5 2 2 3" xfId="17022" xr:uid="{EBF7D76D-4EAA-4682-B54F-A2543B7C6731}"/>
    <cellStyle name="Normal 4 6 4 5 2 3" xfId="21245" xr:uid="{737A6BDF-8B8A-4E52-BBC5-A5E8649522A1}"/>
    <cellStyle name="Normal 4 6 4 5 2 4" xfId="12804" xr:uid="{C0B26206-22EA-4AD6-A8D7-3C88994453FC}"/>
    <cellStyle name="Normal 4 6 4 5 3" xfId="6427" xr:uid="{00000000-0005-0000-0000-00008B160000}"/>
    <cellStyle name="Normal 4 6 4 5 3 2" xfId="23318" xr:uid="{D2A08F2A-C06C-4AFD-BA93-C20374A41555}"/>
    <cellStyle name="Normal 4 6 4 5 3 3" xfId="14877" xr:uid="{E71A597B-249F-40BD-A7DA-D1FC78FD3FA5}"/>
    <cellStyle name="Normal 4 6 4 5 4" xfId="19100" xr:uid="{E955D4E7-F747-4523-966C-11DD12E03A66}"/>
    <cellStyle name="Normal 4 6 4 5 5" xfId="10659" xr:uid="{1D66C3FF-B38F-472D-8EE5-D40EC7BF4CE3}"/>
    <cellStyle name="Normal 4 6 4 6" xfId="2557" xr:uid="{00000000-0005-0000-0000-00008C160000}"/>
    <cellStyle name="Normal 4 6 4 6 2" xfId="6840" xr:uid="{00000000-0005-0000-0000-00008D160000}"/>
    <cellStyle name="Normal 4 6 4 6 2 2" xfId="23731" xr:uid="{D4697861-B3B8-48E3-BBF8-4EBBE187A128}"/>
    <cellStyle name="Normal 4 6 4 6 2 3" xfId="15290" xr:uid="{A20CD6C2-20FA-4F08-B5EB-897B7ABBA377}"/>
    <cellStyle name="Normal 4 6 4 6 3" xfId="19513" xr:uid="{87FF68A7-413E-42EB-9911-9E48CB23E73F}"/>
    <cellStyle name="Normal 4 6 4 6 4" xfId="11072" xr:uid="{7408C17D-C061-4D6A-94BF-5C0BA04FD086}"/>
    <cellStyle name="Normal 4 6 4 7" xfId="4775" xr:uid="{00000000-0005-0000-0000-00008E160000}"/>
    <cellStyle name="Normal 4 6 4 7 2" xfId="21666" xr:uid="{3926208A-B110-4285-AE3B-80D211C1A5A3}"/>
    <cellStyle name="Normal 4 6 4 7 3" xfId="13225" xr:uid="{932DF270-8200-4FD0-8DA8-179473166B44}"/>
    <cellStyle name="Normal 4 6 4 8" xfId="17448" xr:uid="{4CE0941E-39CD-470F-AFF6-53B96AEBCD31}"/>
    <cellStyle name="Normal 4 6 4 9" xfId="9007" xr:uid="{E0CF722C-BA96-46E3-B4E0-B7CFBD5CA9C5}"/>
    <cellStyle name="Normal 4 6 5" xfId="869" xr:uid="{00000000-0005-0000-0000-00008F160000}"/>
    <cellStyle name="Normal 4 6 5 2" xfId="3104" xr:uid="{00000000-0005-0000-0000-000090160000}"/>
    <cellStyle name="Normal 4 6 5 2 2" xfId="7326" xr:uid="{00000000-0005-0000-0000-000091160000}"/>
    <cellStyle name="Normal 4 6 5 2 2 2" xfId="24217" xr:uid="{41DA20E2-F8CF-4F3D-BAB1-CAAA857DD2AF}"/>
    <cellStyle name="Normal 4 6 5 2 2 3" xfId="15776" xr:uid="{A0A77612-B3D3-4F78-AEC7-B5E1A87665AE}"/>
    <cellStyle name="Normal 4 6 5 2 3" xfId="19999" xr:uid="{4A328CD8-0D51-4657-ADEC-9B75EA66A832}"/>
    <cellStyle name="Normal 4 6 5 2 4" xfId="11558" xr:uid="{0305F58D-08B7-4F4F-A005-A988255EE875}"/>
    <cellStyle name="Normal 4 6 5 3" xfId="5181" xr:uid="{00000000-0005-0000-0000-000092160000}"/>
    <cellStyle name="Normal 4 6 5 3 2" xfId="22072" xr:uid="{0C27D66E-4A89-40B0-B9DC-1F1BDBBD0375}"/>
    <cellStyle name="Normal 4 6 5 3 3" xfId="13631" xr:uid="{26BCA53C-292B-40BD-B125-B32C92C6F087}"/>
    <cellStyle name="Normal 4 6 5 4" xfId="17854" xr:uid="{249A3308-D20C-4B36-A523-FCF4A2695E76}"/>
    <cellStyle name="Normal 4 6 5 5" xfId="9413" xr:uid="{736FD105-0C72-427C-9567-8E249016E2C7}"/>
    <cellStyle name="Normal 4 6 6" xfId="1287" xr:uid="{00000000-0005-0000-0000-000093160000}"/>
    <cellStyle name="Normal 4 6 6 2" xfId="3517" xr:uid="{00000000-0005-0000-0000-000094160000}"/>
    <cellStyle name="Normal 4 6 6 2 2" xfId="7739" xr:uid="{00000000-0005-0000-0000-000095160000}"/>
    <cellStyle name="Normal 4 6 6 2 2 2" xfId="24630" xr:uid="{F11C3F03-0C47-4C24-9DB2-217432CBD664}"/>
    <cellStyle name="Normal 4 6 6 2 2 3" xfId="16189" xr:uid="{868AC621-9B04-4D50-8B56-D0BB5F876606}"/>
    <cellStyle name="Normal 4 6 6 2 3" xfId="20412" xr:uid="{C752EEE9-3DD9-4408-B647-31040504B9FF}"/>
    <cellStyle name="Normal 4 6 6 2 4" xfId="11971" xr:uid="{EAD21357-448F-4F9C-A561-345E6CECDC55}"/>
    <cellStyle name="Normal 4 6 6 3" xfId="5594" xr:uid="{00000000-0005-0000-0000-000096160000}"/>
    <cellStyle name="Normal 4 6 6 3 2" xfId="22485" xr:uid="{EBA497E7-56E6-4BF2-A85B-9A1F238A0B0C}"/>
    <cellStyle name="Normal 4 6 6 3 3" xfId="14044" xr:uid="{8F44F095-09DB-426F-BB0C-C03A48C2AC41}"/>
    <cellStyle name="Normal 4 6 6 4" xfId="18267" xr:uid="{5598A00A-092A-4C69-874B-D4A4E82E16E7}"/>
    <cellStyle name="Normal 4 6 6 5" xfId="9826" xr:uid="{944C13D8-5211-406C-B3C4-900E48EA283A}"/>
    <cellStyle name="Normal 4 6 7" xfId="1700" xr:uid="{00000000-0005-0000-0000-000097160000}"/>
    <cellStyle name="Normal 4 6 7 2" xfId="3930" xr:uid="{00000000-0005-0000-0000-000098160000}"/>
    <cellStyle name="Normal 4 6 7 2 2" xfId="8152" xr:uid="{00000000-0005-0000-0000-000099160000}"/>
    <cellStyle name="Normal 4 6 7 2 2 2" xfId="25043" xr:uid="{FB157D88-5B26-4CA9-8E2D-E49BAA0CF6B4}"/>
    <cellStyle name="Normal 4 6 7 2 2 3" xfId="16602" xr:uid="{D2B1AFDC-4600-4EEE-AD11-787F37E3A44A}"/>
    <cellStyle name="Normal 4 6 7 2 3" xfId="20825" xr:uid="{A0E70E5B-2A1C-4590-BDCF-8064CD0BB7A3}"/>
    <cellStyle name="Normal 4 6 7 2 4" xfId="12384" xr:uid="{41A8B688-E704-4C24-82C3-7DB634FCE3B3}"/>
    <cellStyle name="Normal 4 6 7 3" xfId="6007" xr:uid="{00000000-0005-0000-0000-00009A160000}"/>
    <cellStyle name="Normal 4 6 7 3 2" xfId="22898" xr:uid="{ADC5B6CC-382A-40AF-9E16-B10F2A58A242}"/>
    <cellStyle name="Normal 4 6 7 3 3" xfId="14457" xr:uid="{6DFDCB2B-9288-4B3A-84B7-5CBB2814CF3F}"/>
    <cellStyle name="Normal 4 6 7 4" xfId="18680" xr:uid="{AD39ED6A-FB07-4043-9CF1-CDBBF91169DC}"/>
    <cellStyle name="Normal 4 6 7 5" xfId="10239" xr:uid="{C4D9196B-C0C3-46CE-85E7-479595BEF4B6}"/>
    <cellStyle name="Normal 4 6 8" xfId="2114" xr:uid="{00000000-0005-0000-0000-00009B160000}"/>
    <cellStyle name="Normal 4 6 8 2" xfId="4343" xr:uid="{00000000-0005-0000-0000-00009C160000}"/>
    <cellStyle name="Normal 4 6 8 2 2" xfId="8565" xr:uid="{00000000-0005-0000-0000-00009D160000}"/>
    <cellStyle name="Normal 4 6 8 2 2 2" xfId="25456" xr:uid="{3B2FEA12-1CB9-407E-BA80-A886EDA95E77}"/>
    <cellStyle name="Normal 4 6 8 2 2 3" xfId="17015" xr:uid="{8E3F2E8D-6A03-4EFE-9B54-F85DBE330F25}"/>
    <cellStyle name="Normal 4 6 8 2 3" xfId="21238" xr:uid="{761F2FA6-5230-42A1-86F5-EAEA7883504A}"/>
    <cellStyle name="Normal 4 6 8 2 4" xfId="12797" xr:uid="{57022C52-D4EA-4F7A-A055-347DC9F16222}"/>
    <cellStyle name="Normal 4 6 8 3" xfId="6420" xr:uid="{00000000-0005-0000-0000-00009E160000}"/>
    <cellStyle name="Normal 4 6 8 3 2" xfId="23311" xr:uid="{7E10D0B1-C203-4245-A8DD-2385FC46E20D}"/>
    <cellStyle name="Normal 4 6 8 3 3" xfId="14870" xr:uid="{63EC81CC-8196-4E6A-845C-98927D69476B}"/>
    <cellStyle name="Normal 4 6 8 4" xfId="19093" xr:uid="{1E39CF11-B00A-4F38-98AA-47C5EAA03EF2}"/>
    <cellStyle name="Normal 4 6 8 5" xfId="10652" xr:uid="{15AA767A-75C0-4493-887C-E492CD3DB652}"/>
    <cellStyle name="Normal 4 6 9" xfId="2550" xr:uid="{00000000-0005-0000-0000-00009F160000}"/>
    <cellStyle name="Normal 4 6 9 2" xfId="6833" xr:uid="{00000000-0005-0000-0000-0000A0160000}"/>
    <cellStyle name="Normal 4 6 9 2 2" xfId="23724" xr:uid="{4E285872-E2BD-4231-96A6-F18A22ABF49C}"/>
    <cellStyle name="Normal 4 6 9 2 3" xfId="15283" xr:uid="{3CCFF64E-116B-471B-BCAF-EA587765697B}"/>
    <cellStyle name="Normal 4 6 9 3" xfId="19506" xr:uid="{B4AF2033-368C-4454-B2AB-C63C6C4F54F3}"/>
    <cellStyle name="Normal 4 6 9 4" xfId="11065" xr:uid="{3B997FF6-376D-4103-8619-AC63E0747C08}"/>
    <cellStyle name="Normal 4 7" xfId="403" xr:uid="{00000000-0005-0000-0000-0000A1160000}"/>
    <cellStyle name="Normal 4 7 10" xfId="9008" xr:uid="{7FD629B8-F604-462D-A738-660FAFDF0474}"/>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2 2 2" xfId="24226" xr:uid="{BE074020-B58B-4FCF-9726-F110A84284C4}"/>
    <cellStyle name="Normal 4 7 2 2 2 2 3" xfId="15785" xr:uid="{61417CE3-2407-497F-8319-664735EF5F8A}"/>
    <cellStyle name="Normal 4 7 2 2 2 3" xfId="20008" xr:uid="{6218E6CF-F48F-4C71-9CA6-D1EEB900C9AD}"/>
    <cellStyle name="Normal 4 7 2 2 2 4" xfId="11567" xr:uid="{6A22E730-622F-418F-8ED5-8844D991A92F}"/>
    <cellStyle name="Normal 4 7 2 2 3" xfId="5190" xr:uid="{00000000-0005-0000-0000-0000A6160000}"/>
    <cellStyle name="Normal 4 7 2 2 3 2" xfId="22081" xr:uid="{84D192DE-E77C-4B7F-8168-DDEEF3A431BB}"/>
    <cellStyle name="Normal 4 7 2 2 3 3" xfId="13640" xr:uid="{3DF9F1C2-4D13-44E6-B714-911D404998F6}"/>
    <cellStyle name="Normal 4 7 2 2 4" xfId="17863" xr:uid="{E0CE6668-A58D-4840-9912-2F98AEF9B01D}"/>
    <cellStyle name="Normal 4 7 2 2 5" xfId="9422" xr:uid="{FEDA33FA-9787-463D-854C-42566ADB7EB0}"/>
    <cellStyle name="Normal 4 7 2 3" xfId="1296" xr:uid="{00000000-0005-0000-0000-0000A7160000}"/>
    <cellStyle name="Normal 4 7 2 3 2" xfId="3526" xr:uid="{00000000-0005-0000-0000-0000A8160000}"/>
    <cellStyle name="Normal 4 7 2 3 2 2" xfId="7748" xr:uid="{00000000-0005-0000-0000-0000A9160000}"/>
    <cellStyle name="Normal 4 7 2 3 2 2 2" xfId="24639" xr:uid="{42FE08AF-6499-4E44-A646-29814B047B63}"/>
    <cellStyle name="Normal 4 7 2 3 2 2 3" xfId="16198" xr:uid="{F7415461-820E-48F6-956D-617CE9180CF3}"/>
    <cellStyle name="Normal 4 7 2 3 2 3" xfId="20421" xr:uid="{E9534608-CC2F-4C30-B3BA-FD6A93A03059}"/>
    <cellStyle name="Normal 4 7 2 3 2 4" xfId="11980" xr:uid="{634045AC-DED9-461A-8D52-8AAB8325A591}"/>
    <cellStyle name="Normal 4 7 2 3 3" xfId="5603" xr:uid="{00000000-0005-0000-0000-0000AA160000}"/>
    <cellStyle name="Normal 4 7 2 3 3 2" xfId="22494" xr:uid="{D8D0461A-5399-43D7-98C1-3ACCDCBCCB42}"/>
    <cellStyle name="Normal 4 7 2 3 3 3" xfId="14053" xr:uid="{FC16F859-DDB4-4B62-AB47-993896D9A968}"/>
    <cellStyle name="Normal 4 7 2 3 4" xfId="18276" xr:uid="{84202236-CD1A-4C9B-9FAE-2FFC40F52209}"/>
    <cellStyle name="Normal 4 7 2 3 5" xfId="9835" xr:uid="{24F28A75-0F4C-4E0F-9CA0-CEBF4F0E5DE4}"/>
    <cellStyle name="Normal 4 7 2 4" xfId="1709" xr:uid="{00000000-0005-0000-0000-0000AB160000}"/>
    <cellStyle name="Normal 4 7 2 4 2" xfId="3939" xr:uid="{00000000-0005-0000-0000-0000AC160000}"/>
    <cellStyle name="Normal 4 7 2 4 2 2" xfId="8161" xr:uid="{00000000-0005-0000-0000-0000AD160000}"/>
    <cellStyle name="Normal 4 7 2 4 2 2 2" xfId="25052" xr:uid="{F4411B7D-4A88-413E-B9F7-A753EBD5E899}"/>
    <cellStyle name="Normal 4 7 2 4 2 2 3" xfId="16611" xr:uid="{1D3832B6-832C-44BD-8A38-BD59066D93CB}"/>
    <cellStyle name="Normal 4 7 2 4 2 3" xfId="20834" xr:uid="{B59001BA-CDA1-4FE3-B06F-DCBC545416FF}"/>
    <cellStyle name="Normal 4 7 2 4 2 4" xfId="12393" xr:uid="{C22A647D-54F0-46CA-9C20-D610005CAAF2}"/>
    <cellStyle name="Normal 4 7 2 4 3" xfId="6016" xr:uid="{00000000-0005-0000-0000-0000AE160000}"/>
    <cellStyle name="Normal 4 7 2 4 3 2" xfId="22907" xr:uid="{AC4E32F1-8594-4CE0-8417-FA9D33153D67}"/>
    <cellStyle name="Normal 4 7 2 4 3 3" xfId="14466" xr:uid="{90E14B80-67C6-4226-8271-1764DB98633A}"/>
    <cellStyle name="Normal 4 7 2 4 4" xfId="18689" xr:uid="{2435F345-AD01-4C4C-98E0-A0FE47AD7CB6}"/>
    <cellStyle name="Normal 4 7 2 4 5" xfId="10248" xr:uid="{C52AB10B-E267-41E7-BB44-A4D0B2AC9CA9}"/>
    <cellStyle name="Normal 4 7 2 5" xfId="2123" xr:uid="{00000000-0005-0000-0000-0000AF160000}"/>
    <cellStyle name="Normal 4 7 2 5 2" xfId="4352" xr:uid="{00000000-0005-0000-0000-0000B0160000}"/>
    <cellStyle name="Normal 4 7 2 5 2 2" xfId="8574" xr:uid="{00000000-0005-0000-0000-0000B1160000}"/>
    <cellStyle name="Normal 4 7 2 5 2 2 2" xfId="25465" xr:uid="{33B012D5-C1B5-4339-93CF-F43DC0987A3B}"/>
    <cellStyle name="Normal 4 7 2 5 2 2 3" xfId="17024" xr:uid="{8F1A2E72-E8D5-4EA8-9796-6C20D54CF355}"/>
    <cellStyle name="Normal 4 7 2 5 2 3" xfId="21247" xr:uid="{3188D457-3164-42C2-AC08-198711C06523}"/>
    <cellStyle name="Normal 4 7 2 5 2 4" xfId="12806" xr:uid="{1ACD5162-9D85-4DBF-B190-326C818C9B7D}"/>
    <cellStyle name="Normal 4 7 2 5 3" xfId="6429" xr:uid="{00000000-0005-0000-0000-0000B2160000}"/>
    <cellStyle name="Normal 4 7 2 5 3 2" xfId="23320" xr:uid="{D97F2ED8-051E-4C32-B3D1-F975CB9752ED}"/>
    <cellStyle name="Normal 4 7 2 5 3 3" xfId="14879" xr:uid="{30C85E37-1C2D-4EBD-8945-A54216979047}"/>
    <cellStyle name="Normal 4 7 2 5 4" xfId="19102" xr:uid="{5056EEBC-BBF8-4E43-A25C-74044DBC78E4}"/>
    <cellStyle name="Normal 4 7 2 5 5" xfId="10661" xr:uid="{B2E103D3-DC55-4E9D-BAB3-7158BF746882}"/>
    <cellStyle name="Normal 4 7 2 6" xfId="2559" xr:uid="{00000000-0005-0000-0000-0000B3160000}"/>
    <cellStyle name="Normal 4 7 2 6 2" xfId="6842" xr:uid="{00000000-0005-0000-0000-0000B4160000}"/>
    <cellStyle name="Normal 4 7 2 6 2 2" xfId="23733" xr:uid="{25260108-F8A8-4DBA-BF66-788B95AF1663}"/>
    <cellStyle name="Normal 4 7 2 6 2 3" xfId="15292" xr:uid="{792EEA7F-EAD6-4181-A16E-965C5F3CC398}"/>
    <cellStyle name="Normal 4 7 2 6 3" xfId="19515" xr:uid="{3ED87559-4937-4EED-B8D5-A433EFC56812}"/>
    <cellStyle name="Normal 4 7 2 6 4" xfId="11074" xr:uid="{7B2FC61B-F15E-45CA-A336-66080F8766D3}"/>
    <cellStyle name="Normal 4 7 2 7" xfId="4777" xr:uid="{00000000-0005-0000-0000-0000B5160000}"/>
    <cellStyle name="Normal 4 7 2 7 2" xfId="21668" xr:uid="{C08BB5B6-CD5E-426C-B84E-E78814B445AF}"/>
    <cellStyle name="Normal 4 7 2 7 3" xfId="13227" xr:uid="{FAEA53AC-80C8-4D68-A7C3-DEDF01E78311}"/>
    <cellStyle name="Normal 4 7 2 8" xfId="17450" xr:uid="{CB1083B4-569A-42E8-B936-79297EF3543E}"/>
    <cellStyle name="Normal 4 7 2 9" xfId="9009" xr:uid="{18A8AB45-CC63-47D5-BBBA-B65265BC5198}"/>
    <cellStyle name="Normal 4 7 3" xfId="877" xr:uid="{00000000-0005-0000-0000-0000B6160000}"/>
    <cellStyle name="Normal 4 7 3 2" xfId="3112" xr:uid="{00000000-0005-0000-0000-0000B7160000}"/>
    <cellStyle name="Normal 4 7 3 2 2" xfId="7334" xr:uid="{00000000-0005-0000-0000-0000B8160000}"/>
    <cellStyle name="Normal 4 7 3 2 2 2" xfId="24225" xr:uid="{10407FE2-6C0B-45A5-8BA3-77C418F6B0E6}"/>
    <cellStyle name="Normal 4 7 3 2 2 3" xfId="15784" xr:uid="{68BFE4DA-CA8B-4639-8A75-94B1135EC8F1}"/>
    <cellStyle name="Normal 4 7 3 2 3" xfId="20007" xr:uid="{86253A55-F1A4-4F52-88EE-1A8481C752EE}"/>
    <cellStyle name="Normal 4 7 3 2 4" xfId="11566" xr:uid="{5A86A4E9-0975-430A-995B-07F211C9103A}"/>
    <cellStyle name="Normal 4 7 3 3" xfId="5189" xr:uid="{00000000-0005-0000-0000-0000B9160000}"/>
    <cellStyle name="Normal 4 7 3 3 2" xfId="22080" xr:uid="{EE668CEA-B0BD-4553-B3FC-D57A9A5E2666}"/>
    <cellStyle name="Normal 4 7 3 3 3" xfId="13639" xr:uid="{C82276E7-B90F-49DA-8B42-03B69853F2C8}"/>
    <cellStyle name="Normal 4 7 3 4" xfId="17862" xr:uid="{FCB6C5B5-DD4C-4617-A13E-836479FBEFB3}"/>
    <cellStyle name="Normal 4 7 3 5" xfId="9421" xr:uid="{AFC7BBD9-DB75-4415-9329-7CC102327FA8}"/>
    <cellStyle name="Normal 4 7 4" xfId="1295" xr:uid="{00000000-0005-0000-0000-0000BA160000}"/>
    <cellStyle name="Normal 4 7 4 2" xfId="3525" xr:uid="{00000000-0005-0000-0000-0000BB160000}"/>
    <cellStyle name="Normal 4 7 4 2 2" xfId="7747" xr:uid="{00000000-0005-0000-0000-0000BC160000}"/>
    <cellStyle name="Normal 4 7 4 2 2 2" xfId="24638" xr:uid="{735768FA-160F-4678-8DDB-10C7AE18B8C6}"/>
    <cellStyle name="Normal 4 7 4 2 2 3" xfId="16197" xr:uid="{8B3E9564-018E-4E6D-9B50-8B5B4B1412E6}"/>
    <cellStyle name="Normal 4 7 4 2 3" xfId="20420" xr:uid="{C97E0FC6-B49F-4C92-B6D8-500A8A670AFD}"/>
    <cellStyle name="Normal 4 7 4 2 4" xfId="11979" xr:uid="{33D68F70-4ABB-4B66-B88C-214C02F3E7E2}"/>
    <cellStyle name="Normal 4 7 4 3" xfId="5602" xr:uid="{00000000-0005-0000-0000-0000BD160000}"/>
    <cellStyle name="Normal 4 7 4 3 2" xfId="22493" xr:uid="{9D12117C-7888-4FB9-A5C1-F772D12E41E5}"/>
    <cellStyle name="Normal 4 7 4 3 3" xfId="14052" xr:uid="{ED62F274-E442-4A0D-87E8-E685D74A4924}"/>
    <cellStyle name="Normal 4 7 4 4" xfId="18275" xr:uid="{A9353238-4155-4203-B5BC-68F36FAACDC9}"/>
    <cellStyle name="Normal 4 7 4 5" xfId="9834" xr:uid="{1B735093-F794-49D9-9339-C6A0A3F93206}"/>
    <cellStyle name="Normal 4 7 5" xfId="1708" xr:uid="{00000000-0005-0000-0000-0000BE160000}"/>
    <cellStyle name="Normal 4 7 5 2" xfId="3938" xr:uid="{00000000-0005-0000-0000-0000BF160000}"/>
    <cellStyle name="Normal 4 7 5 2 2" xfId="8160" xr:uid="{00000000-0005-0000-0000-0000C0160000}"/>
    <cellStyle name="Normal 4 7 5 2 2 2" xfId="25051" xr:uid="{CE706684-531B-4298-8DEA-EE901D2BF7FB}"/>
    <cellStyle name="Normal 4 7 5 2 2 3" xfId="16610" xr:uid="{6720E811-FD82-47B8-BC4E-F64F0411F558}"/>
    <cellStyle name="Normal 4 7 5 2 3" xfId="20833" xr:uid="{607F348F-D60D-4C3C-AB3D-F56BD8D4AFFA}"/>
    <cellStyle name="Normal 4 7 5 2 4" xfId="12392" xr:uid="{DDCDA970-70BF-49B3-94FE-A69D03423D75}"/>
    <cellStyle name="Normal 4 7 5 3" xfId="6015" xr:uid="{00000000-0005-0000-0000-0000C1160000}"/>
    <cellStyle name="Normal 4 7 5 3 2" xfId="22906" xr:uid="{E88B8FED-761C-471B-941D-618DB0B578F7}"/>
    <cellStyle name="Normal 4 7 5 3 3" xfId="14465" xr:uid="{C8E5D5DF-0D03-4D7B-85DB-A08775E973F8}"/>
    <cellStyle name="Normal 4 7 5 4" xfId="18688" xr:uid="{A9626D28-0A49-4D70-99A6-BEB67C78BB5C}"/>
    <cellStyle name="Normal 4 7 5 5" xfId="10247" xr:uid="{4851629A-7A26-49BD-BBDF-AB9320A04284}"/>
    <cellStyle name="Normal 4 7 6" xfId="2122" xr:uid="{00000000-0005-0000-0000-0000C2160000}"/>
    <cellStyle name="Normal 4 7 6 2" xfId="4351" xr:uid="{00000000-0005-0000-0000-0000C3160000}"/>
    <cellStyle name="Normal 4 7 6 2 2" xfId="8573" xr:uid="{00000000-0005-0000-0000-0000C4160000}"/>
    <cellStyle name="Normal 4 7 6 2 2 2" xfId="25464" xr:uid="{125F71B5-70CE-4C57-A03E-1BEA3439ACDF}"/>
    <cellStyle name="Normal 4 7 6 2 2 3" xfId="17023" xr:uid="{B9D79868-4708-4A1B-BE73-95C64BEA5939}"/>
    <cellStyle name="Normal 4 7 6 2 3" xfId="21246" xr:uid="{EFEE3B70-A098-449D-A6E4-506F0D0342F5}"/>
    <cellStyle name="Normal 4 7 6 2 4" xfId="12805" xr:uid="{509476AB-2BD7-4282-9AA1-5CC69E47CF3F}"/>
    <cellStyle name="Normal 4 7 6 3" xfId="6428" xr:uid="{00000000-0005-0000-0000-0000C5160000}"/>
    <cellStyle name="Normal 4 7 6 3 2" xfId="23319" xr:uid="{FE578784-806B-470E-9193-9D3D0414B72B}"/>
    <cellStyle name="Normal 4 7 6 3 3" xfId="14878" xr:uid="{429D2534-55EF-4137-9B91-1117362830C5}"/>
    <cellStyle name="Normal 4 7 6 4" xfId="19101" xr:uid="{38CB185E-20CB-48D1-A8CE-9639D56671DF}"/>
    <cellStyle name="Normal 4 7 6 5" xfId="10660" xr:uid="{821D1332-71A0-4A3A-A620-4861F7EE6D37}"/>
    <cellStyle name="Normal 4 7 7" xfId="2558" xr:uid="{00000000-0005-0000-0000-0000C6160000}"/>
    <cellStyle name="Normal 4 7 7 2" xfId="6841" xr:uid="{00000000-0005-0000-0000-0000C7160000}"/>
    <cellStyle name="Normal 4 7 7 2 2" xfId="23732" xr:uid="{18B7A038-A838-4DAD-A062-B798333EDF8B}"/>
    <cellStyle name="Normal 4 7 7 2 3" xfId="15291" xr:uid="{A306DC49-57D1-4460-A267-D8F2CF32BF17}"/>
    <cellStyle name="Normal 4 7 7 3" xfId="19514" xr:uid="{16FB1BA1-619E-4ED5-BB70-01CAD3913E87}"/>
    <cellStyle name="Normal 4 7 7 4" xfId="11073" xr:uid="{DB1A6ECE-31EC-4217-86FC-E6F5CBDB351E}"/>
    <cellStyle name="Normal 4 7 8" xfId="4776" xr:uid="{00000000-0005-0000-0000-0000C8160000}"/>
    <cellStyle name="Normal 4 7 8 2" xfId="21667" xr:uid="{12C44116-BB0D-49E3-A386-77831B990188}"/>
    <cellStyle name="Normal 4 7 8 3" xfId="13226" xr:uid="{294F547E-B9D9-4771-9CA9-07F91320D65A}"/>
    <cellStyle name="Normal 4 7 9" xfId="17449" xr:uid="{18DF628B-2662-4404-BA8D-BC631838D9FE}"/>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2 2 2" xfId="24227" xr:uid="{60B7AE75-1C7A-4715-A999-20842ABFDF80}"/>
    <cellStyle name="Normal 4 8 2 2 2 3" xfId="15786" xr:uid="{6F5CD91F-3509-4D6E-9372-7EF6F6835E71}"/>
    <cellStyle name="Normal 4 8 2 2 3" xfId="20009" xr:uid="{0C09FFD1-9FCD-4D65-BB60-6C1F33415BD7}"/>
    <cellStyle name="Normal 4 8 2 2 4" xfId="11568" xr:uid="{9FA2EADA-A92A-4FF8-B643-02E60F7471BF}"/>
    <cellStyle name="Normal 4 8 2 3" xfId="5191" xr:uid="{00000000-0005-0000-0000-0000CD160000}"/>
    <cellStyle name="Normal 4 8 2 3 2" xfId="22082" xr:uid="{B00AABE2-0E3B-49D0-9ACA-C119C7418224}"/>
    <cellStyle name="Normal 4 8 2 3 3" xfId="13641" xr:uid="{C41999EA-B062-4DF9-B2A5-3A5E045C5CA8}"/>
    <cellStyle name="Normal 4 8 2 4" xfId="17864" xr:uid="{532259BC-0E71-4630-8B78-61C2D9A13AED}"/>
    <cellStyle name="Normal 4 8 2 5" xfId="9423" xr:uid="{BAB20F40-9104-4456-BB16-C8EF2BEFA388}"/>
    <cellStyle name="Normal 4 8 3" xfId="1297" xr:uid="{00000000-0005-0000-0000-0000CE160000}"/>
    <cellStyle name="Normal 4 8 3 2" xfId="3527" xr:uid="{00000000-0005-0000-0000-0000CF160000}"/>
    <cellStyle name="Normal 4 8 3 2 2" xfId="7749" xr:uid="{00000000-0005-0000-0000-0000D0160000}"/>
    <cellStyle name="Normal 4 8 3 2 2 2" xfId="24640" xr:uid="{D1F19369-6E55-46EC-ADAB-9D9E75F68D00}"/>
    <cellStyle name="Normal 4 8 3 2 2 3" xfId="16199" xr:uid="{CA9D9E44-25DB-4D77-9A82-0212E8F868FB}"/>
    <cellStyle name="Normal 4 8 3 2 3" xfId="20422" xr:uid="{BA560F9B-EAB7-4557-BD61-A82BFA2E3FB2}"/>
    <cellStyle name="Normal 4 8 3 2 4" xfId="11981" xr:uid="{AE679D47-DE0C-4E82-AA53-9FEC65B5D338}"/>
    <cellStyle name="Normal 4 8 3 3" xfId="5604" xr:uid="{00000000-0005-0000-0000-0000D1160000}"/>
    <cellStyle name="Normal 4 8 3 3 2" xfId="22495" xr:uid="{1D6F2D38-006E-4AB3-AEDC-9DF419477114}"/>
    <cellStyle name="Normal 4 8 3 3 3" xfId="14054" xr:uid="{1C7FCF15-2ED9-459E-B13A-126753DB6712}"/>
    <cellStyle name="Normal 4 8 3 4" xfId="18277" xr:uid="{874F873A-2434-4A5F-98A3-40301C9A27B7}"/>
    <cellStyle name="Normal 4 8 3 5" xfId="9836" xr:uid="{78E4B08C-D0D6-48C9-AE42-EA6555F57574}"/>
    <cellStyle name="Normal 4 8 4" xfId="1710" xr:uid="{00000000-0005-0000-0000-0000D2160000}"/>
    <cellStyle name="Normal 4 8 4 2" xfId="3940" xr:uid="{00000000-0005-0000-0000-0000D3160000}"/>
    <cellStyle name="Normal 4 8 4 2 2" xfId="8162" xr:uid="{00000000-0005-0000-0000-0000D4160000}"/>
    <cellStyle name="Normal 4 8 4 2 2 2" xfId="25053" xr:uid="{6904244E-4494-4FA4-B7C4-D681523EEBF8}"/>
    <cellStyle name="Normal 4 8 4 2 2 3" xfId="16612" xr:uid="{E47B9422-B3CC-430A-953E-83F67161B83F}"/>
    <cellStyle name="Normal 4 8 4 2 3" xfId="20835" xr:uid="{3B7A0462-08B8-42DD-BBBD-8DE8C2442B78}"/>
    <cellStyle name="Normal 4 8 4 2 4" xfId="12394" xr:uid="{9E9E53AD-02DD-454E-833F-81132F11306E}"/>
    <cellStyle name="Normal 4 8 4 3" xfId="6017" xr:uid="{00000000-0005-0000-0000-0000D5160000}"/>
    <cellStyle name="Normal 4 8 4 3 2" xfId="22908" xr:uid="{0B1C5E40-95C4-4416-925C-3082D55C69EC}"/>
    <cellStyle name="Normal 4 8 4 3 3" xfId="14467" xr:uid="{56E95345-10B1-4B8B-BA7B-B27822C6AAD2}"/>
    <cellStyle name="Normal 4 8 4 4" xfId="18690" xr:uid="{BE664231-30E0-4B60-8E4C-EAE56156324C}"/>
    <cellStyle name="Normal 4 8 4 5" xfId="10249" xr:uid="{F327D797-0EE6-4DD8-8258-D02998DA7DB5}"/>
    <cellStyle name="Normal 4 8 5" xfId="2124" xr:uid="{00000000-0005-0000-0000-0000D6160000}"/>
    <cellStyle name="Normal 4 8 5 2" xfId="4353" xr:uid="{00000000-0005-0000-0000-0000D7160000}"/>
    <cellStyle name="Normal 4 8 5 2 2" xfId="8575" xr:uid="{00000000-0005-0000-0000-0000D8160000}"/>
    <cellStyle name="Normal 4 8 5 2 2 2" xfId="25466" xr:uid="{9EAB943A-958E-48CF-B324-52D5FD7315F9}"/>
    <cellStyle name="Normal 4 8 5 2 2 3" xfId="17025" xr:uid="{B725AF4D-BBCB-4EA2-8C56-6A48567770D2}"/>
    <cellStyle name="Normal 4 8 5 2 3" xfId="21248" xr:uid="{468F7830-BC7A-4CE1-88D9-BC61189AD92F}"/>
    <cellStyle name="Normal 4 8 5 2 4" xfId="12807" xr:uid="{1C4F6B24-0605-4285-9B1A-9ACDBE5CA40F}"/>
    <cellStyle name="Normal 4 8 5 3" xfId="6430" xr:uid="{00000000-0005-0000-0000-0000D9160000}"/>
    <cellStyle name="Normal 4 8 5 3 2" xfId="23321" xr:uid="{67CCBAFA-B014-4173-96EB-CE3001833254}"/>
    <cellStyle name="Normal 4 8 5 3 3" xfId="14880" xr:uid="{D373C702-A39A-4B35-A80F-3569587F2354}"/>
    <cellStyle name="Normal 4 8 5 4" xfId="19103" xr:uid="{B318D831-2798-4316-A086-75F23224DD11}"/>
    <cellStyle name="Normal 4 8 5 5" xfId="10662" xr:uid="{CA138DAB-E68B-4617-90DE-0A1FDF1CD278}"/>
    <cellStyle name="Normal 4 8 6" xfId="2560" xr:uid="{00000000-0005-0000-0000-0000DA160000}"/>
    <cellStyle name="Normal 4 8 6 2" xfId="6843" xr:uid="{00000000-0005-0000-0000-0000DB160000}"/>
    <cellStyle name="Normal 4 8 6 2 2" xfId="23734" xr:uid="{D474C305-BE48-44C7-B690-32C4A12A864B}"/>
    <cellStyle name="Normal 4 8 6 2 3" xfId="15293" xr:uid="{468F036F-CDCA-4FE4-B1DF-0E2E17F9205D}"/>
    <cellStyle name="Normal 4 8 6 3" xfId="19516" xr:uid="{B6C12DF5-C805-4C11-A119-7CAB03F61C39}"/>
    <cellStyle name="Normal 4 8 6 4" xfId="11075" xr:uid="{F879CEEF-4871-4DB6-9ECE-1019550EAE73}"/>
    <cellStyle name="Normal 4 8 7" xfId="4778" xr:uid="{00000000-0005-0000-0000-0000DC160000}"/>
    <cellStyle name="Normal 4 8 7 2" xfId="21669" xr:uid="{FBA67B7F-5BEA-4CF3-A864-A171DA76903F}"/>
    <cellStyle name="Normal 4 8 7 3" xfId="13228" xr:uid="{B5EFDC71-73CE-4A6B-8863-AA893899C674}"/>
    <cellStyle name="Normal 4 8 8" xfId="17451" xr:uid="{1F37D027-4E08-4F9E-BCEA-281C1F92C839}"/>
    <cellStyle name="Normal 4 8 9" xfId="9010" xr:uid="{1DF86226-DD86-4E1A-9199-43596CA4D9A8}"/>
    <cellStyle name="Normal 4 9" xfId="4715" xr:uid="{00000000-0005-0000-0000-0000DD160000}"/>
    <cellStyle name="Normal 4 9 2" xfId="21606" xr:uid="{EC77F7C0-B706-4490-9158-B66C07806FCD}"/>
    <cellStyle name="Normal 4 9 3" xfId="13165" xr:uid="{15B39309-9CD9-4F5A-896C-8926F1E84875}"/>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2 2 2" xfId="25054" xr:uid="{4143CE77-CDD8-4528-AD97-10A5C4FB2D06}"/>
    <cellStyle name="Normal 5 10 2 2 3" xfId="16613" xr:uid="{A9651DDA-135E-42C8-AD54-08830C99709D}"/>
    <cellStyle name="Normal 5 10 2 3" xfId="20836" xr:uid="{478D425A-7583-4B65-AD55-4E09CC0EF6B7}"/>
    <cellStyle name="Normal 5 10 2 4" xfId="12395" xr:uid="{C0DB3284-F973-4F2E-8C53-6569BF8F2342}"/>
    <cellStyle name="Normal 5 10 3" xfId="6018" xr:uid="{00000000-0005-0000-0000-0000E2160000}"/>
    <cellStyle name="Normal 5 10 3 2" xfId="22909" xr:uid="{933EC99F-3A34-4944-82ED-B13D659E9B1A}"/>
    <cellStyle name="Normal 5 10 3 3" xfId="14468" xr:uid="{C414D408-0030-4578-901D-50DE0151BA5C}"/>
    <cellStyle name="Normal 5 10 4" xfId="18691" xr:uid="{2C1825CE-E6BB-4CAE-89ED-5D84D6CF6AAA}"/>
    <cellStyle name="Normal 5 10 5" xfId="10250" xr:uid="{4C07508A-1FE4-4413-97E9-3F88215BFE7A}"/>
    <cellStyle name="Normal 5 11" xfId="2125" xr:uid="{00000000-0005-0000-0000-0000E3160000}"/>
    <cellStyle name="Normal 5 11 2" xfId="4354" xr:uid="{00000000-0005-0000-0000-0000E4160000}"/>
    <cellStyle name="Normal 5 11 2 2" xfId="8576" xr:uid="{00000000-0005-0000-0000-0000E5160000}"/>
    <cellStyle name="Normal 5 11 2 2 2" xfId="25467" xr:uid="{A0EFD9EA-3E35-45CD-84B5-362F26A94287}"/>
    <cellStyle name="Normal 5 11 2 2 3" xfId="17026" xr:uid="{3E8FE0A7-9C36-4E5D-B158-455D157436C9}"/>
    <cellStyle name="Normal 5 11 2 3" xfId="21249" xr:uid="{02D3B14A-944E-4C12-9352-8EADD81A48D0}"/>
    <cellStyle name="Normal 5 11 2 4" xfId="12808" xr:uid="{66B05A41-2968-41AC-8109-5DD5A37968AE}"/>
    <cellStyle name="Normal 5 11 3" xfId="6431" xr:uid="{00000000-0005-0000-0000-0000E6160000}"/>
    <cellStyle name="Normal 5 11 3 2" xfId="23322" xr:uid="{EBEC85FD-5C47-41B0-A90A-5C1221762FA5}"/>
    <cellStyle name="Normal 5 11 3 3" xfId="14881" xr:uid="{C257BDC8-1E14-4743-8A89-E9B46F13B220}"/>
    <cellStyle name="Normal 5 11 4" xfId="19104" xr:uid="{9342FD3C-B2D5-4163-9FBE-7EF89C7C640C}"/>
    <cellStyle name="Normal 5 11 5" xfId="10663" xr:uid="{1E879D31-D667-4AD7-9261-06B408F03154}"/>
    <cellStyle name="Normal 5 12" xfId="2561" xr:uid="{00000000-0005-0000-0000-0000E7160000}"/>
    <cellStyle name="Normal 5 12 2" xfId="6844" xr:uid="{00000000-0005-0000-0000-0000E8160000}"/>
    <cellStyle name="Normal 5 12 2 2" xfId="23735" xr:uid="{D820668D-1562-4DF4-A688-9C8F5BFA4042}"/>
    <cellStyle name="Normal 5 12 2 3" xfId="15294" xr:uid="{C589A283-5E52-4D60-AA1A-EA361B9A0F45}"/>
    <cellStyle name="Normal 5 12 3" xfId="19517" xr:uid="{D4A1DD8D-8172-4F84-AF7D-C7FC3A8FB577}"/>
    <cellStyle name="Normal 5 12 4" xfId="11076" xr:uid="{38C834E2-D81A-4192-AD05-0B95C9FD20E7}"/>
    <cellStyle name="Normal 5 13" xfId="4779" xr:uid="{00000000-0005-0000-0000-0000E9160000}"/>
    <cellStyle name="Normal 5 13 2" xfId="21670" xr:uid="{4EA9CFE1-783E-477C-8A84-155C0467D768}"/>
    <cellStyle name="Normal 5 13 3" xfId="13229" xr:uid="{E43076AD-BB31-4169-BAF1-B00C76076FD6}"/>
    <cellStyle name="Normal 5 14" xfId="17452" xr:uid="{893993D9-0E0B-4826-812D-BAE3D0E4F67F}"/>
    <cellStyle name="Normal 5 15" xfId="9011" xr:uid="{9AB6AFC4-7F50-42FA-B6AD-611BF21F3B6F}"/>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2 2 2" xfId="25468" xr:uid="{5D8E9805-42EA-4702-ABE0-2F4FFDD4EECF}"/>
    <cellStyle name="Normal 5 2 10 2 2 3" xfId="17027" xr:uid="{B7A10DAF-3994-49FD-88AB-AEDD88917976}"/>
    <cellStyle name="Normal 5 2 10 2 3" xfId="21250" xr:uid="{57147126-162A-4FF3-A365-4FEB91E505F0}"/>
    <cellStyle name="Normal 5 2 10 2 4" xfId="12809" xr:uid="{28262215-DDD1-4397-A9E2-CBE7622010B6}"/>
    <cellStyle name="Normal 5 2 10 3" xfId="6432" xr:uid="{00000000-0005-0000-0000-0000EE160000}"/>
    <cellStyle name="Normal 5 2 10 3 2" xfId="23323" xr:uid="{0C085C76-34F7-4197-A3A2-B1831886A273}"/>
    <cellStyle name="Normal 5 2 10 3 3" xfId="14882" xr:uid="{3DEBBD99-7A13-437B-8BC2-FB832EAA46AE}"/>
    <cellStyle name="Normal 5 2 10 4" xfId="19105" xr:uid="{959986B7-C342-478E-895E-024AADB1523A}"/>
    <cellStyle name="Normal 5 2 10 5" xfId="10664" xr:uid="{400DBF2B-0E66-4997-997B-C998411E7686}"/>
    <cellStyle name="Normal 5 2 11" xfId="2562" xr:uid="{00000000-0005-0000-0000-0000EF160000}"/>
    <cellStyle name="Normal 5 2 11 2" xfId="6845" xr:uid="{00000000-0005-0000-0000-0000F0160000}"/>
    <cellStyle name="Normal 5 2 11 2 2" xfId="23736" xr:uid="{31B209D6-0581-4A92-A148-51D39EC3A0DA}"/>
    <cellStyle name="Normal 5 2 11 2 3" xfId="15295" xr:uid="{16A61216-3A66-4108-9B1A-5D6D2D62429B}"/>
    <cellStyle name="Normal 5 2 11 3" xfId="19518" xr:uid="{1102C36B-1381-4487-B565-9D5F3BB475A5}"/>
    <cellStyle name="Normal 5 2 11 4" xfId="11077" xr:uid="{86034AF5-D1B8-485A-8F27-152535C26C25}"/>
    <cellStyle name="Normal 5 2 12" xfId="4780" xr:uid="{00000000-0005-0000-0000-0000F1160000}"/>
    <cellStyle name="Normal 5 2 12 2" xfId="21671" xr:uid="{296A6D5D-7361-43B3-B70F-F7FB82E1AC27}"/>
    <cellStyle name="Normal 5 2 12 3" xfId="13230" xr:uid="{C9B5F408-B776-444C-9710-4D860DC52EF5}"/>
    <cellStyle name="Normal 5 2 13" xfId="17453" xr:uid="{15A4F900-6AEF-48C1-ABDA-070BC7DC9DD4}"/>
    <cellStyle name="Normal 5 2 14" xfId="9012" xr:uid="{7A6D2453-8AB0-4984-A35B-927E29C4F534}"/>
    <cellStyle name="Normal 5 2 2" xfId="408" xr:uid="{00000000-0005-0000-0000-0000F2160000}"/>
    <cellStyle name="Normal 5 2 2 10" xfId="2563" xr:uid="{00000000-0005-0000-0000-0000F3160000}"/>
    <cellStyle name="Normal 5 2 2 10 2" xfId="6846" xr:uid="{00000000-0005-0000-0000-0000F4160000}"/>
    <cellStyle name="Normal 5 2 2 10 2 2" xfId="23737" xr:uid="{F15465B4-140C-4EFA-BDCD-8ADCCF0D7A10}"/>
    <cellStyle name="Normal 5 2 2 10 2 3" xfId="15296" xr:uid="{4E1A3558-911E-4646-BF4A-3361CABA44C1}"/>
    <cellStyle name="Normal 5 2 2 10 3" xfId="19519" xr:uid="{E0140662-36BA-4648-8A81-4947C4BAC3D9}"/>
    <cellStyle name="Normal 5 2 2 10 4" xfId="11078" xr:uid="{63FED569-B79B-4EF9-80BC-462E3C9D864E}"/>
    <cellStyle name="Normal 5 2 2 11" xfId="4781" xr:uid="{00000000-0005-0000-0000-0000F5160000}"/>
    <cellStyle name="Normal 5 2 2 11 2" xfId="21672" xr:uid="{CD09DB4E-4998-4F9A-8AE7-D578DBD5995E}"/>
    <cellStyle name="Normal 5 2 2 11 3" xfId="13231" xr:uid="{0BCEA147-4A40-4323-8583-7543B2859326}"/>
    <cellStyle name="Normal 5 2 2 12" xfId="17454" xr:uid="{6454667D-5671-45E8-A0F5-30E8DE165BDF}"/>
    <cellStyle name="Normal 5 2 2 13" xfId="9013" xr:uid="{B4DF81C0-A764-400D-B9F2-EC818008044C}"/>
    <cellStyle name="Normal 5 2 2 2" xfId="409" xr:uid="{00000000-0005-0000-0000-0000F6160000}"/>
    <cellStyle name="Normal 5 2 2 2 10" xfId="4782" xr:uid="{00000000-0005-0000-0000-0000F7160000}"/>
    <cellStyle name="Normal 5 2 2 2 10 2" xfId="21673" xr:uid="{939B0115-2E80-4191-BE56-FB45D27DF4D7}"/>
    <cellStyle name="Normal 5 2 2 2 10 3" xfId="13232" xr:uid="{5602CBE6-A7BB-41DB-B6A9-A8842A3BF9D9}"/>
    <cellStyle name="Normal 5 2 2 2 11" xfId="17455" xr:uid="{66CA86A2-E73C-41F7-9EE8-170626C44E24}"/>
    <cellStyle name="Normal 5 2 2 2 12" xfId="9014" xr:uid="{54641426-5479-48ED-897D-12F1AB94DDF9}"/>
    <cellStyle name="Normal 5 2 2 2 2" xfId="410" xr:uid="{00000000-0005-0000-0000-0000F8160000}"/>
    <cellStyle name="Normal 5 2 2 2 2 10" xfId="17456" xr:uid="{FDEBE709-6947-406D-B573-7D92740863D5}"/>
    <cellStyle name="Normal 5 2 2 2 2 11" xfId="9015" xr:uid="{B554B508-DAA8-46E3-BA23-1E470E41A8DB}"/>
    <cellStyle name="Normal 5 2 2 2 2 2" xfId="411" xr:uid="{00000000-0005-0000-0000-0000F9160000}"/>
    <cellStyle name="Normal 5 2 2 2 2 2 10" xfId="9016" xr:uid="{87AEF5F2-FB90-4606-9541-5CB8676945C5}"/>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2 2 2" xfId="24234" xr:uid="{ED83BCDA-35DE-4A37-84B9-D762B9B52842}"/>
    <cellStyle name="Normal 5 2 2 2 2 2 2 2 2 2 3" xfId="15793" xr:uid="{FA16451F-4F38-40DE-97E0-32A478F62DAA}"/>
    <cellStyle name="Normal 5 2 2 2 2 2 2 2 2 3" xfId="20016" xr:uid="{B9637749-EC73-4A1C-9DBA-E83AEB5BDAB1}"/>
    <cellStyle name="Normal 5 2 2 2 2 2 2 2 2 4" xfId="11575" xr:uid="{FEA2466B-8CEF-456A-B7D2-74A8969FF197}"/>
    <cellStyle name="Normal 5 2 2 2 2 2 2 2 3" xfId="5198" xr:uid="{00000000-0005-0000-0000-0000FE160000}"/>
    <cellStyle name="Normal 5 2 2 2 2 2 2 2 3 2" xfId="22089" xr:uid="{F5AE841A-B776-4EE7-BF85-7490EFC1CA1B}"/>
    <cellStyle name="Normal 5 2 2 2 2 2 2 2 3 3" xfId="13648" xr:uid="{F9DCF572-985E-425C-94AC-3E182DDA5577}"/>
    <cellStyle name="Normal 5 2 2 2 2 2 2 2 4" xfId="17871" xr:uid="{B77A75CD-49FA-423F-9D85-6A37DCEBBA96}"/>
    <cellStyle name="Normal 5 2 2 2 2 2 2 2 5" xfId="9430" xr:uid="{83A7B8E4-49FA-4971-A518-B2E14950D75C}"/>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2 2 2" xfId="24647" xr:uid="{84750855-50DF-444C-91D9-44DFDA12FB38}"/>
    <cellStyle name="Normal 5 2 2 2 2 2 2 3 2 2 3" xfId="16206" xr:uid="{EE428864-D1DE-4A73-9099-C6397E933C07}"/>
    <cellStyle name="Normal 5 2 2 2 2 2 2 3 2 3" xfId="20429" xr:uid="{76D8556D-698E-4172-99B0-9BAB9F85DCDF}"/>
    <cellStyle name="Normal 5 2 2 2 2 2 2 3 2 4" xfId="11988" xr:uid="{70B0D63B-1321-4A91-B22B-4E781C37F96E}"/>
    <cellStyle name="Normal 5 2 2 2 2 2 2 3 3" xfId="5611" xr:uid="{00000000-0005-0000-0000-000002170000}"/>
    <cellStyle name="Normal 5 2 2 2 2 2 2 3 3 2" xfId="22502" xr:uid="{8CBB7694-95EC-4945-A8F4-F0AF999C869B}"/>
    <cellStyle name="Normal 5 2 2 2 2 2 2 3 3 3" xfId="14061" xr:uid="{60DED316-49B3-474D-8D76-7D85C57685BF}"/>
    <cellStyle name="Normal 5 2 2 2 2 2 2 3 4" xfId="18284" xr:uid="{587D38EB-CE44-4AC9-A1CC-A3973BD24FD9}"/>
    <cellStyle name="Normal 5 2 2 2 2 2 2 3 5" xfId="9843" xr:uid="{1DC59C47-3CA9-4BC6-93C3-5427198E33A9}"/>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2 2 2" xfId="25060" xr:uid="{A0CE7A7A-EB2A-44D1-AA88-D5160EF21A79}"/>
    <cellStyle name="Normal 5 2 2 2 2 2 2 4 2 2 3" xfId="16619" xr:uid="{F779F5FD-70B4-48C8-8F55-C8B9BDA93547}"/>
    <cellStyle name="Normal 5 2 2 2 2 2 2 4 2 3" xfId="20842" xr:uid="{A49E2B8F-C78A-4AFC-8BBE-69E36594BF53}"/>
    <cellStyle name="Normal 5 2 2 2 2 2 2 4 2 4" xfId="12401" xr:uid="{69B19AF0-F6E6-400E-B8DA-3699D75B2FDB}"/>
    <cellStyle name="Normal 5 2 2 2 2 2 2 4 3" xfId="6024" xr:uid="{00000000-0005-0000-0000-000006170000}"/>
    <cellStyle name="Normal 5 2 2 2 2 2 2 4 3 2" xfId="22915" xr:uid="{461CFA02-91B7-4F6F-8929-517DE0C23738}"/>
    <cellStyle name="Normal 5 2 2 2 2 2 2 4 3 3" xfId="14474" xr:uid="{7E79D639-0F99-4BB5-86C7-7DE8FFC526E6}"/>
    <cellStyle name="Normal 5 2 2 2 2 2 2 4 4" xfId="18697" xr:uid="{8CC7FE75-5CDA-4B89-85CE-55C8083A5B38}"/>
    <cellStyle name="Normal 5 2 2 2 2 2 2 4 5" xfId="10256" xr:uid="{EBE64B8E-D225-4091-8741-06C6CBDFE953}"/>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2 2 2" xfId="25473" xr:uid="{11BDD378-081C-4D51-8B0F-7241372ADA47}"/>
    <cellStyle name="Normal 5 2 2 2 2 2 2 5 2 2 3" xfId="17032" xr:uid="{927853EE-C129-47E6-B6C1-D59C2E612DD0}"/>
    <cellStyle name="Normal 5 2 2 2 2 2 2 5 2 3" xfId="21255" xr:uid="{8DCF24C7-2DF8-4878-A69A-E3A24800B5AD}"/>
    <cellStyle name="Normal 5 2 2 2 2 2 2 5 2 4" xfId="12814" xr:uid="{DE0F3363-CB12-413C-8C45-94095B6CBA3B}"/>
    <cellStyle name="Normal 5 2 2 2 2 2 2 5 3" xfId="6437" xr:uid="{00000000-0005-0000-0000-00000A170000}"/>
    <cellStyle name="Normal 5 2 2 2 2 2 2 5 3 2" xfId="23328" xr:uid="{763B40D2-4DD1-401A-A554-66810392DCE9}"/>
    <cellStyle name="Normal 5 2 2 2 2 2 2 5 3 3" xfId="14887" xr:uid="{BEFAC692-578B-4D75-9A36-0009EB9157B7}"/>
    <cellStyle name="Normal 5 2 2 2 2 2 2 5 4" xfId="19110" xr:uid="{09753301-00BA-444D-8479-3D0FA9A30FC1}"/>
    <cellStyle name="Normal 5 2 2 2 2 2 2 5 5" xfId="10669" xr:uid="{F229754F-3E40-4495-9E31-E9ACA33F5D5B}"/>
    <cellStyle name="Normal 5 2 2 2 2 2 2 6" xfId="2567" xr:uid="{00000000-0005-0000-0000-00000B170000}"/>
    <cellStyle name="Normal 5 2 2 2 2 2 2 6 2" xfId="6850" xr:uid="{00000000-0005-0000-0000-00000C170000}"/>
    <cellStyle name="Normal 5 2 2 2 2 2 2 6 2 2" xfId="23741" xr:uid="{77483DFB-26E6-475C-8910-8BF02519DA7E}"/>
    <cellStyle name="Normal 5 2 2 2 2 2 2 6 2 3" xfId="15300" xr:uid="{0A3B2F51-A270-4F7D-9F57-987E1F47CACF}"/>
    <cellStyle name="Normal 5 2 2 2 2 2 2 6 3" xfId="19523" xr:uid="{38BBD3FB-EEF9-44CE-94A3-4097190D136F}"/>
    <cellStyle name="Normal 5 2 2 2 2 2 2 6 4" xfId="11082" xr:uid="{9CE28BE1-6967-4BBC-BB14-5E858A29E43B}"/>
    <cellStyle name="Normal 5 2 2 2 2 2 2 7" xfId="4785" xr:uid="{00000000-0005-0000-0000-00000D170000}"/>
    <cellStyle name="Normal 5 2 2 2 2 2 2 7 2" xfId="21676" xr:uid="{AA471653-1712-4051-8C8B-E83BD5DDA2F6}"/>
    <cellStyle name="Normal 5 2 2 2 2 2 2 7 3" xfId="13235" xr:uid="{5C9A21B8-2A94-4902-8A3B-FCE77F82BD57}"/>
    <cellStyle name="Normal 5 2 2 2 2 2 2 8" xfId="17458" xr:uid="{A78B5A82-BF2B-450B-8836-17162D1A072A}"/>
    <cellStyle name="Normal 5 2 2 2 2 2 2 9" xfId="9017" xr:uid="{B0D8052E-0081-469D-893C-1390B24E1989}"/>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2 2 2" xfId="24233" xr:uid="{9A33CD47-99FD-40C9-86E1-0AFDCC0CFE6F}"/>
    <cellStyle name="Normal 5 2 2 2 2 2 3 2 2 3" xfId="15792" xr:uid="{5576FD12-218D-4A47-AD9F-E596B4C8CA66}"/>
    <cellStyle name="Normal 5 2 2 2 2 2 3 2 3" xfId="20015" xr:uid="{BD2CEBA2-08C3-4E06-B32F-970BDEEB27E2}"/>
    <cellStyle name="Normal 5 2 2 2 2 2 3 2 4" xfId="11574" xr:uid="{12A6F752-D602-4F03-8AE0-2210E7435960}"/>
    <cellStyle name="Normal 5 2 2 2 2 2 3 3" xfId="5197" xr:uid="{00000000-0005-0000-0000-000011170000}"/>
    <cellStyle name="Normal 5 2 2 2 2 2 3 3 2" xfId="22088" xr:uid="{D3672BE4-A41E-4FDF-8F7F-B973C2B6C02C}"/>
    <cellStyle name="Normal 5 2 2 2 2 2 3 3 3" xfId="13647" xr:uid="{B7AD3984-42E8-423B-845D-22B3E6AEBCC0}"/>
    <cellStyle name="Normal 5 2 2 2 2 2 3 4" xfId="17870" xr:uid="{27084042-425F-4CE1-9681-3B4A1A1E9273}"/>
    <cellStyle name="Normal 5 2 2 2 2 2 3 5" xfId="9429" xr:uid="{18BC672F-1604-4D49-B865-7318D3A06DD2}"/>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2 2 2" xfId="24646" xr:uid="{02819029-B390-4118-89C4-976B7321E47F}"/>
    <cellStyle name="Normal 5 2 2 2 2 2 4 2 2 3" xfId="16205" xr:uid="{DC6A1E01-B7FA-48B5-A80A-2D88DA60CCCC}"/>
    <cellStyle name="Normal 5 2 2 2 2 2 4 2 3" xfId="20428" xr:uid="{2A1753FE-EE56-4557-8412-C8F404F0BDF9}"/>
    <cellStyle name="Normal 5 2 2 2 2 2 4 2 4" xfId="11987" xr:uid="{7A6FE694-7265-4D99-A46D-E424BBE0149C}"/>
    <cellStyle name="Normal 5 2 2 2 2 2 4 3" xfId="5610" xr:uid="{00000000-0005-0000-0000-000015170000}"/>
    <cellStyle name="Normal 5 2 2 2 2 2 4 3 2" xfId="22501" xr:uid="{224EA683-67E1-47C1-B3F7-62A90C770121}"/>
    <cellStyle name="Normal 5 2 2 2 2 2 4 3 3" xfId="14060" xr:uid="{E145613E-0DF4-401C-8762-F998E5979F51}"/>
    <cellStyle name="Normal 5 2 2 2 2 2 4 4" xfId="18283" xr:uid="{1701D13C-5C1A-4785-B51B-6300F7E21092}"/>
    <cellStyle name="Normal 5 2 2 2 2 2 4 5" xfId="9842" xr:uid="{B5A5F267-F354-4130-AC61-E9A5E3474832}"/>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2 2 2" xfId="25059" xr:uid="{03733686-8BFD-43FB-9153-05ABE07F0FCF}"/>
    <cellStyle name="Normal 5 2 2 2 2 2 5 2 2 3" xfId="16618" xr:uid="{0D179580-4C50-4745-BB15-1EEEEACFB265}"/>
    <cellStyle name="Normal 5 2 2 2 2 2 5 2 3" xfId="20841" xr:uid="{A87B435A-BE23-4FB3-828F-C712217FC204}"/>
    <cellStyle name="Normal 5 2 2 2 2 2 5 2 4" xfId="12400" xr:uid="{3E8D23F0-05D2-419D-BB71-E16D860CFC4E}"/>
    <cellStyle name="Normal 5 2 2 2 2 2 5 3" xfId="6023" xr:uid="{00000000-0005-0000-0000-000019170000}"/>
    <cellStyle name="Normal 5 2 2 2 2 2 5 3 2" xfId="22914" xr:uid="{A333FA85-41E4-49AA-BBD9-9F067CB0E2F5}"/>
    <cellStyle name="Normal 5 2 2 2 2 2 5 3 3" xfId="14473" xr:uid="{1DDDCE8F-AF04-4CE5-80C9-CB55B914E24A}"/>
    <cellStyle name="Normal 5 2 2 2 2 2 5 4" xfId="18696" xr:uid="{48957AFB-3ADA-45BA-8852-AADD225044F9}"/>
    <cellStyle name="Normal 5 2 2 2 2 2 5 5" xfId="10255" xr:uid="{BB44093F-4652-4DCD-8892-69DCD951D8A1}"/>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2 2 2" xfId="25472" xr:uid="{A0F89407-876F-43F9-B0EE-3D41F172418C}"/>
    <cellStyle name="Normal 5 2 2 2 2 2 6 2 2 3" xfId="17031" xr:uid="{86C6B144-8351-45BF-936E-92319EE59D0A}"/>
    <cellStyle name="Normal 5 2 2 2 2 2 6 2 3" xfId="21254" xr:uid="{DC0D1CA5-DF5F-4635-B894-79527038A9A2}"/>
    <cellStyle name="Normal 5 2 2 2 2 2 6 2 4" xfId="12813" xr:uid="{CDEE0095-EB2D-4B93-ADD9-97F0EA973BC6}"/>
    <cellStyle name="Normal 5 2 2 2 2 2 6 3" xfId="6436" xr:uid="{00000000-0005-0000-0000-00001D170000}"/>
    <cellStyle name="Normal 5 2 2 2 2 2 6 3 2" xfId="23327" xr:uid="{09466608-F961-4578-8E7D-71F10A4A8A4A}"/>
    <cellStyle name="Normal 5 2 2 2 2 2 6 3 3" xfId="14886" xr:uid="{1B8D97E6-7DB2-43D0-800F-83340C964A17}"/>
    <cellStyle name="Normal 5 2 2 2 2 2 6 4" xfId="19109" xr:uid="{AFA6395B-DB6A-4899-9095-7E34D41A9BC8}"/>
    <cellStyle name="Normal 5 2 2 2 2 2 6 5" xfId="10668" xr:uid="{ECBF735E-CFF7-4B7C-AE0F-79509734DD21}"/>
    <cellStyle name="Normal 5 2 2 2 2 2 7" xfId="2566" xr:uid="{00000000-0005-0000-0000-00001E170000}"/>
    <cellStyle name="Normal 5 2 2 2 2 2 7 2" xfId="6849" xr:uid="{00000000-0005-0000-0000-00001F170000}"/>
    <cellStyle name="Normal 5 2 2 2 2 2 7 2 2" xfId="23740" xr:uid="{713E56DF-8D27-471E-934A-13B9C4DA9A25}"/>
    <cellStyle name="Normal 5 2 2 2 2 2 7 2 3" xfId="15299" xr:uid="{EA0247F2-8E1B-40CC-84D0-C72E99950240}"/>
    <cellStyle name="Normal 5 2 2 2 2 2 7 3" xfId="19522" xr:uid="{9D625888-9282-4ABE-8AE6-4A9579C4BB15}"/>
    <cellStyle name="Normal 5 2 2 2 2 2 7 4" xfId="11081" xr:uid="{EBAD43A7-E11E-46FB-8360-81FEB541CE1D}"/>
    <cellStyle name="Normal 5 2 2 2 2 2 8" xfId="4784" xr:uid="{00000000-0005-0000-0000-000020170000}"/>
    <cellStyle name="Normal 5 2 2 2 2 2 8 2" xfId="21675" xr:uid="{AB03E6F6-E6BF-4451-96E9-860E0165D255}"/>
    <cellStyle name="Normal 5 2 2 2 2 2 8 3" xfId="13234" xr:uid="{CF04378E-9A30-471D-98D8-FA12C6838220}"/>
    <cellStyle name="Normal 5 2 2 2 2 2 9" xfId="17457" xr:uid="{8AF25D7C-EEA4-4036-A076-FE958DB7236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2 2 2" xfId="24235" xr:uid="{F0FE1FCD-A97F-49FB-988E-29E5F4FB1B3B}"/>
    <cellStyle name="Normal 5 2 2 2 2 3 2 2 2 3" xfId="15794" xr:uid="{17EF88E1-F1CF-4A46-991B-6D60A4D6C5D7}"/>
    <cellStyle name="Normal 5 2 2 2 2 3 2 2 3" xfId="20017" xr:uid="{8475F7C7-12F4-49C6-9547-F168386DD7DF}"/>
    <cellStyle name="Normal 5 2 2 2 2 3 2 2 4" xfId="11576" xr:uid="{4A6C7680-DD2C-467F-B85A-6F4711ED5BA4}"/>
    <cellStyle name="Normal 5 2 2 2 2 3 2 3" xfId="5199" xr:uid="{00000000-0005-0000-0000-000025170000}"/>
    <cellStyle name="Normal 5 2 2 2 2 3 2 3 2" xfId="22090" xr:uid="{57DCCB94-126B-4065-ACE1-F550D167A7CC}"/>
    <cellStyle name="Normal 5 2 2 2 2 3 2 3 3" xfId="13649" xr:uid="{E7EA2F0F-F3DC-4EBD-827C-CD198A0BA6C8}"/>
    <cellStyle name="Normal 5 2 2 2 2 3 2 4" xfId="17872" xr:uid="{A5D9F991-51D5-4B03-B5CD-4051AB450CC7}"/>
    <cellStyle name="Normal 5 2 2 2 2 3 2 5" xfId="9431" xr:uid="{69D84938-C606-4BFB-B7FC-8B818E4B2B71}"/>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2 2 2" xfId="24648" xr:uid="{F97EA324-9E89-4B0E-8B80-EF9E9E1362EE}"/>
    <cellStyle name="Normal 5 2 2 2 2 3 3 2 2 3" xfId="16207" xr:uid="{3BF87BC9-FED4-4887-974B-2CFEC596C5EB}"/>
    <cellStyle name="Normal 5 2 2 2 2 3 3 2 3" xfId="20430" xr:uid="{DE92D40B-9AB2-4653-96FF-352692AAD590}"/>
    <cellStyle name="Normal 5 2 2 2 2 3 3 2 4" xfId="11989" xr:uid="{1C50B0B7-A673-41CA-84FF-7F6892663E47}"/>
    <cellStyle name="Normal 5 2 2 2 2 3 3 3" xfId="5612" xr:uid="{00000000-0005-0000-0000-000029170000}"/>
    <cellStyle name="Normal 5 2 2 2 2 3 3 3 2" xfId="22503" xr:uid="{F73D831F-B142-48DD-92B0-25ECFD03D122}"/>
    <cellStyle name="Normal 5 2 2 2 2 3 3 3 3" xfId="14062" xr:uid="{4DC1269D-22DF-42DB-BC06-1F21742945F5}"/>
    <cellStyle name="Normal 5 2 2 2 2 3 3 4" xfId="18285" xr:uid="{AFAB6689-12D5-477B-B113-AC7D233A9D9F}"/>
    <cellStyle name="Normal 5 2 2 2 2 3 3 5" xfId="9844" xr:uid="{D62970A2-6A1B-4992-9416-60977A0EDF71}"/>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2 2 2" xfId="25061" xr:uid="{FC9318D9-BF3D-4031-A766-1076A431F3F1}"/>
    <cellStyle name="Normal 5 2 2 2 2 3 4 2 2 3" xfId="16620" xr:uid="{442EBCCE-BE6D-4106-AD84-F62AC4B4B5BC}"/>
    <cellStyle name="Normal 5 2 2 2 2 3 4 2 3" xfId="20843" xr:uid="{678AB346-C259-4BF9-9CB1-AA3C4BA17610}"/>
    <cellStyle name="Normal 5 2 2 2 2 3 4 2 4" xfId="12402" xr:uid="{7213D28F-D36D-4AC1-8A28-7ED83483BDD0}"/>
    <cellStyle name="Normal 5 2 2 2 2 3 4 3" xfId="6025" xr:uid="{00000000-0005-0000-0000-00002D170000}"/>
    <cellStyle name="Normal 5 2 2 2 2 3 4 3 2" xfId="22916" xr:uid="{5540DED0-101B-4A56-8F37-23974FF6BB26}"/>
    <cellStyle name="Normal 5 2 2 2 2 3 4 3 3" xfId="14475" xr:uid="{B0D54A48-8267-4F77-A2A1-8B1983B9FB2B}"/>
    <cellStyle name="Normal 5 2 2 2 2 3 4 4" xfId="18698" xr:uid="{1B1A47B5-F4E4-4A08-9C50-8274F1BD0271}"/>
    <cellStyle name="Normal 5 2 2 2 2 3 4 5" xfId="10257" xr:uid="{2E874B05-0863-452F-A9F6-5019ED4E0AD8}"/>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2 2 2" xfId="25474" xr:uid="{8352CE81-F2FA-4F25-A843-1DA3F31FAC92}"/>
    <cellStyle name="Normal 5 2 2 2 2 3 5 2 2 3" xfId="17033" xr:uid="{DBAADF94-D68F-4252-8CF0-C52E89221B96}"/>
    <cellStyle name="Normal 5 2 2 2 2 3 5 2 3" xfId="21256" xr:uid="{299D85AF-C779-4222-8CE5-A584419B9AAC}"/>
    <cellStyle name="Normal 5 2 2 2 2 3 5 2 4" xfId="12815" xr:uid="{184109DB-A849-477F-B286-9F3BC3ABC930}"/>
    <cellStyle name="Normal 5 2 2 2 2 3 5 3" xfId="6438" xr:uid="{00000000-0005-0000-0000-000031170000}"/>
    <cellStyle name="Normal 5 2 2 2 2 3 5 3 2" xfId="23329" xr:uid="{B1DABCC0-7FFF-4929-9983-5FE4D4019C43}"/>
    <cellStyle name="Normal 5 2 2 2 2 3 5 3 3" xfId="14888" xr:uid="{58E1C91F-805B-45C6-80C8-A259947E35F2}"/>
    <cellStyle name="Normal 5 2 2 2 2 3 5 4" xfId="19111" xr:uid="{3E6F26D2-BD87-44AB-9B2F-B75459CF0B3F}"/>
    <cellStyle name="Normal 5 2 2 2 2 3 5 5" xfId="10670" xr:uid="{B4A18B28-CE81-48B0-A69B-7047FBBC7DE0}"/>
    <cellStyle name="Normal 5 2 2 2 2 3 6" xfId="2568" xr:uid="{00000000-0005-0000-0000-000032170000}"/>
    <cellStyle name="Normal 5 2 2 2 2 3 6 2" xfId="6851" xr:uid="{00000000-0005-0000-0000-000033170000}"/>
    <cellStyle name="Normal 5 2 2 2 2 3 6 2 2" xfId="23742" xr:uid="{E61BFD7E-B5CC-4D15-B79C-7556952DE154}"/>
    <cellStyle name="Normal 5 2 2 2 2 3 6 2 3" xfId="15301" xr:uid="{023F245F-A6EE-4551-B446-E2CFD2A7ABC6}"/>
    <cellStyle name="Normal 5 2 2 2 2 3 6 3" xfId="19524" xr:uid="{15D9142D-4CBD-43CE-BBAB-BC4174A00190}"/>
    <cellStyle name="Normal 5 2 2 2 2 3 6 4" xfId="11083" xr:uid="{95B0F303-EE1F-468B-A09F-C3F8936DEA11}"/>
    <cellStyle name="Normal 5 2 2 2 2 3 7" xfId="4786" xr:uid="{00000000-0005-0000-0000-000034170000}"/>
    <cellStyle name="Normal 5 2 2 2 2 3 7 2" xfId="21677" xr:uid="{4D9C037B-62E2-4E70-BFF6-E8E72B7431C8}"/>
    <cellStyle name="Normal 5 2 2 2 2 3 7 3" xfId="13236" xr:uid="{1956A36D-9CCF-4BBC-BE5F-C2FB1F56B38D}"/>
    <cellStyle name="Normal 5 2 2 2 2 3 8" xfId="17459" xr:uid="{2F3D1A2C-1F96-43D0-A32E-AF3C88503119}"/>
    <cellStyle name="Normal 5 2 2 2 2 3 9" xfId="9018" xr:uid="{71F678FA-A7E7-4575-AEEC-2B6C091A602E}"/>
    <cellStyle name="Normal 5 2 2 2 2 4" xfId="884" xr:uid="{00000000-0005-0000-0000-000035170000}"/>
    <cellStyle name="Normal 5 2 2 2 2 4 2" xfId="3119" xr:uid="{00000000-0005-0000-0000-000036170000}"/>
    <cellStyle name="Normal 5 2 2 2 2 4 2 2" xfId="7341" xr:uid="{00000000-0005-0000-0000-000037170000}"/>
    <cellStyle name="Normal 5 2 2 2 2 4 2 2 2" xfId="24232" xr:uid="{C7B14D6F-A0F7-4BFB-B735-143D9B30D050}"/>
    <cellStyle name="Normal 5 2 2 2 2 4 2 2 3" xfId="15791" xr:uid="{73E0950B-962A-4483-8C33-1D9DAF0EDE42}"/>
    <cellStyle name="Normal 5 2 2 2 2 4 2 3" xfId="20014" xr:uid="{A014BD9B-C238-4B20-896F-302EB7871D24}"/>
    <cellStyle name="Normal 5 2 2 2 2 4 2 4" xfId="11573" xr:uid="{2C929F73-57FE-4148-B78A-400FC8EF258A}"/>
    <cellStyle name="Normal 5 2 2 2 2 4 3" xfId="5196" xr:uid="{00000000-0005-0000-0000-000038170000}"/>
    <cellStyle name="Normal 5 2 2 2 2 4 3 2" xfId="22087" xr:uid="{18556D0B-E188-477E-8FAC-2EDA531C98A3}"/>
    <cellStyle name="Normal 5 2 2 2 2 4 3 3" xfId="13646" xr:uid="{AB9E3A23-F482-40C7-9209-42419227ACFD}"/>
    <cellStyle name="Normal 5 2 2 2 2 4 4" xfId="17869" xr:uid="{A17F0629-F468-432D-BE12-92F77D6FC847}"/>
    <cellStyle name="Normal 5 2 2 2 2 4 5" xfId="9428" xr:uid="{2D21F963-33D4-43DC-8AAE-1C1031EA74EA}"/>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2 2 2" xfId="24645" xr:uid="{37AB22E5-0754-4B95-BF8A-21DF4EC43991}"/>
    <cellStyle name="Normal 5 2 2 2 2 5 2 2 3" xfId="16204" xr:uid="{3A1E2418-768D-4505-AB62-5D740C24CBDE}"/>
    <cellStyle name="Normal 5 2 2 2 2 5 2 3" xfId="20427" xr:uid="{1EB4F45C-3FC2-4F48-A0E6-F8D2849183BB}"/>
    <cellStyle name="Normal 5 2 2 2 2 5 2 4" xfId="11986" xr:uid="{CE924217-D98D-4482-A572-4B3180A604B3}"/>
    <cellStyle name="Normal 5 2 2 2 2 5 3" xfId="5609" xr:uid="{00000000-0005-0000-0000-00003C170000}"/>
    <cellStyle name="Normal 5 2 2 2 2 5 3 2" xfId="22500" xr:uid="{521F1AB7-FA65-4F09-93C3-03BB66065E01}"/>
    <cellStyle name="Normal 5 2 2 2 2 5 3 3" xfId="14059" xr:uid="{897B4637-6ED7-461A-91D7-42E4FF0CEB28}"/>
    <cellStyle name="Normal 5 2 2 2 2 5 4" xfId="18282" xr:uid="{BBCAB401-DD35-4BBD-954E-BF0F64F5B8AC}"/>
    <cellStyle name="Normal 5 2 2 2 2 5 5" xfId="9841" xr:uid="{24A304A1-6B4C-4648-9463-61B8E2D00F88}"/>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2 2 2" xfId="25058" xr:uid="{B5A5FD72-007A-49DF-B4D9-0A28BEF91DF9}"/>
    <cellStyle name="Normal 5 2 2 2 2 6 2 2 3" xfId="16617" xr:uid="{1AF55D67-CD54-4D63-BF02-F4077B800794}"/>
    <cellStyle name="Normal 5 2 2 2 2 6 2 3" xfId="20840" xr:uid="{9A4E10F1-F7FB-4A8F-8AA8-9C4293FD52DE}"/>
    <cellStyle name="Normal 5 2 2 2 2 6 2 4" xfId="12399" xr:uid="{9BF7304D-4F34-4CD7-B6D8-FA96DC67D6F5}"/>
    <cellStyle name="Normal 5 2 2 2 2 6 3" xfId="6022" xr:uid="{00000000-0005-0000-0000-000040170000}"/>
    <cellStyle name="Normal 5 2 2 2 2 6 3 2" xfId="22913" xr:uid="{098B455E-BB3E-4091-9327-71AAA957EC80}"/>
    <cellStyle name="Normal 5 2 2 2 2 6 3 3" xfId="14472" xr:uid="{E0A139F9-21A2-4BDD-8AD7-C43C43A125B2}"/>
    <cellStyle name="Normal 5 2 2 2 2 6 4" xfId="18695" xr:uid="{7C9786AD-39C8-4DF6-AAF0-DE0FD77FA61C}"/>
    <cellStyle name="Normal 5 2 2 2 2 6 5" xfId="10254" xr:uid="{75489E42-208E-46BD-9B5B-E47DC01B16D9}"/>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2 2 2" xfId="25471" xr:uid="{A88CA208-7C6E-4007-A393-5627588C72C1}"/>
    <cellStyle name="Normal 5 2 2 2 2 7 2 2 3" xfId="17030" xr:uid="{7A714800-8F85-420E-B34E-78450CA57641}"/>
    <cellStyle name="Normal 5 2 2 2 2 7 2 3" xfId="21253" xr:uid="{A633C575-6F23-4DB5-BEBD-5B9D1064941E}"/>
    <cellStyle name="Normal 5 2 2 2 2 7 2 4" xfId="12812" xr:uid="{C8B41A8C-C346-4032-B345-CC50E7E77DF0}"/>
    <cellStyle name="Normal 5 2 2 2 2 7 3" xfId="6435" xr:uid="{00000000-0005-0000-0000-000044170000}"/>
    <cellStyle name="Normal 5 2 2 2 2 7 3 2" xfId="23326" xr:uid="{C792EBB8-1A2C-4760-9970-CFE26493BF86}"/>
    <cellStyle name="Normal 5 2 2 2 2 7 3 3" xfId="14885" xr:uid="{1BEFD17A-A3C7-4FEC-8F47-86B399BAE021}"/>
    <cellStyle name="Normal 5 2 2 2 2 7 4" xfId="19108" xr:uid="{2C2B2557-A8A5-4DFF-9B91-75187CE829F2}"/>
    <cellStyle name="Normal 5 2 2 2 2 7 5" xfId="10667" xr:uid="{F715AEFA-6A43-46F7-AA2C-9198A5A751F2}"/>
    <cellStyle name="Normal 5 2 2 2 2 8" xfId="2565" xr:uid="{00000000-0005-0000-0000-000045170000}"/>
    <cellStyle name="Normal 5 2 2 2 2 8 2" xfId="6848" xr:uid="{00000000-0005-0000-0000-000046170000}"/>
    <cellStyle name="Normal 5 2 2 2 2 8 2 2" xfId="23739" xr:uid="{BDC14DF2-9E5B-4A47-88FD-2621317D80D2}"/>
    <cellStyle name="Normal 5 2 2 2 2 8 2 3" xfId="15298" xr:uid="{FFC9AF12-591E-406B-B0A0-97D789858F55}"/>
    <cellStyle name="Normal 5 2 2 2 2 8 3" xfId="19521" xr:uid="{8F3F62D3-BAB2-4A5C-BEB6-1DB05A950723}"/>
    <cellStyle name="Normal 5 2 2 2 2 8 4" xfId="11080" xr:uid="{F04450D0-95CC-4F5F-AC14-8A02520FC8EA}"/>
    <cellStyle name="Normal 5 2 2 2 2 9" xfId="4783" xr:uid="{00000000-0005-0000-0000-000047170000}"/>
    <cellStyle name="Normal 5 2 2 2 2 9 2" xfId="21674" xr:uid="{6E228C60-4E4F-482A-8A8B-224227639BAE}"/>
    <cellStyle name="Normal 5 2 2 2 2 9 3" xfId="13233" xr:uid="{5FE869FD-774C-4460-BE49-9BCA4320166D}"/>
    <cellStyle name="Normal 5 2 2 2 3" xfId="414" xr:uid="{00000000-0005-0000-0000-000048170000}"/>
    <cellStyle name="Normal 5 2 2 2 3 10" xfId="9019" xr:uid="{B4F17F89-B86C-4BA7-AB0F-4984142240C6}"/>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2 2 2" xfId="24237" xr:uid="{4B1B9A1E-2BE8-4150-B1C9-3A5D5052FE01}"/>
    <cellStyle name="Normal 5 2 2 2 3 2 2 2 2 3" xfId="15796" xr:uid="{130B4B2C-A772-4549-B69A-47CC60381BB9}"/>
    <cellStyle name="Normal 5 2 2 2 3 2 2 2 3" xfId="20019" xr:uid="{3F7C8A09-FEB6-433E-9FA0-36AAAF550CDE}"/>
    <cellStyle name="Normal 5 2 2 2 3 2 2 2 4" xfId="11578" xr:uid="{A5DBE035-7323-4098-9145-0D90D4CD215E}"/>
    <cellStyle name="Normal 5 2 2 2 3 2 2 3" xfId="5201" xr:uid="{00000000-0005-0000-0000-00004D170000}"/>
    <cellStyle name="Normal 5 2 2 2 3 2 2 3 2" xfId="22092" xr:uid="{6A6C9BA6-ADD7-4310-BEED-622B513A7B91}"/>
    <cellStyle name="Normal 5 2 2 2 3 2 2 3 3" xfId="13651" xr:uid="{1B4F7703-740F-44B9-A318-5930FA1DB183}"/>
    <cellStyle name="Normal 5 2 2 2 3 2 2 4" xfId="17874" xr:uid="{CAB56E99-BCC0-4DA0-B998-0F47D3DF3C23}"/>
    <cellStyle name="Normal 5 2 2 2 3 2 2 5" xfId="9433" xr:uid="{A9A415BA-2824-4C1B-AFE9-CBD4DCC77241}"/>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2 2 2" xfId="24650" xr:uid="{4F56636A-E681-421B-B3D2-75E7B3C02A6E}"/>
    <cellStyle name="Normal 5 2 2 2 3 2 3 2 2 3" xfId="16209" xr:uid="{E0E80D17-A92F-4751-93EA-13733CFF2FEE}"/>
    <cellStyle name="Normal 5 2 2 2 3 2 3 2 3" xfId="20432" xr:uid="{85C76328-4E53-4629-A22E-42A43B5EC3A7}"/>
    <cellStyle name="Normal 5 2 2 2 3 2 3 2 4" xfId="11991" xr:uid="{BF92C089-4A68-4955-91C3-D42BCE97C8EE}"/>
    <cellStyle name="Normal 5 2 2 2 3 2 3 3" xfId="5614" xr:uid="{00000000-0005-0000-0000-000051170000}"/>
    <cellStyle name="Normal 5 2 2 2 3 2 3 3 2" xfId="22505" xr:uid="{DE155A0A-8D53-4E6B-A6A1-EC970E0A643A}"/>
    <cellStyle name="Normal 5 2 2 2 3 2 3 3 3" xfId="14064" xr:uid="{D3209925-4DF8-44A9-B0F3-E33A342B43B9}"/>
    <cellStyle name="Normal 5 2 2 2 3 2 3 4" xfId="18287" xr:uid="{29F977B8-4603-415D-A0A1-51C62CD9AE19}"/>
    <cellStyle name="Normal 5 2 2 2 3 2 3 5" xfId="9846" xr:uid="{BEBBD5FB-4DCC-4CCB-8A66-59D573CD73BD}"/>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2 2 2" xfId="25063" xr:uid="{65C4169D-7369-4685-AC60-B3F4DC5AC771}"/>
    <cellStyle name="Normal 5 2 2 2 3 2 4 2 2 3" xfId="16622" xr:uid="{359927CB-189F-498A-BC7C-0377623E1859}"/>
    <cellStyle name="Normal 5 2 2 2 3 2 4 2 3" xfId="20845" xr:uid="{67A5D39D-0474-405C-908F-F55B174DF77D}"/>
    <cellStyle name="Normal 5 2 2 2 3 2 4 2 4" xfId="12404" xr:uid="{B8C8661E-0F2A-4122-BA78-9741B54202EA}"/>
    <cellStyle name="Normal 5 2 2 2 3 2 4 3" xfId="6027" xr:uid="{00000000-0005-0000-0000-000055170000}"/>
    <cellStyle name="Normal 5 2 2 2 3 2 4 3 2" xfId="22918" xr:uid="{13D8A7FD-BC66-43D5-B528-68966686E9E6}"/>
    <cellStyle name="Normal 5 2 2 2 3 2 4 3 3" xfId="14477" xr:uid="{5F24E69E-2484-442F-A945-2F5374A610F9}"/>
    <cellStyle name="Normal 5 2 2 2 3 2 4 4" xfId="18700" xr:uid="{D118C0CD-2661-4176-A2DB-847944BA2463}"/>
    <cellStyle name="Normal 5 2 2 2 3 2 4 5" xfId="10259" xr:uid="{806DD402-FA7A-479A-802E-18566B6655FD}"/>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2 2 2" xfId="25476" xr:uid="{A7607AF6-9C1F-46A1-819B-7AA82B1E8FAE}"/>
    <cellStyle name="Normal 5 2 2 2 3 2 5 2 2 3" xfId="17035" xr:uid="{94437DDA-A66E-4828-B565-54CEAB904CBC}"/>
    <cellStyle name="Normal 5 2 2 2 3 2 5 2 3" xfId="21258" xr:uid="{F17B3E2C-3FF4-4530-A9B8-6F5FFBF70CE4}"/>
    <cellStyle name="Normal 5 2 2 2 3 2 5 2 4" xfId="12817" xr:uid="{222B1B91-8848-4091-A8CF-618525B0569E}"/>
    <cellStyle name="Normal 5 2 2 2 3 2 5 3" xfId="6440" xr:uid="{00000000-0005-0000-0000-000059170000}"/>
    <cellStyle name="Normal 5 2 2 2 3 2 5 3 2" xfId="23331" xr:uid="{4E81446A-8B5B-4112-809D-BC65C42770E5}"/>
    <cellStyle name="Normal 5 2 2 2 3 2 5 3 3" xfId="14890" xr:uid="{6B6007D2-3832-46E4-9B08-A2C7086346AD}"/>
    <cellStyle name="Normal 5 2 2 2 3 2 5 4" xfId="19113" xr:uid="{BAB8131C-C13A-4702-9F33-05A4C088383A}"/>
    <cellStyle name="Normal 5 2 2 2 3 2 5 5" xfId="10672" xr:uid="{03388476-7244-458D-A931-1BBC2BC0F93A}"/>
    <cellStyle name="Normal 5 2 2 2 3 2 6" xfId="2570" xr:uid="{00000000-0005-0000-0000-00005A170000}"/>
    <cellStyle name="Normal 5 2 2 2 3 2 6 2" xfId="6853" xr:uid="{00000000-0005-0000-0000-00005B170000}"/>
    <cellStyle name="Normal 5 2 2 2 3 2 6 2 2" xfId="23744" xr:uid="{4295C18E-0C33-4FCA-929D-4354DCEE967E}"/>
    <cellStyle name="Normal 5 2 2 2 3 2 6 2 3" xfId="15303" xr:uid="{A6B8D68F-E878-4410-9A6F-A209F40BC45C}"/>
    <cellStyle name="Normal 5 2 2 2 3 2 6 3" xfId="19526" xr:uid="{DA47CEFA-DC7E-4FD6-8E2E-B439C71DD4EE}"/>
    <cellStyle name="Normal 5 2 2 2 3 2 6 4" xfId="11085" xr:uid="{A16EDDE8-F892-4557-99F6-6A6D1DB9088C}"/>
    <cellStyle name="Normal 5 2 2 2 3 2 7" xfId="4788" xr:uid="{00000000-0005-0000-0000-00005C170000}"/>
    <cellStyle name="Normal 5 2 2 2 3 2 7 2" xfId="21679" xr:uid="{7BF749EB-0468-400B-92C4-8E1AAB0AD5D0}"/>
    <cellStyle name="Normal 5 2 2 2 3 2 7 3" xfId="13238" xr:uid="{DB5DCA6A-32CF-4F2C-BF5B-78DB725D4B85}"/>
    <cellStyle name="Normal 5 2 2 2 3 2 8" xfId="17461" xr:uid="{D53DF031-C8C0-4B20-957D-9A709845CC18}"/>
    <cellStyle name="Normal 5 2 2 2 3 2 9" xfId="9020" xr:uid="{6935E603-0BBA-416B-BB37-BC207F193DB7}"/>
    <cellStyle name="Normal 5 2 2 2 3 3" xfId="888" xr:uid="{00000000-0005-0000-0000-00005D170000}"/>
    <cellStyle name="Normal 5 2 2 2 3 3 2" xfId="3123" xr:uid="{00000000-0005-0000-0000-00005E170000}"/>
    <cellStyle name="Normal 5 2 2 2 3 3 2 2" xfId="7345" xr:uid="{00000000-0005-0000-0000-00005F170000}"/>
    <cellStyle name="Normal 5 2 2 2 3 3 2 2 2" xfId="24236" xr:uid="{9E18B561-CA0E-4838-8931-AD37D4CA158F}"/>
    <cellStyle name="Normal 5 2 2 2 3 3 2 2 3" xfId="15795" xr:uid="{5591C54B-A07A-4FA5-82A5-9CA3D7A1B489}"/>
    <cellStyle name="Normal 5 2 2 2 3 3 2 3" xfId="20018" xr:uid="{0D7F8B3F-B2E6-45B6-9123-E2CB230167D7}"/>
    <cellStyle name="Normal 5 2 2 2 3 3 2 4" xfId="11577" xr:uid="{24AEAD35-0112-461F-BD90-DF913542F500}"/>
    <cellStyle name="Normal 5 2 2 2 3 3 3" xfId="5200" xr:uid="{00000000-0005-0000-0000-000060170000}"/>
    <cellStyle name="Normal 5 2 2 2 3 3 3 2" xfId="22091" xr:uid="{B6CCAF17-834F-43BF-B5A6-77C8D9180509}"/>
    <cellStyle name="Normal 5 2 2 2 3 3 3 3" xfId="13650" xr:uid="{3522DF86-21DB-4713-85BF-1F27F98B68A3}"/>
    <cellStyle name="Normal 5 2 2 2 3 3 4" xfId="17873" xr:uid="{549B7017-1073-4B10-A6D1-68BC34954D07}"/>
    <cellStyle name="Normal 5 2 2 2 3 3 5" xfId="9432" xr:uid="{88DD4C6E-A9CF-4B7E-8EE6-1193E5614D31}"/>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2 2 2" xfId="24649" xr:uid="{126D2CD8-1B4F-4DE2-827C-94558998FAB8}"/>
    <cellStyle name="Normal 5 2 2 2 3 4 2 2 3" xfId="16208" xr:uid="{02A7BFB4-2C57-4A90-80D3-68D67375592F}"/>
    <cellStyle name="Normal 5 2 2 2 3 4 2 3" xfId="20431" xr:uid="{41AB6097-BDBD-4FC9-A2A4-D43CC9313C4E}"/>
    <cellStyle name="Normal 5 2 2 2 3 4 2 4" xfId="11990" xr:uid="{598463EB-A46A-4D27-A831-D23E3841E4E5}"/>
    <cellStyle name="Normal 5 2 2 2 3 4 3" xfId="5613" xr:uid="{00000000-0005-0000-0000-000064170000}"/>
    <cellStyle name="Normal 5 2 2 2 3 4 3 2" xfId="22504" xr:uid="{04F107FE-0EFE-4142-9417-FA2AD354F70D}"/>
    <cellStyle name="Normal 5 2 2 2 3 4 3 3" xfId="14063" xr:uid="{C570DD5A-36A3-4319-9667-750C567738B0}"/>
    <cellStyle name="Normal 5 2 2 2 3 4 4" xfId="18286" xr:uid="{CC0EA265-A81D-414D-BD7D-ECF30D97A670}"/>
    <cellStyle name="Normal 5 2 2 2 3 4 5" xfId="9845" xr:uid="{707FA2F2-4810-4C89-BDC0-EC9A272157A3}"/>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2 2 2" xfId="25062" xr:uid="{B6170926-4E73-425A-BCB2-20EA0FFD9E05}"/>
    <cellStyle name="Normal 5 2 2 2 3 5 2 2 3" xfId="16621" xr:uid="{CFAE1D91-4B83-446A-A5CD-B71C1D18CAB9}"/>
    <cellStyle name="Normal 5 2 2 2 3 5 2 3" xfId="20844" xr:uid="{B27E99E0-7213-4988-8733-2D9E4EAC056A}"/>
    <cellStyle name="Normal 5 2 2 2 3 5 2 4" xfId="12403" xr:uid="{8EB58619-A067-450A-A04B-77ECB3468B72}"/>
    <cellStyle name="Normal 5 2 2 2 3 5 3" xfId="6026" xr:uid="{00000000-0005-0000-0000-000068170000}"/>
    <cellStyle name="Normal 5 2 2 2 3 5 3 2" xfId="22917" xr:uid="{E2D67F7E-2D1F-4346-A773-FCC670A5C01B}"/>
    <cellStyle name="Normal 5 2 2 2 3 5 3 3" xfId="14476" xr:uid="{911A5622-61F3-4C42-8EB5-277CE747CC6F}"/>
    <cellStyle name="Normal 5 2 2 2 3 5 4" xfId="18699" xr:uid="{A7DDAD26-30AF-4BA2-B02E-52D2B20C398E}"/>
    <cellStyle name="Normal 5 2 2 2 3 5 5" xfId="10258" xr:uid="{69C5356A-BD22-4F6B-878B-EFD34624DBEA}"/>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2 2 2" xfId="25475" xr:uid="{0473675F-2EF5-4445-92C9-27460574E2F4}"/>
    <cellStyle name="Normal 5 2 2 2 3 6 2 2 3" xfId="17034" xr:uid="{A5076D71-6E96-415A-A705-4C3BD001867B}"/>
    <cellStyle name="Normal 5 2 2 2 3 6 2 3" xfId="21257" xr:uid="{69E8CFE6-85B0-4B44-A0A2-8F349DD7D978}"/>
    <cellStyle name="Normal 5 2 2 2 3 6 2 4" xfId="12816" xr:uid="{AD2EFE54-5007-4B7E-8341-29185109423B}"/>
    <cellStyle name="Normal 5 2 2 2 3 6 3" xfId="6439" xr:uid="{00000000-0005-0000-0000-00006C170000}"/>
    <cellStyle name="Normal 5 2 2 2 3 6 3 2" xfId="23330" xr:uid="{D47E66D9-9FD0-4E55-900E-CCDD6A6923F5}"/>
    <cellStyle name="Normal 5 2 2 2 3 6 3 3" xfId="14889" xr:uid="{15D1FA81-B07F-42F2-9B77-64BA68F66CFC}"/>
    <cellStyle name="Normal 5 2 2 2 3 6 4" xfId="19112" xr:uid="{271BB39E-2E47-4B69-9734-7C00684CA39C}"/>
    <cellStyle name="Normal 5 2 2 2 3 6 5" xfId="10671" xr:uid="{11E360E5-F914-43FE-8931-25E919103BB3}"/>
    <cellStyle name="Normal 5 2 2 2 3 7" xfId="2569" xr:uid="{00000000-0005-0000-0000-00006D170000}"/>
    <cellStyle name="Normal 5 2 2 2 3 7 2" xfId="6852" xr:uid="{00000000-0005-0000-0000-00006E170000}"/>
    <cellStyle name="Normal 5 2 2 2 3 7 2 2" xfId="23743" xr:uid="{CD8B3FF6-DC35-485B-86EE-11D0BEF5B84E}"/>
    <cellStyle name="Normal 5 2 2 2 3 7 2 3" xfId="15302" xr:uid="{8CEEAF57-3685-4595-8261-E03651707689}"/>
    <cellStyle name="Normal 5 2 2 2 3 7 3" xfId="19525" xr:uid="{76C1E53A-DB6B-4937-87E8-544636F8198E}"/>
    <cellStyle name="Normal 5 2 2 2 3 7 4" xfId="11084" xr:uid="{EA495572-130B-4011-8743-026622D7A108}"/>
    <cellStyle name="Normal 5 2 2 2 3 8" xfId="4787" xr:uid="{00000000-0005-0000-0000-00006F170000}"/>
    <cellStyle name="Normal 5 2 2 2 3 8 2" xfId="21678" xr:uid="{9AED164C-49BB-4175-807D-FA90490DBF60}"/>
    <cellStyle name="Normal 5 2 2 2 3 8 3" xfId="13237" xr:uid="{EF6AA0DE-4BC0-4D74-B730-0FD30612169C}"/>
    <cellStyle name="Normal 5 2 2 2 3 9" xfId="17460" xr:uid="{E697D208-6D63-47B7-A83D-51F731CDEB84}"/>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2 2 2" xfId="24238" xr:uid="{A1116B45-E96B-4C48-9031-9CDD39F0EFB3}"/>
    <cellStyle name="Normal 5 2 2 2 4 2 2 2 3" xfId="15797" xr:uid="{CA1DDBAA-4D2E-432A-A481-2546016BD015}"/>
    <cellStyle name="Normal 5 2 2 2 4 2 2 3" xfId="20020" xr:uid="{114CF378-DA51-41B6-824F-EC663F7DFEED}"/>
    <cellStyle name="Normal 5 2 2 2 4 2 2 4" xfId="11579" xr:uid="{0DDAFB4B-D7E0-43C2-8E67-3C2CB7BEF6AE}"/>
    <cellStyle name="Normal 5 2 2 2 4 2 3" xfId="5202" xr:uid="{00000000-0005-0000-0000-000074170000}"/>
    <cellStyle name="Normal 5 2 2 2 4 2 3 2" xfId="22093" xr:uid="{CBCE4B20-1480-4423-B324-7CB0EC0AA670}"/>
    <cellStyle name="Normal 5 2 2 2 4 2 3 3" xfId="13652" xr:uid="{B0944888-FA95-4E35-AB3E-776DBD7888C8}"/>
    <cellStyle name="Normal 5 2 2 2 4 2 4" xfId="17875" xr:uid="{12C8E557-BDC7-4CDE-B56E-4F6E0E62E59D}"/>
    <cellStyle name="Normal 5 2 2 2 4 2 5" xfId="9434" xr:uid="{0B558D6C-58A3-400D-AB42-AE113CA7BAA1}"/>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2 2 2" xfId="24651" xr:uid="{14CB4F79-392D-4F94-AB94-9166433AD16A}"/>
    <cellStyle name="Normal 5 2 2 2 4 3 2 2 3" xfId="16210" xr:uid="{4F079515-F2CD-447B-8882-CD734D3F9DE4}"/>
    <cellStyle name="Normal 5 2 2 2 4 3 2 3" xfId="20433" xr:uid="{27C69CD1-2C3D-40F5-A3A0-BD672AEADA94}"/>
    <cellStyle name="Normal 5 2 2 2 4 3 2 4" xfId="11992" xr:uid="{42271505-763D-4BEB-8343-94A877AF3B77}"/>
    <cellStyle name="Normal 5 2 2 2 4 3 3" xfId="5615" xr:uid="{00000000-0005-0000-0000-000078170000}"/>
    <cellStyle name="Normal 5 2 2 2 4 3 3 2" xfId="22506" xr:uid="{EE11E1FB-6C8E-4AA4-8D22-ADDD36172872}"/>
    <cellStyle name="Normal 5 2 2 2 4 3 3 3" xfId="14065" xr:uid="{967863B7-46D9-4C1F-BA14-D08AA05779D4}"/>
    <cellStyle name="Normal 5 2 2 2 4 3 4" xfId="18288" xr:uid="{9FE94A6C-2D94-40DE-A8F6-B269F584CB9D}"/>
    <cellStyle name="Normal 5 2 2 2 4 3 5" xfId="9847" xr:uid="{C98177D8-4AC0-46A4-9251-3F8B7441F9F2}"/>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2 2 2" xfId="25064" xr:uid="{E26C5FE0-584A-429A-B619-E20586DFA4A3}"/>
    <cellStyle name="Normal 5 2 2 2 4 4 2 2 3" xfId="16623" xr:uid="{97516653-3A93-440A-97CA-3174D91A0B0F}"/>
    <cellStyle name="Normal 5 2 2 2 4 4 2 3" xfId="20846" xr:uid="{A41C2595-3B62-4BF8-9D66-4EC51C815D8A}"/>
    <cellStyle name="Normal 5 2 2 2 4 4 2 4" xfId="12405" xr:uid="{2B24FC5D-24D9-42D8-9BD3-899F05ECB494}"/>
    <cellStyle name="Normal 5 2 2 2 4 4 3" xfId="6028" xr:uid="{00000000-0005-0000-0000-00007C170000}"/>
    <cellStyle name="Normal 5 2 2 2 4 4 3 2" xfId="22919" xr:uid="{D93EA49A-1221-4860-996D-9DE2BF8641A5}"/>
    <cellStyle name="Normal 5 2 2 2 4 4 3 3" xfId="14478" xr:uid="{AB348804-5FED-4FC6-9C91-721F680CB4AD}"/>
    <cellStyle name="Normal 5 2 2 2 4 4 4" xfId="18701" xr:uid="{4E01F6FB-CAC0-4A7A-BD74-E88210EA979A}"/>
    <cellStyle name="Normal 5 2 2 2 4 4 5" xfId="10260" xr:uid="{9C19EC76-ED9F-45CB-BEAC-1CF12D4AEA9F}"/>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2 2 2" xfId="25477" xr:uid="{93C4D3A9-BBC3-4A63-99BC-3F012160EE9A}"/>
    <cellStyle name="Normal 5 2 2 2 4 5 2 2 3" xfId="17036" xr:uid="{3287A7EE-1F7D-47BE-9B93-73ADE863F956}"/>
    <cellStyle name="Normal 5 2 2 2 4 5 2 3" xfId="21259" xr:uid="{49600048-4430-474E-AEE4-9EDBEA6F8BE2}"/>
    <cellStyle name="Normal 5 2 2 2 4 5 2 4" xfId="12818" xr:uid="{6B554184-5EB9-4697-A624-5F6B6646F148}"/>
    <cellStyle name="Normal 5 2 2 2 4 5 3" xfId="6441" xr:uid="{00000000-0005-0000-0000-000080170000}"/>
    <cellStyle name="Normal 5 2 2 2 4 5 3 2" xfId="23332" xr:uid="{D1ECC2D5-53B7-41EA-ABB1-8B0ECB66AB79}"/>
    <cellStyle name="Normal 5 2 2 2 4 5 3 3" xfId="14891" xr:uid="{C44AA472-798E-4EFB-A740-0697A3BF9780}"/>
    <cellStyle name="Normal 5 2 2 2 4 5 4" xfId="19114" xr:uid="{C0A2DDE5-2754-4F9A-804F-C76BC6A68879}"/>
    <cellStyle name="Normal 5 2 2 2 4 5 5" xfId="10673" xr:uid="{4579D501-75A1-4938-9E97-8F48CDFB0397}"/>
    <cellStyle name="Normal 5 2 2 2 4 6" xfId="2571" xr:uid="{00000000-0005-0000-0000-000081170000}"/>
    <cellStyle name="Normal 5 2 2 2 4 6 2" xfId="6854" xr:uid="{00000000-0005-0000-0000-000082170000}"/>
    <cellStyle name="Normal 5 2 2 2 4 6 2 2" xfId="23745" xr:uid="{12F0B6B1-18A3-4A1B-97AE-C296925A5AD1}"/>
    <cellStyle name="Normal 5 2 2 2 4 6 2 3" xfId="15304" xr:uid="{B6AA7C5B-E26A-4E8E-A691-82D751402EA4}"/>
    <cellStyle name="Normal 5 2 2 2 4 6 3" xfId="19527" xr:uid="{C4EDFA80-1F0B-42B8-ACA6-F02858586DBF}"/>
    <cellStyle name="Normal 5 2 2 2 4 6 4" xfId="11086" xr:uid="{86C7896F-71B4-4481-89AA-70772DCF781B}"/>
    <cellStyle name="Normal 5 2 2 2 4 7" xfId="4789" xr:uid="{00000000-0005-0000-0000-000083170000}"/>
    <cellStyle name="Normal 5 2 2 2 4 7 2" xfId="21680" xr:uid="{9A1595CE-817C-497B-AD87-D192DB56F563}"/>
    <cellStyle name="Normal 5 2 2 2 4 7 3" xfId="13239" xr:uid="{30BD145C-4581-4C09-898C-ECBAA8C4B916}"/>
    <cellStyle name="Normal 5 2 2 2 4 8" xfId="17462" xr:uid="{FCD6D52A-4ABE-4AE2-B4A8-E1C6FDC944D0}"/>
    <cellStyle name="Normal 5 2 2 2 4 9" xfId="9021" xr:uid="{3234A31F-90F5-479B-8E97-3BCBC1C5A577}"/>
    <cellStyle name="Normal 5 2 2 2 5" xfId="883" xr:uid="{00000000-0005-0000-0000-000084170000}"/>
    <cellStyle name="Normal 5 2 2 2 5 2" xfId="3118" xr:uid="{00000000-0005-0000-0000-000085170000}"/>
    <cellStyle name="Normal 5 2 2 2 5 2 2" xfId="7340" xr:uid="{00000000-0005-0000-0000-000086170000}"/>
    <cellStyle name="Normal 5 2 2 2 5 2 2 2" xfId="24231" xr:uid="{49623827-EA52-4B10-81C0-A2123A5CF1CE}"/>
    <cellStyle name="Normal 5 2 2 2 5 2 2 3" xfId="15790" xr:uid="{9ED13993-FC75-4F16-A5B8-B510023B06D6}"/>
    <cellStyle name="Normal 5 2 2 2 5 2 3" xfId="20013" xr:uid="{718CBBF5-0C2D-44C3-AE19-4DF21B77E8D0}"/>
    <cellStyle name="Normal 5 2 2 2 5 2 4" xfId="11572" xr:uid="{AABB5B37-2CA8-473D-B3F9-F2430872F40C}"/>
    <cellStyle name="Normal 5 2 2 2 5 3" xfId="5195" xr:uid="{00000000-0005-0000-0000-000087170000}"/>
    <cellStyle name="Normal 5 2 2 2 5 3 2" xfId="22086" xr:uid="{556009CB-146B-44FA-8334-549E9E79D54F}"/>
    <cellStyle name="Normal 5 2 2 2 5 3 3" xfId="13645" xr:uid="{2F5E1B69-80CC-41A7-BDCB-813143E07ACA}"/>
    <cellStyle name="Normal 5 2 2 2 5 4" xfId="17868" xr:uid="{60B47021-F5BC-4939-9CB0-E4032A5610D2}"/>
    <cellStyle name="Normal 5 2 2 2 5 5" xfId="9427" xr:uid="{7E78F6BA-0F7A-4E62-A80D-F019F1EAA8B4}"/>
    <cellStyle name="Normal 5 2 2 2 6" xfId="1301" xr:uid="{00000000-0005-0000-0000-000088170000}"/>
    <cellStyle name="Normal 5 2 2 2 6 2" xfId="3531" xr:uid="{00000000-0005-0000-0000-000089170000}"/>
    <cellStyle name="Normal 5 2 2 2 6 2 2" xfId="7753" xr:uid="{00000000-0005-0000-0000-00008A170000}"/>
    <cellStyle name="Normal 5 2 2 2 6 2 2 2" xfId="24644" xr:uid="{3898A98F-8963-45C2-BCF1-37EC766E624B}"/>
    <cellStyle name="Normal 5 2 2 2 6 2 2 3" xfId="16203" xr:uid="{497F3C67-26B8-4FF8-9DF9-DB129A0C7F0D}"/>
    <cellStyle name="Normal 5 2 2 2 6 2 3" xfId="20426" xr:uid="{56B82BA7-1CC3-4FA4-A717-EFE48417A86F}"/>
    <cellStyle name="Normal 5 2 2 2 6 2 4" xfId="11985" xr:uid="{00BF596D-B6C7-44D9-969D-133599A87B85}"/>
    <cellStyle name="Normal 5 2 2 2 6 3" xfId="5608" xr:uid="{00000000-0005-0000-0000-00008B170000}"/>
    <cellStyle name="Normal 5 2 2 2 6 3 2" xfId="22499" xr:uid="{29FF5461-E12A-40BC-B389-918F37E82465}"/>
    <cellStyle name="Normal 5 2 2 2 6 3 3" xfId="14058" xr:uid="{2FB8FF46-1612-466F-819E-D4B4D3D093F6}"/>
    <cellStyle name="Normal 5 2 2 2 6 4" xfId="18281" xr:uid="{152DC9B2-D50F-47DA-BD6A-1CFCEAD127F5}"/>
    <cellStyle name="Normal 5 2 2 2 6 5" xfId="9840" xr:uid="{E9306086-5625-47CA-8D1A-6E518315213C}"/>
    <cellStyle name="Normal 5 2 2 2 7" xfId="1714" xr:uid="{00000000-0005-0000-0000-00008C170000}"/>
    <cellStyle name="Normal 5 2 2 2 7 2" xfId="3944" xr:uid="{00000000-0005-0000-0000-00008D170000}"/>
    <cellStyle name="Normal 5 2 2 2 7 2 2" xfId="8166" xr:uid="{00000000-0005-0000-0000-00008E170000}"/>
    <cellStyle name="Normal 5 2 2 2 7 2 2 2" xfId="25057" xr:uid="{9B276A6E-7FB8-4B85-9CB5-C28DC7C08114}"/>
    <cellStyle name="Normal 5 2 2 2 7 2 2 3" xfId="16616" xr:uid="{391FBE78-2EAF-43AB-9BC7-78DC36155BB8}"/>
    <cellStyle name="Normal 5 2 2 2 7 2 3" xfId="20839" xr:uid="{2D133CD3-8053-4AE5-8975-F537D7A8D19D}"/>
    <cellStyle name="Normal 5 2 2 2 7 2 4" xfId="12398" xr:uid="{41FF63BD-9A3C-465E-B250-0EC18D104649}"/>
    <cellStyle name="Normal 5 2 2 2 7 3" xfId="6021" xr:uid="{00000000-0005-0000-0000-00008F170000}"/>
    <cellStyle name="Normal 5 2 2 2 7 3 2" xfId="22912" xr:uid="{F2E08D93-192C-415B-8812-730DD38368E5}"/>
    <cellStyle name="Normal 5 2 2 2 7 3 3" xfId="14471" xr:uid="{76DC656B-2AA6-4FD6-A169-64FAD6101041}"/>
    <cellStyle name="Normal 5 2 2 2 7 4" xfId="18694" xr:uid="{91241CE3-96AB-48BA-87CE-78FC0926E610}"/>
    <cellStyle name="Normal 5 2 2 2 7 5" xfId="10253" xr:uid="{66D061DB-A67A-463C-927E-E0EDE0E90DFC}"/>
    <cellStyle name="Normal 5 2 2 2 8" xfId="2128" xr:uid="{00000000-0005-0000-0000-000090170000}"/>
    <cellStyle name="Normal 5 2 2 2 8 2" xfId="4357" xr:uid="{00000000-0005-0000-0000-000091170000}"/>
    <cellStyle name="Normal 5 2 2 2 8 2 2" xfId="8579" xr:uid="{00000000-0005-0000-0000-000092170000}"/>
    <cellStyle name="Normal 5 2 2 2 8 2 2 2" xfId="25470" xr:uid="{DA11C462-28B8-4644-AC16-CDD2E1BD604F}"/>
    <cellStyle name="Normal 5 2 2 2 8 2 2 3" xfId="17029" xr:uid="{36504A92-1BCC-4E84-84F1-B7F4EBEA59A8}"/>
    <cellStyle name="Normal 5 2 2 2 8 2 3" xfId="21252" xr:uid="{814EF57B-C67A-403D-9068-C25A446562FD}"/>
    <cellStyle name="Normal 5 2 2 2 8 2 4" xfId="12811" xr:uid="{EB149AC4-9CE9-43F0-8A6D-9057A95A1BC1}"/>
    <cellStyle name="Normal 5 2 2 2 8 3" xfId="6434" xr:uid="{00000000-0005-0000-0000-000093170000}"/>
    <cellStyle name="Normal 5 2 2 2 8 3 2" xfId="23325" xr:uid="{255FB7B3-8BC6-4EC7-8CCE-DE64E9C66914}"/>
    <cellStyle name="Normal 5 2 2 2 8 3 3" xfId="14884" xr:uid="{13295048-3F30-48AC-8B5E-3917112F2984}"/>
    <cellStyle name="Normal 5 2 2 2 8 4" xfId="19107" xr:uid="{019B813A-8932-498B-9020-56FE010F7290}"/>
    <cellStyle name="Normal 5 2 2 2 8 5" xfId="10666" xr:uid="{74304F21-3BDF-4D7A-AB9D-0A70C0D0002F}"/>
    <cellStyle name="Normal 5 2 2 2 9" xfId="2564" xr:uid="{00000000-0005-0000-0000-000094170000}"/>
    <cellStyle name="Normal 5 2 2 2 9 2" xfId="6847" xr:uid="{00000000-0005-0000-0000-000095170000}"/>
    <cellStyle name="Normal 5 2 2 2 9 2 2" xfId="23738" xr:uid="{48BBF775-31A0-49F8-882F-BF2DC61D6E87}"/>
    <cellStyle name="Normal 5 2 2 2 9 2 3" xfId="15297" xr:uid="{CF98BB8B-D797-460C-95B7-5A1F7685E3C8}"/>
    <cellStyle name="Normal 5 2 2 2 9 3" xfId="19520" xr:uid="{34DF746A-E884-410B-8BBB-E7B4AF2FCC37}"/>
    <cellStyle name="Normal 5 2 2 2 9 4" xfId="11079" xr:uid="{3E497912-ABFC-458D-B1C6-41ED779D7D86}"/>
    <cellStyle name="Normal 5 2 2 3" xfId="417" xr:uid="{00000000-0005-0000-0000-000096170000}"/>
    <cellStyle name="Normal 5 2 2 3 10" xfId="17463" xr:uid="{70CC557D-0A91-40CA-8DE9-EAB80D025198}"/>
    <cellStyle name="Normal 5 2 2 3 11" xfId="9022" xr:uid="{E46A35E7-0354-454D-BD5D-3C59A46DC152}"/>
    <cellStyle name="Normal 5 2 2 3 2" xfId="418" xr:uid="{00000000-0005-0000-0000-000097170000}"/>
    <cellStyle name="Normal 5 2 2 3 2 10" xfId="9023" xr:uid="{6634C7F7-7750-4AF5-9EBC-16693B25C7CD}"/>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2 2 2" xfId="24241" xr:uid="{1658236B-6AF5-4192-9328-5F4153AAC6DC}"/>
    <cellStyle name="Normal 5 2 2 3 2 2 2 2 2 3" xfId="15800" xr:uid="{72E23BD9-E73B-4BC2-985F-F97309C99F18}"/>
    <cellStyle name="Normal 5 2 2 3 2 2 2 2 3" xfId="20023" xr:uid="{B7AE09FE-CB13-4CFA-9E61-7A6304FBBC50}"/>
    <cellStyle name="Normal 5 2 2 3 2 2 2 2 4" xfId="11582" xr:uid="{8EB65E65-1BC8-4985-8F09-2790A3C7CEB3}"/>
    <cellStyle name="Normal 5 2 2 3 2 2 2 3" xfId="5205" xr:uid="{00000000-0005-0000-0000-00009C170000}"/>
    <cellStyle name="Normal 5 2 2 3 2 2 2 3 2" xfId="22096" xr:uid="{7E9C7B7A-CF84-4201-8E17-E6722FAA9CA9}"/>
    <cellStyle name="Normal 5 2 2 3 2 2 2 3 3" xfId="13655" xr:uid="{AED4AAFD-1F13-42F1-9256-C4643E5F7DEE}"/>
    <cellStyle name="Normal 5 2 2 3 2 2 2 4" xfId="17878" xr:uid="{BA10B695-DA64-4B5D-A558-75F0958B7346}"/>
    <cellStyle name="Normal 5 2 2 3 2 2 2 5" xfId="9437" xr:uid="{C3ED52E5-CA1D-47C7-BBDE-A648E2E90A5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2 2 2" xfId="24654" xr:uid="{205C4DA5-934F-4733-8073-23F0382E77D5}"/>
    <cellStyle name="Normal 5 2 2 3 2 2 3 2 2 3" xfId="16213" xr:uid="{82A1119A-F486-4DFB-A474-9C0CFD23487B}"/>
    <cellStyle name="Normal 5 2 2 3 2 2 3 2 3" xfId="20436" xr:uid="{ABEFACE1-9C44-430E-A9DF-A230E5112EA0}"/>
    <cellStyle name="Normal 5 2 2 3 2 2 3 2 4" xfId="11995" xr:uid="{4F72E24A-A769-4670-A763-C037BF78DAA9}"/>
    <cellStyle name="Normal 5 2 2 3 2 2 3 3" xfId="5618" xr:uid="{00000000-0005-0000-0000-0000A0170000}"/>
    <cellStyle name="Normal 5 2 2 3 2 2 3 3 2" xfId="22509" xr:uid="{846E726E-D2F7-4CE3-AA2D-C15DAB89811C}"/>
    <cellStyle name="Normal 5 2 2 3 2 2 3 3 3" xfId="14068" xr:uid="{08FDEEE3-187D-42BF-8099-2FB3737FA9CC}"/>
    <cellStyle name="Normal 5 2 2 3 2 2 3 4" xfId="18291" xr:uid="{50E1214A-EC80-4E94-BC24-4304B4BBFA9B}"/>
    <cellStyle name="Normal 5 2 2 3 2 2 3 5" xfId="9850" xr:uid="{840BBCD8-DFF1-4F63-B67D-FA9B06524258}"/>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2 2 2" xfId="25067" xr:uid="{F1B1674D-F4C7-4287-8F97-ED65E8FCA85C}"/>
    <cellStyle name="Normal 5 2 2 3 2 2 4 2 2 3" xfId="16626" xr:uid="{D0375713-C3A0-4ECF-9F21-E4978FB914AF}"/>
    <cellStyle name="Normal 5 2 2 3 2 2 4 2 3" xfId="20849" xr:uid="{059ABE4E-54C9-428C-BA38-B678BFD904FB}"/>
    <cellStyle name="Normal 5 2 2 3 2 2 4 2 4" xfId="12408" xr:uid="{9305FC3D-92F2-4941-AFCD-75556DCFC9D1}"/>
    <cellStyle name="Normal 5 2 2 3 2 2 4 3" xfId="6031" xr:uid="{00000000-0005-0000-0000-0000A4170000}"/>
    <cellStyle name="Normal 5 2 2 3 2 2 4 3 2" xfId="22922" xr:uid="{4259D351-ADD1-47B7-8D4C-4516474F8B3C}"/>
    <cellStyle name="Normal 5 2 2 3 2 2 4 3 3" xfId="14481" xr:uid="{714CEF37-277E-4201-AB51-0E7607C1D0BD}"/>
    <cellStyle name="Normal 5 2 2 3 2 2 4 4" xfId="18704" xr:uid="{C13BE807-7FDE-4E34-94BA-22D572B0460C}"/>
    <cellStyle name="Normal 5 2 2 3 2 2 4 5" xfId="10263" xr:uid="{0BAB2111-989A-4454-99D2-5D7A2F85BF7A}"/>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2 2 2" xfId="25480" xr:uid="{5BC821CC-57AE-4D2B-903F-E133816B126A}"/>
    <cellStyle name="Normal 5 2 2 3 2 2 5 2 2 3" xfId="17039" xr:uid="{6323B78D-B136-4334-9407-DCF8E67EB4A3}"/>
    <cellStyle name="Normal 5 2 2 3 2 2 5 2 3" xfId="21262" xr:uid="{F728F03C-74D9-4719-A123-CA5CF39336EE}"/>
    <cellStyle name="Normal 5 2 2 3 2 2 5 2 4" xfId="12821" xr:uid="{E1176CC4-3BCA-4AFB-8074-EB70902F7622}"/>
    <cellStyle name="Normal 5 2 2 3 2 2 5 3" xfId="6444" xr:uid="{00000000-0005-0000-0000-0000A8170000}"/>
    <cellStyle name="Normal 5 2 2 3 2 2 5 3 2" xfId="23335" xr:uid="{42B11791-0A62-441D-81FE-CADB408CFA6D}"/>
    <cellStyle name="Normal 5 2 2 3 2 2 5 3 3" xfId="14894" xr:uid="{800B6B83-CCD2-4631-941B-769C5C399CCD}"/>
    <cellStyle name="Normal 5 2 2 3 2 2 5 4" xfId="19117" xr:uid="{3CBC1DBA-410E-4C7B-8C10-0BAF22D3DCC5}"/>
    <cellStyle name="Normal 5 2 2 3 2 2 5 5" xfId="10676" xr:uid="{8631402C-C70D-4F1F-A0B9-EACEE147BD76}"/>
    <cellStyle name="Normal 5 2 2 3 2 2 6" xfId="2574" xr:uid="{00000000-0005-0000-0000-0000A9170000}"/>
    <cellStyle name="Normal 5 2 2 3 2 2 6 2" xfId="6857" xr:uid="{00000000-0005-0000-0000-0000AA170000}"/>
    <cellStyle name="Normal 5 2 2 3 2 2 6 2 2" xfId="23748" xr:uid="{D8A7F036-EA46-48FE-97C2-E61986F816DE}"/>
    <cellStyle name="Normal 5 2 2 3 2 2 6 2 3" xfId="15307" xr:uid="{B1F41484-0041-49D2-A406-E68459D5B88D}"/>
    <cellStyle name="Normal 5 2 2 3 2 2 6 3" xfId="19530" xr:uid="{8301A654-4316-400F-9F10-5F9B52801EE0}"/>
    <cellStyle name="Normal 5 2 2 3 2 2 6 4" xfId="11089" xr:uid="{D8D8F78A-FB4C-43FD-B87D-4AF3E5AE03AC}"/>
    <cellStyle name="Normal 5 2 2 3 2 2 7" xfId="4792" xr:uid="{00000000-0005-0000-0000-0000AB170000}"/>
    <cellStyle name="Normal 5 2 2 3 2 2 7 2" xfId="21683" xr:uid="{987829BB-BE02-4123-94D3-534419240CE0}"/>
    <cellStyle name="Normal 5 2 2 3 2 2 7 3" xfId="13242" xr:uid="{2C0B8555-B4B8-48B7-B691-418115241EF1}"/>
    <cellStyle name="Normal 5 2 2 3 2 2 8" xfId="17465" xr:uid="{64C2C308-ED06-405E-8BBD-A3C94699F0B6}"/>
    <cellStyle name="Normal 5 2 2 3 2 2 9" xfId="9024" xr:uid="{8D19870F-EF9C-4BBA-ADC5-5EE038B14866}"/>
    <cellStyle name="Normal 5 2 2 3 2 3" xfId="892" xr:uid="{00000000-0005-0000-0000-0000AC170000}"/>
    <cellStyle name="Normal 5 2 2 3 2 3 2" xfId="3127" xr:uid="{00000000-0005-0000-0000-0000AD170000}"/>
    <cellStyle name="Normal 5 2 2 3 2 3 2 2" xfId="7349" xr:uid="{00000000-0005-0000-0000-0000AE170000}"/>
    <cellStyle name="Normal 5 2 2 3 2 3 2 2 2" xfId="24240" xr:uid="{D97E8008-9FEC-48D9-9BC4-72D22DFF3E28}"/>
    <cellStyle name="Normal 5 2 2 3 2 3 2 2 3" xfId="15799" xr:uid="{255F54D9-9A4B-412C-84AB-B8D3CC1064D0}"/>
    <cellStyle name="Normal 5 2 2 3 2 3 2 3" xfId="20022" xr:uid="{0411AA11-C9FE-487F-A541-37A96C03BE7B}"/>
    <cellStyle name="Normal 5 2 2 3 2 3 2 4" xfId="11581" xr:uid="{C0CC8FE4-B25E-4CEA-8CC3-7372671CA1A4}"/>
    <cellStyle name="Normal 5 2 2 3 2 3 3" xfId="5204" xr:uid="{00000000-0005-0000-0000-0000AF170000}"/>
    <cellStyle name="Normal 5 2 2 3 2 3 3 2" xfId="22095" xr:uid="{8F14E65A-AA8D-47A7-8281-790596E3AE23}"/>
    <cellStyle name="Normal 5 2 2 3 2 3 3 3" xfId="13654" xr:uid="{7AA1F796-58AD-4A0C-B39C-96E97AF670C1}"/>
    <cellStyle name="Normal 5 2 2 3 2 3 4" xfId="17877" xr:uid="{B85DC2FC-930A-45B0-94DC-C1B3028ECCEA}"/>
    <cellStyle name="Normal 5 2 2 3 2 3 5" xfId="9436" xr:uid="{3260D544-6088-484F-8EFF-4A319D4DE556}"/>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2 2 2" xfId="24653" xr:uid="{22EF20A2-B555-4E20-BEF8-156FB9F0DD8E}"/>
    <cellStyle name="Normal 5 2 2 3 2 4 2 2 3" xfId="16212" xr:uid="{CEB0D64C-9E67-401E-8234-39699889071A}"/>
    <cellStyle name="Normal 5 2 2 3 2 4 2 3" xfId="20435" xr:uid="{A12DDAF7-E227-4DB1-AAA1-1E4505293F47}"/>
    <cellStyle name="Normal 5 2 2 3 2 4 2 4" xfId="11994" xr:uid="{83B81C75-3A50-464D-88BB-8F735BB7BBF1}"/>
    <cellStyle name="Normal 5 2 2 3 2 4 3" xfId="5617" xr:uid="{00000000-0005-0000-0000-0000B3170000}"/>
    <cellStyle name="Normal 5 2 2 3 2 4 3 2" xfId="22508" xr:uid="{E03AE193-FB63-4803-94E9-74ED7CB85A16}"/>
    <cellStyle name="Normal 5 2 2 3 2 4 3 3" xfId="14067" xr:uid="{A283AF5A-567F-49A8-941D-709C40D82062}"/>
    <cellStyle name="Normal 5 2 2 3 2 4 4" xfId="18290" xr:uid="{0AADD33A-CBC1-49A1-BC83-AAD4E5628821}"/>
    <cellStyle name="Normal 5 2 2 3 2 4 5" xfId="9849" xr:uid="{112E11B8-20F5-44A7-8276-5D61151DE4D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2 2 2" xfId="25066" xr:uid="{5132570E-A07D-48D0-A1F4-544890C5B65E}"/>
    <cellStyle name="Normal 5 2 2 3 2 5 2 2 3" xfId="16625" xr:uid="{747FA35F-4A37-4CDD-997C-D5E7699EBC9E}"/>
    <cellStyle name="Normal 5 2 2 3 2 5 2 3" xfId="20848" xr:uid="{8DA64D9A-C582-4A70-907D-9A73850D60BE}"/>
    <cellStyle name="Normal 5 2 2 3 2 5 2 4" xfId="12407" xr:uid="{5036A16B-32F4-40A4-9047-56A3E98BC2A6}"/>
    <cellStyle name="Normal 5 2 2 3 2 5 3" xfId="6030" xr:uid="{00000000-0005-0000-0000-0000B7170000}"/>
    <cellStyle name="Normal 5 2 2 3 2 5 3 2" xfId="22921" xr:uid="{ACE85F43-CCE9-4ABB-985D-842A0A46A616}"/>
    <cellStyle name="Normal 5 2 2 3 2 5 3 3" xfId="14480" xr:uid="{D0295178-4F5C-48A7-9E04-2BBF44ACE506}"/>
    <cellStyle name="Normal 5 2 2 3 2 5 4" xfId="18703" xr:uid="{C2CDF712-46BD-4C51-A3A8-7EFF7413A3E1}"/>
    <cellStyle name="Normal 5 2 2 3 2 5 5" xfId="10262" xr:uid="{297BFFB7-F5A2-4F59-9518-6B444921A097}"/>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2 2 2" xfId="25479" xr:uid="{A7B26C23-FAD1-4B30-9AF9-A66D17E5FEEA}"/>
    <cellStyle name="Normal 5 2 2 3 2 6 2 2 3" xfId="17038" xr:uid="{42263641-F004-4FDC-8DFB-882C6E554CD0}"/>
    <cellStyle name="Normal 5 2 2 3 2 6 2 3" xfId="21261" xr:uid="{4A074B0E-81DF-4B6C-9BC0-E2A76166096C}"/>
    <cellStyle name="Normal 5 2 2 3 2 6 2 4" xfId="12820" xr:uid="{3CB67000-4B43-41C9-9BAE-656EBA4F70F7}"/>
    <cellStyle name="Normal 5 2 2 3 2 6 3" xfId="6443" xr:uid="{00000000-0005-0000-0000-0000BB170000}"/>
    <cellStyle name="Normal 5 2 2 3 2 6 3 2" xfId="23334" xr:uid="{73911C27-1662-4B34-B26B-3A9700092A56}"/>
    <cellStyle name="Normal 5 2 2 3 2 6 3 3" xfId="14893" xr:uid="{11FF7776-307E-41E7-A476-C17227D81EB3}"/>
    <cellStyle name="Normal 5 2 2 3 2 6 4" xfId="19116" xr:uid="{39C99751-0D36-4352-ABA3-31CE68A47837}"/>
    <cellStyle name="Normal 5 2 2 3 2 6 5" xfId="10675" xr:uid="{5ECA6A32-40D6-44EC-8E94-EFEFCD0ABB66}"/>
    <cellStyle name="Normal 5 2 2 3 2 7" xfId="2573" xr:uid="{00000000-0005-0000-0000-0000BC170000}"/>
    <cellStyle name="Normal 5 2 2 3 2 7 2" xfId="6856" xr:uid="{00000000-0005-0000-0000-0000BD170000}"/>
    <cellStyle name="Normal 5 2 2 3 2 7 2 2" xfId="23747" xr:uid="{A78A47F7-0ACF-4661-866C-A1211322369F}"/>
    <cellStyle name="Normal 5 2 2 3 2 7 2 3" xfId="15306" xr:uid="{EA0BE064-013F-4757-B0D5-0134A901FB9A}"/>
    <cellStyle name="Normal 5 2 2 3 2 7 3" xfId="19529" xr:uid="{D493C2BF-E15A-4F7C-A68F-0E158FD5A77D}"/>
    <cellStyle name="Normal 5 2 2 3 2 7 4" xfId="11088" xr:uid="{7A200E89-49A0-4C99-B930-DFC340C91151}"/>
    <cellStyle name="Normal 5 2 2 3 2 8" xfId="4791" xr:uid="{00000000-0005-0000-0000-0000BE170000}"/>
    <cellStyle name="Normal 5 2 2 3 2 8 2" xfId="21682" xr:uid="{864BD160-6C93-4A4C-844C-CAF297FA4549}"/>
    <cellStyle name="Normal 5 2 2 3 2 8 3" xfId="13241" xr:uid="{CB793030-8208-4411-9F52-1A4A964982DE}"/>
    <cellStyle name="Normal 5 2 2 3 2 9" xfId="17464" xr:uid="{9D8FBFCC-6A4C-4D09-92E4-AE2A4059DA7B}"/>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2 2 2" xfId="24242" xr:uid="{03EF2C59-BCC4-4209-9F31-7D6750107A96}"/>
    <cellStyle name="Normal 5 2 2 3 3 2 2 2 3" xfId="15801" xr:uid="{8312C822-DD08-429B-9580-385836210390}"/>
    <cellStyle name="Normal 5 2 2 3 3 2 2 3" xfId="20024" xr:uid="{B7FA7DF6-1387-438D-BA11-CF945A22C2CF}"/>
    <cellStyle name="Normal 5 2 2 3 3 2 2 4" xfId="11583" xr:uid="{D8E84294-E132-4DBC-B292-CACB711CCCA9}"/>
    <cellStyle name="Normal 5 2 2 3 3 2 3" xfId="5206" xr:uid="{00000000-0005-0000-0000-0000C3170000}"/>
    <cellStyle name="Normal 5 2 2 3 3 2 3 2" xfId="22097" xr:uid="{3B7FF6A4-43EB-44C8-BCDA-6A5EC0E78C4B}"/>
    <cellStyle name="Normal 5 2 2 3 3 2 3 3" xfId="13656" xr:uid="{F71BBB29-6C5D-43F5-BB90-E105954BE994}"/>
    <cellStyle name="Normal 5 2 2 3 3 2 4" xfId="17879" xr:uid="{7CD536D7-B52B-41F3-8C42-800E35E66C62}"/>
    <cellStyle name="Normal 5 2 2 3 3 2 5" xfId="9438" xr:uid="{F71F84C3-2DC7-49BA-BFD5-8FF514950327}"/>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2 2 2" xfId="24655" xr:uid="{4AD67293-12E6-473E-B3FD-BB1648DFD3D4}"/>
    <cellStyle name="Normal 5 2 2 3 3 3 2 2 3" xfId="16214" xr:uid="{D7A6C743-ADA5-4C40-A06B-FFA48D228511}"/>
    <cellStyle name="Normal 5 2 2 3 3 3 2 3" xfId="20437" xr:uid="{92B55259-C959-41C1-8D03-F0DAD20585DE}"/>
    <cellStyle name="Normal 5 2 2 3 3 3 2 4" xfId="11996" xr:uid="{C22C4586-4A8E-47B1-9D6C-C4AB03DD0702}"/>
    <cellStyle name="Normal 5 2 2 3 3 3 3" xfId="5619" xr:uid="{00000000-0005-0000-0000-0000C7170000}"/>
    <cellStyle name="Normal 5 2 2 3 3 3 3 2" xfId="22510" xr:uid="{094A9ECE-6E8C-45E1-9C1A-0EF6518A916B}"/>
    <cellStyle name="Normal 5 2 2 3 3 3 3 3" xfId="14069" xr:uid="{46AB16A3-E85A-4139-BEC1-D7583A31CFF9}"/>
    <cellStyle name="Normal 5 2 2 3 3 3 4" xfId="18292" xr:uid="{4802CEC8-8465-4CE5-AB98-DCB05189B637}"/>
    <cellStyle name="Normal 5 2 2 3 3 3 5" xfId="9851" xr:uid="{A1E73BF2-CA62-4BB8-9035-376D5C015435}"/>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2 2 2" xfId="25068" xr:uid="{1CF8D6EC-AB66-429A-B0A2-8BAE17D3CBCF}"/>
    <cellStyle name="Normal 5 2 2 3 3 4 2 2 3" xfId="16627" xr:uid="{47F6AA6C-BF2B-4170-87CF-1F4A56D9E702}"/>
    <cellStyle name="Normal 5 2 2 3 3 4 2 3" xfId="20850" xr:uid="{7813B78A-37A6-45B1-8EF0-4B54F4B70065}"/>
    <cellStyle name="Normal 5 2 2 3 3 4 2 4" xfId="12409" xr:uid="{E9AD8034-D66C-4EE8-AA14-2D51238AFC2A}"/>
    <cellStyle name="Normal 5 2 2 3 3 4 3" xfId="6032" xr:uid="{00000000-0005-0000-0000-0000CB170000}"/>
    <cellStyle name="Normal 5 2 2 3 3 4 3 2" xfId="22923" xr:uid="{113CD8E4-B549-4292-84FA-AA8D7EC6AE22}"/>
    <cellStyle name="Normal 5 2 2 3 3 4 3 3" xfId="14482" xr:uid="{77F89D03-970C-402D-8B5F-7C045F718864}"/>
    <cellStyle name="Normal 5 2 2 3 3 4 4" xfId="18705" xr:uid="{5FEA67F5-C248-4146-A87D-AFB7081F7B98}"/>
    <cellStyle name="Normal 5 2 2 3 3 4 5" xfId="10264" xr:uid="{DEB769A7-8C98-4906-8C1E-EEF920669771}"/>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2 2 2" xfId="25481" xr:uid="{3D8AF4B4-D30A-4DD4-B2A6-F8584CBB7457}"/>
    <cellStyle name="Normal 5 2 2 3 3 5 2 2 3" xfId="17040" xr:uid="{B352E592-2C14-4133-A423-F3D2CB7C5F95}"/>
    <cellStyle name="Normal 5 2 2 3 3 5 2 3" xfId="21263" xr:uid="{997B56E1-1A8E-4E99-B8DD-5522B0869029}"/>
    <cellStyle name="Normal 5 2 2 3 3 5 2 4" xfId="12822" xr:uid="{60844005-0FA4-4F52-9B9E-7C18A693BF72}"/>
    <cellStyle name="Normal 5 2 2 3 3 5 3" xfId="6445" xr:uid="{00000000-0005-0000-0000-0000CF170000}"/>
    <cellStyle name="Normal 5 2 2 3 3 5 3 2" xfId="23336" xr:uid="{806EC2B9-12C1-4241-85D1-359FAC6EFD16}"/>
    <cellStyle name="Normal 5 2 2 3 3 5 3 3" xfId="14895" xr:uid="{77BE36C5-2F1B-4BC6-8652-CB649A745D4B}"/>
    <cellStyle name="Normal 5 2 2 3 3 5 4" xfId="19118" xr:uid="{9B215BB0-C446-4211-BD30-8E06E41075AC}"/>
    <cellStyle name="Normal 5 2 2 3 3 5 5" xfId="10677" xr:uid="{22179D69-8F97-4EE1-85EA-06A5545E234B}"/>
    <cellStyle name="Normal 5 2 2 3 3 6" xfId="2575" xr:uid="{00000000-0005-0000-0000-0000D0170000}"/>
    <cellStyle name="Normal 5 2 2 3 3 6 2" xfId="6858" xr:uid="{00000000-0005-0000-0000-0000D1170000}"/>
    <cellStyle name="Normal 5 2 2 3 3 6 2 2" xfId="23749" xr:uid="{EF51EC99-4685-4F78-AAE3-05C0094CA000}"/>
    <cellStyle name="Normal 5 2 2 3 3 6 2 3" xfId="15308" xr:uid="{9FC3AFB8-EA9A-42A5-9326-FB0B1A8A285B}"/>
    <cellStyle name="Normal 5 2 2 3 3 6 3" xfId="19531" xr:uid="{96E5DB64-2009-4849-A5ED-CBC2E7BE9FE9}"/>
    <cellStyle name="Normal 5 2 2 3 3 6 4" xfId="11090" xr:uid="{01C55BD0-311F-46DE-AA15-F0F313AE4B98}"/>
    <cellStyle name="Normal 5 2 2 3 3 7" xfId="4793" xr:uid="{00000000-0005-0000-0000-0000D2170000}"/>
    <cellStyle name="Normal 5 2 2 3 3 7 2" xfId="21684" xr:uid="{8D52D9AD-055B-4A67-8491-32D2D6C61993}"/>
    <cellStyle name="Normal 5 2 2 3 3 7 3" xfId="13243" xr:uid="{C86250BE-85E2-4C64-9168-6D5B8B5F5B58}"/>
    <cellStyle name="Normal 5 2 2 3 3 8" xfId="17466" xr:uid="{F1DACA65-6BF0-4931-9349-847BBC67D9E7}"/>
    <cellStyle name="Normal 5 2 2 3 3 9" xfId="9025" xr:uid="{B9A057AB-93FE-4E6D-8E5E-A4C5A134142B}"/>
    <cellStyle name="Normal 5 2 2 3 4" xfId="891" xr:uid="{00000000-0005-0000-0000-0000D3170000}"/>
    <cellStyle name="Normal 5 2 2 3 4 2" xfId="3126" xr:uid="{00000000-0005-0000-0000-0000D4170000}"/>
    <cellStyle name="Normal 5 2 2 3 4 2 2" xfId="7348" xr:uid="{00000000-0005-0000-0000-0000D5170000}"/>
    <cellStyle name="Normal 5 2 2 3 4 2 2 2" xfId="24239" xr:uid="{83150CF7-2E0A-4BDF-80F5-F7C273A12D7E}"/>
    <cellStyle name="Normal 5 2 2 3 4 2 2 3" xfId="15798" xr:uid="{F2A72A45-FF73-4368-99A9-0CA50F1DF581}"/>
    <cellStyle name="Normal 5 2 2 3 4 2 3" xfId="20021" xr:uid="{F246A958-CFAE-450E-9A12-5D7D851B6788}"/>
    <cellStyle name="Normal 5 2 2 3 4 2 4" xfId="11580" xr:uid="{A591FDAD-FEA6-40FC-8574-9E33E709DE2E}"/>
    <cellStyle name="Normal 5 2 2 3 4 3" xfId="5203" xr:uid="{00000000-0005-0000-0000-0000D6170000}"/>
    <cellStyle name="Normal 5 2 2 3 4 3 2" xfId="22094" xr:uid="{A4106B09-D988-445C-9437-3E7A0936CABD}"/>
    <cellStyle name="Normal 5 2 2 3 4 3 3" xfId="13653" xr:uid="{ED765F7D-982C-4928-96CD-23AC55673B2B}"/>
    <cellStyle name="Normal 5 2 2 3 4 4" xfId="17876" xr:uid="{C5B8E9EB-655A-415D-BCC0-8F93D4EAF1F4}"/>
    <cellStyle name="Normal 5 2 2 3 4 5" xfId="9435" xr:uid="{7DB185DF-87D0-4C8E-ADC6-E5AD3253B8D7}"/>
    <cellStyle name="Normal 5 2 2 3 5" xfId="1309" xr:uid="{00000000-0005-0000-0000-0000D7170000}"/>
    <cellStyle name="Normal 5 2 2 3 5 2" xfId="3539" xr:uid="{00000000-0005-0000-0000-0000D8170000}"/>
    <cellStyle name="Normal 5 2 2 3 5 2 2" xfId="7761" xr:uid="{00000000-0005-0000-0000-0000D9170000}"/>
    <cellStyle name="Normal 5 2 2 3 5 2 2 2" xfId="24652" xr:uid="{276952D9-8047-4465-A7FF-7E3EB557EE00}"/>
    <cellStyle name="Normal 5 2 2 3 5 2 2 3" xfId="16211" xr:uid="{38210D24-66F6-4002-B55B-8641AD19D901}"/>
    <cellStyle name="Normal 5 2 2 3 5 2 3" xfId="20434" xr:uid="{376FD24A-ACDA-41ED-8B48-35F2C5297F70}"/>
    <cellStyle name="Normal 5 2 2 3 5 2 4" xfId="11993" xr:uid="{3F3B7668-CB53-4080-9B74-1E4364CCF76E}"/>
    <cellStyle name="Normal 5 2 2 3 5 3" xfId="5616" xr:uid="{00000000-0005-0000-0000-0000DA170000}"/>
    <cellStyle name="Normal 5 2 2 3 5 3 2" xfId="22507" xr:uid="{C02829B3-FD08-4BCC-BDBF-D8ECDFAF4466}"/>
    <cellStyle name="Normal 5 2 2 3 5 3 3" xfId="14066" xr:uid="{97BC3A37-5A7C-40E6-96C5-2AA3151D595B}"/>
    <cellStyle name="Normal 5 2 2 3 5 4" xfId="18289" xr:uid="{8C831EEA-04EC-4B0C-9EEE-1A15D34C3FCA}"/>
    <cellStyle name="Normal 5 2 2 3 5 5" xfId="9848" xr:uid="{5E72B1AB-0AF5-45C6-8CC8-F5EE557CDEA2}"/>
    <cellStyle name="Normal 5 2 2 3 6" xfId="1722" xr:uid="{00000000-0005-0000-0000-0000DB170000}"/>
    <cellStyle name="Normal 5 2 2 3 6 2" xfId="3952" xr:uid="{00000000-0005-0000-0000-0000DC170000}"/>
    <cellStyle name="Normal 5 2 2 3 6 2 2" xfId="8174" xr:uid="{00000000-0005-0000-0000-0000DD170000}"/>
    <cellStyle name="Normal 5 2 2 3 6 2 2 2" xfId="25065" xr:uid="{C675D8F4-1E57-4EEF-88D9-1179C48E9783}"/>
    <cellStyle name="Normal 5 2 2 3 6 2 2 3" xfId="16624" xr:uid="{FB607A8A-891E-432E-BF30-97ACAD3162FA}"/>
    <cellStyle name="Normal 5 2 2 3 6 2 3" xfId="20847" xr:uid="{7210A879-9346-47A7-94F4-F3265CE4995D}"/>
    <cellStyle name="Normal 5 2 2 3 6 2 4" xfId="12406" xr:uid="{8360507D-635B-434C-8B0E-57CEB42F1270}"/>
    <cellStyle name="Normal 5 2 2 3 6 3" xfId="6029" xr:uid="{00000000-0005-0000-0000-0000DE170000}"/>
    <cellStyle name="Normal 5 2 2 3 6 3 2" xfId="22920" xr:uid="{1E4984E6-C383-4563-B698-111C228EDB0F}"/>
    <cellStyle name="Normal 5 2 2 3 6 3 3" xfId="14479" xr:uid="{0401B269-B3B2-4AB4-8C59-256A124D44CD}"/>
    <cellStyle name="Normal 5 2 2 3 6 4" xfId="18702" xr:uid="{49305F23-24BF-4ABC-A2DB-953BC1104C3C}"/>
    <cellStyle name="Normal 5 2 2 3 6 5" xfId="10261" xr:uid="{FAE5BD99-B435-4FBC-AA18-1AD48A53C84F}"/>
    <cellStyle name="Normal 5 2 2 3 7" xfId="2136" xr:uid="{00000000-0005-0000-0000-0000DF170000}"/>
    <cellStyle name="Normal 5 2 2 3 7 2" xfId="4365" xr:uid="{00000000-0005-0000-0000-0000E0170000}"/>
    <cellStyle name="Normal 5 2 2 3 7 2 2" xfId="8587" xr:uid="{00000000-0005-0000-0000-0000E1170000}"/>
    <cellStyle name="Normal 5 2 2 3 7 2 2 2" xfId="25478" xr:uid="{A03038C6-7EBC-4099-A39A-1952A7390252}"/>
    <cellStyle name="Normal 5 2 2 3 7 2 2 3" xfId="17037" xr:uid="{C0D95A21-662F-4040-AB9D-4C0A4C71698B}"/>
    <cellStyle name="Normal 5 2 2 3 7 2 3" xfId="21260" xr:uid="{3DD7EBA3-AAD8-4A22-8570-42491E1F1DE7}"/>
    <cellStyle name="Normal 5 2 2 3 7 2 4" xfId="12819" xr:uid="{BF9379B6-228D-4BED-9294-2F8D34582DF5}"/>
    <cellStyle name="Normal 5 2 2 3 7 3" xfId="6442" xr:uid="{00000000-0005-0000-0000-0000E2170000}"/>
    <cellStyle name="Normal 5 2 2 3 7 3 2" xfId="23333" xr:uid="{852D3A62-03B5-4ECA-9911-08A93046EADD}"/>
    <cellStyle name="Normal 5 2 2 3 7 3 3" xfId="14892" xr:uid="{DBADE2D0-EC98-476D-B160-730CC02538BF}"/>
    <cellStyle name="Normal 5 2 2 3 7 4" xfId="19115" xr:uid="{AED70893-AB1E-42C8-9191-4008EDA1AFC2}"/>
    <cellStyle name="Normal 5 2 2 3 7 5" xfId="10674" xr:uid="{A851425E-F292-4005-8513-A5D1AFEF75C7}"/>
    <cellStyle name="Normal 5 2 2 3 8" xfId="2572" xr:uid="{00000000-0005-0000-0000-0000E3170000}"/>
    <cellStyle name="Normal 5 2 2 3 8 2" xfId="6855" xr:uid="{00000000-0005-0000-0000-0000E4170000}"/>
    <cellStyle name="Normal 5 2 2 3 8 2 2" xfId="23746" xr:uid="{DA1C831A-4EE9-49D2-B808-BEA00B679B5D}"/>
    <cellStyle name="Normal 5 2 2 3 8 2 3" xfId="15305" xr:uid="{3DE648A1-4A1A-4A7C-A70F-3E7C07D76D59}"/>
    <cellStyle name="Normal 5 2 2 3 8 3" xfId="19528" xr:uid="{B6211EE7-3D77-4605-BC39-2D21D617BE0E}"/>
    <cellStyle name="Normal 5 2 2 3 8 4" xfId="11087" xr:uid="{F6823AF5-BE9F-4365-A3B1-C0AEE68BD4F1}"/>
    <cellStyle name="Normal 5 2 2 3 9" xfId="4790" xr:uid="{00000000-0005-0000-0000-0000E5170000}"/>
    <cellStyle name="Normal 5 2 2 3 9 2" xfId="21681" xr:uid="{30447858-D0C5-4B6E-A59B-D98AF27D96E2}"/>
    <cellStyle name="Normal 5 2 2 3 9 3" xfId="13240" xr:uid="{91CBB8D4-9056-4501-BDCB-0E86DC38C93C}"/>
    <cellStyle name="Normal 5 2 2 4" xfId="421" xr:uid="{00000000-0005-0000-0000-0000E6170000}"/>
    <cellStyle name="Normal 5 2 2 4 10" xfId="9026" xr:uid="{14BCCA80-313E-4758-92F5-43404DE0881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2 2 2" xfId="24244" xr:uid="{038F19EC-E58F-4B3E-B0FC-3C021EDC765F}"/>
    <cellStyle name="Normal 5 2 2 4 2 2 2 2 3" xfId="15803" xr:uid="{F783B302-4C62-41FA-8605-4C2AC24D9117}"/>
    <cellStyle name="Normal 5 2 2 4 2 2 2 3" xfId="20026" xr:uid="{A204AFFC-9724-4FD4-BC7C-93EF0621BBA0}"/>
    <cellStyle name="Normal 5 2 2 4 2 2 2 4" xfId="11585" xr:uid="{0E413D11-F909-4E83-9B91-85182111C3D2}"/>
    <cellStyle name="Normal 5 2 2 4 2 2 3" xfId="5208" xr:uid="{00000000-0005-0000-0000-0000EB170000}"/>
    <cellStyle name="Normal 5 2 2 4 2 2 3 2" xfId="22099" xr:uid="{77091D32-49EC-4A1C-B717-71C5FE0B16C3}"/>
    <cellStyle name="Normal 5 2 2 4 2 2 3 3" xfId="13658" xr:uid="{48763F87-BFEA-4306-8FC4-A9B875C972A4}"/>
    <cellStyle name="Normal 5 2 2 4 2 2 4" xfId="17881" xr:uid="{1ADB2552-8BCB-4858-871E-459AD555A6E8}"/>
    <cellStyle name="Normal 5 2 2 4 2 2 5" xfId="9440" xr:uid="{D4AA597C-F99B-45FA-8A3D-63C0A06B7231}"/>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2 2 2" xfId="24657" xr:uid="{A17CBA77-BF63-4B25-A623-EADC8939C90E}"/>
    <cellStyle name="Normal 5 2 2 4 2 3 2 2 3" xfId="16216" xr:uid="{DF901ED0-ED6C-40FA-93B4-946ECDE39019}"/>
    <cellStyle name="Normal 5 2 2 4 2 3 2 3" xfId="20439" xr:uid="{4D52FC41-723B-4241-A64B-4748DD5BAEF1}"/>
    <cellStyle name="Normal 5 2 2 4 2 3 2 4" xfId="11998" xr:uid="{C9F8E506-6817-4F64-81FF-FCC46563D4EF}"/>
    <cellStyle name="Normal 5 2 2 4 2 3 3" xfId="5621" xr:uid="{00000000-0005-0000-0000-0000EF170000}"/>
    <cellStyle name="Normal 5 2 2 4 2 3 3 2" xfId="22512" xr:uid="{4C68D875-C386-48C8-ADF5-DE5471FD465D}"/>
    <cellStyle name="Normal 5 2 2 4 2 3 3 3" xfId="14071" xr:uid="{5D1B6A64-F937-49EC-BB66-2D0A1589170D}"/>
    <cellStyle name="Normal 5 2 2 4 2 3 4" xfId="18294" xr:uid="{3DBD0B41-7FFD-4061-BEDC-A80FA424B2E8}"/>
    <cellStyle name="Normal 5 2 2 4 2 3 5" xfId="9853" xr:uid="{0B37D7A3-3194-4E0D-B750-D1FB2A20C914}"/>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2 2 2" xfId="25070" xr:uid="{7789169A-5F28-48D8-AC65-A5AF09420892}"/>
    <cellStyle name="Normal 5 2 2 4 2 4 2 2 3" xfId="16629" xr:uid="{2F088F5B-A06D-4C5A-BCFC-2DCABFB165A8}"/>
    <cellStyle name="Normal 5 2 2 4 2 4 2 3" xfId="20852" xr:uid="{1A604DF1-8E70-4DD2-B385-089209A5EFB7}"/>
    <cellStyle name="Normal 5 2 2 4 2 4 2 4" xfId="12411" xr:uid="{9C6C17FF-F053-4F56-8C4B-842E057C8F9B}"/>
    <cellStyle name="Normal 5 2 2 4 2 4 3" xfId="6034" xr:uid="{00000000-0005-0000-0000-0000F3170000}"/>
    <cellStyle name="Normal 5 2 2 4 2 4 3 2" xfId="22925" xr:uid="{97E4B336-5CF4-49FE-9A76-D132731E9BAD}"/>
    <cellStyle name="Normal 5 2 2 4 2 4 3 3" xfId="14484" xr:uid="{E25916E3-1D7E-4AA5-9DFD-CE9EA463F4B3}"/>
    <cellStyle name="Normal 5 2 2 4 2 4 4" xfId="18707" xr:uid="{D6B8D65C-86FB-41F9-B584-680D5EF03700}"/>
    <cellStyle name="Normal 5 2 2 4 2 4 5" xfId="10266" xr:uid="{EBC8F1A8-86C0-4D08-82C6-1BCF17AE5699}"/>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2 2 2" xfId="25483" xr:uid="{9D081F94-7491-465E-BFBA-3F8FFC5A1C0F}"/>
    <cellStyle name="Normal 5 2 2 4 2 5 2 2 3" xfId="17042" xr:uid="{CAA5F46D-A465-4CC4-B688-7A14C1DD30FD}"/>
    <cellStyle name="Normal 5 2 2 4 2 5 2 3" xfId="21265" xr:uid="{C04B92F8-6904-4255-9380-5A843CAD33FF}"/>
    <cellStyle name="Normal 5 2 2 4 2 5 2 4" xfId="12824" xr:uid="{9F76B3C6-6E16-4C45-95DE-5FB6F2899E41}"/>
    <cellStyle name="Normal 5 2 2 4 2 5 3" xfId="6447" xr:uid="{00000000-0005-0000-0000-0000F7170000}"/>
    <cellStyle name="Normal 5 2 2 4 2 5 3 2" xfId="23338" xr:uid="{E4820F74-C4FC-4D88-AE78-F604FC2FDB28}"/>
    <cellStyle name="Normal 5 2 2 4 2 5 3 3" xfId="14897" xr:uid="{002E6ADB-6D07-48AF-A383-0CA87E2CF3D2}"/>
    <cellStyle name="Normal 5 2 2 4 2 5 4" xfId="19120" xr:uid="{A1CE67DB-2AA5-414C-BB37-BCC480CB4E4F}"/>
    <cellStyle name="Normal 5 2 2 4 2 5 5" xfId="10679" xr:uid="{F7FB1E7A-F24B-4559-AB04-D79C95CA5C4B}"/>
    <cellStyle name="Normal 5 2 2 4 2 6" xfId="2577" xr:uid="{00000000-0005-0000-0000-0000F8170000}"/>
    <cellStyle name="Normal 5 2 2 4 2 6 2" xfId="6860" xr:uid="{00000000-0005-0000-0000-0000F9170000}"/>
    <cellStyle name="Normal 5 2 2 4 2 6 2 2" xfId="23751" xr:uid="{255E2F00-14D7-4EA5-BE78-B30C3805BA73}"/>
    <cellStyle name="Normal 5 2 2 4 2 6 2 3" xfId="15310" xr:uid="{48CEF929-C035-4F9E-AF08-546E1D5A36B3}"/>
    <cellStyle name="Normal 5 2 2 4 2 6 3" xfId="19533" xr:uid="{FFF67DD7-4BF3-4672-9FF0-5082C543AC1A}"/>
    <cellStyle name="Normal 5 2 2 4 2 6 4" xfId="11092" xr:uid="{3192454C-AAD5-41BF-8C85-EF9C0DB231CA}"/>
    <cellStyle name="Normal 5 2 2 4 2 7" xfId="4795" xr:uid="{00000000-0005-0000-0000-0000FA170000}"/>
    <cellStyle name="Normal 5 2 2 4 2 7 2" xfId="21686" xr:uid="{61913DDA-0975-45F4-B3BC-9FD697835FF4}"/>
    <cellStyle name="Normal 5 2 2 4 2 7 3" xfId="13245" xr:uid="{DCFBE846-2542-4120-8007-FF8245D217D2}"/>
    <cellStyle name="Normal 5 2 2 4 2 8" xfId="17468" xr:uid="{4E079E77-E8EB-46EA-BBD8-372D4DBEA993}"/>
    <cellStyle name="Normal 5 2 2 4 2 9" xfId="9027" xr:uid="{5BCBDE03-C13E-4FA8-B636-B24A9B2D8F07}"/>
    <cellStyle name="Normal 5 2 2 4 3" xfId="895" xr:uid="{00000000-0005-0000-0000-0000FB170000}"/>
    <cellStyle name="Normal 5 2 2 4 3 2" xfId="3130" xr:uid="{00000000-0005-0000-0000-0000FC170000}"/>
    <cellStyle name="Normal 5 2 2 4 3 2 2" xfId="7352" xr:uid="{00000000-0005-0000-0000-0000FD170000}"/>
    <cellStyle name="Normal 5 2 2 4 3 2 2 2" xfId="24243" xr:uid="{F833F15E-B1AA-4494-9712-1C100CC6C9B1}"/>
    <cellStyle name="Normal 5 2 2 4 3 2 2 3" xfId="15802" xr:uid="{898A5FB2-7246-4A15-95BE-F17D5FFAB2BD}"/>
    <cellStyle name="Normal 5 2 2 4 3 2 3" xfId="20025" xr:uid="{1367756E-73BB-4998-96C6-DF0F8D863A44}"/>
    <cellStyle name="Normal 5 2 2 4 3 2 4" xfId="11584" xr:uid="{5787838F-0B88-4741-AA4E-F7F07D32FBF8}"/>
    <cellStyle name="Normal 5 2 2 4 3 3" xfId="5207" xr:uid="{00000000-0005-0000-0000-0000FE170000}"/>
    <cellStyle name="Normal 5 2 2 4 3 3 2" xfId="22098" xr:uid="{8B40B989-3C3A-465F-97E5-C5D4BCEB2D03}"/>
    <cellStyle name="Normal 5 2 2 4 3 3 3" xfId="13657" xr:uid="{D97E1D25-2834-4161-8C8F-F5BE2AA90AE6}"/>
    <cellStyle name="Normal 5 2 2 4 3 4" xfId="17880" xr:uid="{5AC4638F-6B47-448B-B249-69DEC46ACEFE}"/>
    <cellStyle name="Normal 5 2 2 4 3 5" xfId="9439" xr:uid="{0695B2D0-70CF-4747-AA42-C4E4A0F3ED96}"/>
    <cellStyle name="Normal 5 2 2 4 4" xfId="1313" xr:uid="{00000000-0005-0000-0000-0000FF170000}"/>
    <cellStyle name="Normal 5 2 2 4 4 2" xfId="3543" xr:uid="{00000000-0005-0000-0000-000000180000}"/>
    <cellStyle name="Normal 5 2 2 4 4 2 2" xfId="7765" xr:uid="{00000000-0005-0000-0000-000001180000}"/>
    <cellStyle name="Normal 5 2 2 4 4 2 2 2" xfId="24656" xr:uid="{0386A697-D7AB-45E4-A74D-1170E7A66646}"/>
    <cellStyle name="Normal 5 2 2 4 4 2 2 3" xfId="16215" xr:uid="{4DFAA7DD-D381-40A4-BDAB-A1B275A8E759}"/>
    <cellStyle name="Normal 5 2 2 4 4 2 3" xfId="20438" xr:uid="{B94335EE-B0B4-40DB-9F3A-F593640D68B7}"/>
    <cellStyle name="Normal 5 2 2 4 4 2 4" xfId="11997" xr:uid="{F0F6393A-B718-48DE-8A3C-FA60229F1C29}"/>
    <cellStyle name="Normal 5 2 2 4 4 3" xfId="5620" xr:uid="{00000000-0005-0000-0000-000002180000}"/>
    <cellStyle name="Normal 5 2 2 4 4 3 2" xfId="22511" xr:uid="{9D992E39-64C0-4763-A84A-D561269839E1}"/>
    <cellStyle name="Normal 5 2 2 4 4 3 3" xfId="14070" xr:uid="{25228E79-6987-444D-A584-2185A21D6157}"/>
    <cellStyle name="Normal 5 2 2 4 4 4" xfId="18293" xr:uid="{5714FACF-534B-4844-9197-80AB2C36A292}"/>
    <cellStyle name="Normal 5 2 2 4 4 5" xfId="9852" xr:uid="{45067BC2-FD82-4C8D-8304-6080375F54D7}"/>
    <cellStyle name="Normal 5 2 2 4 5" xfId="1726" xr:uid="{00000000-0005-0000-0000-000003180000}"/>
    <cellStyle name="Normal 5 2 2 4 5 2" xfId="3956" xr:uid="{00000000-0005-0000-0000-000004180000}"/>
    <cellStyle name="Normal 5 2 2 4 5 2 2" xfId="8178" xr:uid="{00000000-0005-0000-0000-000005180000}"/>
    <cellStyle name="Normal 5 2 2 4 5 2 2 2" xfId="25069" xr:uid="{19FA3FAC-15BE-442F-81AE-F39A7178B851}"/>
    <cellStyle name="Normal 5 2 2 4 5 2 2 3" xfId="16628" xr:uid="{EF3A059C-B991-403C-A254-FE947AA59801}"/>
    <cellStyle name="Normal 5 2 2 4 5 2 3" xfId="20851" xr:uid="{2A605518-A168-4EB1-973E-37150880371B}"/>
    <cellStyle name="Normal 5 2 2 4 5 2 4" xfId="12410" xr:uid="{342A513C-B923-4FE3-9B81-6B07A20297BD}"/>
    <cellStyle name="Normal 5 2 2 4 5 3" xfId="6033" xr:uid="{00000000-0005-0000-0000-000006180000}"/>
    <cellStyle name="Normal 5 2 2 4 5 3 2" xfId="22924" xr:uid="{A9D60F12-382C-4F14-B7AF-095E18325312}"/>
    <cellStyle name="Normal 5 2 2 4 5 3 3" xfId="14483" xr:uid="{E2DCA08C-69F2-4CD2-BB7C-15EE5B49643C}"/>
    <cellStyle name="Normal 5 2 2 4 5 4" xfId="18706" xr:uid="{7EBEFF1F-FE71-4B5C-95D1-8638D991671D}"/>
    <cellStyle name="Normal 5 2 2 4 5 5" xfId="10265" xr:uid="{83ED4888-99CD-4E31-A1D1-91DF0FC73850}"/>
    <cellStyle name="Normal 5 2 2 4 6" xfId="2140" xr:uid="{00000000-0005-0000-0000-000007180000}"/>
    <cellStyle name="Normal 5 2 2 4 6 2" xfId="4369" xr:uid="{00000000-0005-0000-0000-000008180000}"/>
    <cellStyle name="Normal 5 2 2 4 6 2 2" xfId="8591" xr:uid="{00000000-0005-0000-0000-000009180000}"/>
    <cellStyle name="Normal 5 2 2 4 6 2 2 2" xfId="25482" xr:uid="{EFD5223C-00C0-486C-8A78-48A9BF71274F}"/>
    <cellStyle name="Normal 5 2 2 4 6 2 2 3" xfId="17041" xr:uid="{1C6C4EDE-E55E-4470-804C-9C1E29ECDF6B}"/>
    <cellStyle name="Normal 5 2 2 4 6 2 3" xfId="21264" xr:uid="{3DAE1E4C-F4B3-4C4E-8ACA-A023CC059DFC}"/>
    <cellStyle name="Normal 5 2 2 4 6 2 4" xfId="12823" xr:uid="{CD2A70ED-3332-48D6-A4C5-1974B12ECB79}"/>
    <cellStyle name="Normal 5 2 2 4 6 3" xfId="6446" xr:uid="{00000000-0005-0000-0000-00000A180000}"/>
    <cellStyle name="Normal 5 2 2 4 6 3 2" xfId="23337" xr:uid="{400BC3C3-775F-4D26-828C-7C7C80682CA6}"/>
    <cellStyle name="Normal 5 2 2 4 6 3 3" xfId="14896" xr:uid="{9D831A28-1E62-44A9-8306-47EBCB441722}"/>
    <cellStyle name="Normal 5 2 2 4 6 4" xfId="19119" xr:uid="{09F4C591-FF39-4F45-9F92-1824258065EE}"/>
    <cellStyle name="Normal 5 2 2 4 6 5" xfId="10678" xr:uid="{679F90E4-F8DF-4CAA-8CA3-B2F9EE0E5183}"/>
    <cellStyle name="Normal 5 2 2 4 7" xfId="2576" xr:uid="{00000000-0005-0000-0000-00000B180000}"/>
    <cellStyle name="Normal 5 2 2 4 7 2" xfId="6859" xr:uid="{00000000-0005-0000-0000-00000C180000}"/>
    <cellStyle name="Normal 5 2 2 4 7 2 2" xfId="23750" xr:uid="{F3590285-877E-45E3-80C7-4D258353F472}"/>
    <cellStyle name="Normal 5 2 2 4 7 2 3" xfId="15309" xr:uid="{6D2722EB-119B-4C35-A5D4-B5C80C51C661}"/>
    <cellStyle name="Normal 5 2 2 4 7 3" xfId="19532" xr:uid="{928C8A0F-C97D-414A-9848-8707F711F683}"/>
    <cellStyle name="Normal 5 2 2 4 7 4" xfId="11091" xr:uid="{EDC8AFD0-6C45-4BA3-A4CC-5D1D781948B5}"/>
    <cellStyle name="Normal 5 2 2 4 8" xfId="4794" xr:uid="{00000000-0005-0000-0000-00000D180000}"/>
    <cellStyle name="Normal 5 2 2 4 8 2" xfId="21685" xr:uid="{DD624E0D-40AA-49F9-999F-1750775C80B1}"/>
    <cellStyle name="Normal 5 2 2 4 8 3" xfId="13244" xr:uid="{1B071CF6-E9BA-460B-AF18-B2A366950AEA}"/>
    <cellStyle name="Normal 5 2 2 4 9" xfId="17467" xr:uid="{07DC9FE1-1DA0-46A2-98A3-6C9EC3EA04F2}"/>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2 2 2" xfId="24245" xr:uid="{A457F6ED-6442-4A86-823B-50DDA3B6AF0A}"/>
    <cellStyle name="Normal 5 2 2 5 2 2 2 3" xfId="15804" xr:uid="{6B8121C8-A98B-4654-A143-B9E4AA79C535}"/>
    <cellStyle name="Normal 5 2 2 5 2 2 3" xfId="20027" xr:uid="{8452906A-8CFC-4C51-B445-1CCDCF993F8A}"/>
    <cellStyle name="Normal 5 2 2 5 2 2 4" xfId="11586" xr:uid="{717FA3C1-E8E9-49A6-836B-290611CB0E91}"/>
    <cellStyle name="Normal 5 2 2 5 2 3" xfId="5209" xr:uid="{00000000-0005-0000-0000-000012180000}"/>
    <cellStyle name="Normal 5 2 2 5 2 3 2" xfId="22100" xr:uid="{F35FA62E-84EF-47E7-8330-D32479E05329}"/>
    <cellStyle name="Normal 5 2 2 5 2 3 3" xfId="13659" xr:uid="{A8611B6E-4AA9-4DB0-916D-4E31AA040A0B}"/>
    <cellStyle name="Normal 5 2 2 5 2 4" xfId="17882" xr:uid="{E8FCF52F-C2EB-47A6-AFCB-741F0DB57B9B}"/>
    <cellStyle name="Normal 5 2 2 5 2 5" xfId="9441" xr:uid="{CFEC2669-69D1-402A-A1C9-4741C7D608CF}"/>
    <cellStyle name="Normal 5 2 2 5 3" xfId="1315" xr:uid="{00000000-0005-0000-0000-000013180000}"/>
    <cellStyle name="Normal 5 2 2 5 3 2" xfId="3545" xr:uid="{00000000-0005-0000-0000-000014180000}"/>
    <cellStyle name="Normal 5 2 2 5 3 2 2" xfId="7767" xr:uid="{00000000-0005-0000-0000-000015180000}"/>
    <cellStyle name="Normal 5 2 2 5 3 2 2 2" xfId="24658" xr:uid="{BF460554-648B-4D2B-85A6-8ACC5B2BC37E}"/>
    <cellStyle name="Normal 5 2 2 5 3 2 2 3" xfId="16217" xr:uid="{BB4AAA88-AD25-4CFD-9B58-2444FEDDBC30}"/>
    <cellStyle name="Normal 5 2 2 5 3 2 3" xfId="20440" xr:uid="{5873DDC0-3DA9-4023-97C4-1F621B4DEEB1}"/>
    <cellStyle name="Normal 5 2 2 5 3 2 4" xfId="11999" xr:uid="{9DC8FE18-1B9A-44C2-935A-C80B176354C0}"/>
    <cellStyle name="Normal 5 2 2 5 3 3" xfId="5622" xr:uid="{00000000-0005-0000-0000-000016180000}"/>
    <cellStyle name="Normal 5 2 2 5 3 3 2" xfId="22513" xr:uid="{B07797DE-E5AF-43B7-8F49-CDF15B74A6AE}"/>
    <cellStyle name="Normal 5 2 2 5 3 3 3" xfId="14072" xr:uid="{AA01E0A9-1E8E-45CB-9410-FF29719EDF16}"/>
    <cellStyle name="Normal 5 2 2 5 3 4" xfId="18295" xr:uid="{191C05EA-2F8F-4AE4-89A8-0875B6770255}"/>
    <cellStyle name="Normal 5 2 2 5 3 5" xfId="9854" xr:uid="{06B7AA93-68C9-4935-BC1E-7ECC344843FC}"/>
    <cellStyle name="Normal 5 2 2 5 4" xfId="1728" xr:uid="{00000000-0005-0000-0000-000017180000}"/>
    <cellStyle name="Normal 5 2 2 5 4 2" xfId="3958" xr:uid="{00000000-0005-0000-0000-000018180000}"/>
    <cellStyle name="Normal 5 2 2 5 4 2 2" xfId="8180" xr:uid="{00000000-0005-0000-0000-000019180000}"/>
    <cellStyle name="Normal 5 2 2 5 4 2 2 2" xfId="25071" xr:uid="{206BB115-3B1B-45A8-82B2-23A7BB4561C5}"/>
    <cellStyle name="Normal 5 2 2 5 4 2 2 3" xfId="16630" xr:uid="{123EA8CD-563C-41D0-9F09-3FE04C9C9240}"/>
    <cellStyle name="Normal 5 2 2 5 4 2 3" xfId="20853" xr:uid="{548AAADB-2A1E-4509-A193-6AA01C667A85}"/>
    <cellStyle name="Normal 5 2 2 5 4 2 4" xfId="12412" xr:uid="{2A7986FD-FF54-45AC-B79D-C15E8FAD9BA8}"/>
    <cellStyle name="Normal 5 2 2 5 4 3" xfId="6035" xr:uid="{00000000-0005-0000-0000-00001A180000}"/>
    <cellStyle name="Normal 5 2 2 5 4 3 2" xfId="22926" xr:uid="{3ED13BCE-848B-45A5-9D02-BC6DBC3CC0F1}"/>
    <cellStyle name="Normal 5 2 2 5 4 3 3" xfId="14485" xr:uid="{8FCC7694-4323-434C-9B09-D8E80D6B122F}"/>
    <cellStyle name="Normal 5 2 2 5 4 4" xfId="18708" xr:uid="{E419DC30-2F54-4A87-BD04-FB1585FF9FB6}"/>
    <cellStyle name="Normal 5 2 2 5 4 5" xfId="10267" xr:uid="{D848C76F-FADF-4B4E-9605-014087C210AD}"/>
    <cellStyle name="Normal 5 2 2 5 5" xfId="2142" xr:uid="{00000000-0005-0000-0000-00001B180000}"/>
    <cellStyle name="Normal 5 2 2 5 5 2" xfId="4371" xr:uid="{00000000-0005-0000-0000-00001C180000}"/>
    <cellStyle name="Normal 5 2 2 5 5 2 2" xfId="8593" xr:uid="{00000000-0005-0000-0000-00001D180000}"/>
    <cellStyle name="Normal 5 2 2 5 5 2 2 2" xfId="25484" xr:uid="{89F80B51-510A-4B20-AE3B-9F8F522B04C4}"/>
    <cellStyle name="Normal 5 2 2 5 5 2 2 3" xfId="17043" xr:uid="{78E1044C-BAB0-434F-91B1-29DC80F8394C}"/>
    <cellStyle name="Normal 5 2 2 5 5 2 3" xfId="21266" xr:uid="{77B269FB-75E2-4E35-949B-98B3D931EF54}"/>
    <cellStyle name="Normal 5 2 2 5 5 2 4" xfId="12825" xr:uid="{ADF1E64D-CCCA-4B67-B7ED-909AE36366C8}"/>
    <cellStyle name="Normal 5 2 2 5 5 3" xfId="6448" xr:uid="{00000000-0005-0000-0000-00001E180000}"/>
    <cellStyle name="Normal 5 2 2 5 5 3 2" xfId="23339" xr:uid="{BD8F4571-33F9-4AEE-995C-D85E953A3A07}"/>
    <cellStyle name="Normal 5 2 2 5 5 3 3" xfId="14898" xr:uid="{E49FD0ED-B078-4A2C-8728-FD6AE0CF2441}"/>
    <cellStyle name="Normal 5 2 2 5 5 4" xfId="19121" xr:uid="{554C1B7E-8725-45EC-8C46-D8A540C741DC}"/>
    <cellStyle name="Normal 5 2 2 5 5 5" xfId="10680" xr:uid="{8E3F26FA-00F5-47F3-B68C-D6F34D01B2CF}"/>
    <cellStyle name="Normal 5 2 2 5 6" xfId="2578" xr:uid="{00000000-0005-0000-0000-00001F180000}"/>
    <cellStyle name="Normal 5 2 2 5 6 2" xfId="6861" xr:uid="{00000000-0005-0000-0000-000020180000}"/>
    <cellStyle name="Normal 5 2 2 5 6 2 2" xfId="23752" xr:uid="{05D8B730-2141-41FC-969A-0F6644067592}"/>
    <cellStyle name="Normal 5 2 2 5 6 2 3" xfId="15311" xr:uid="{9F00E9C8-7C18-4070-B92E-B39635AAF3B5}"/>
    <cellStyle name="Normal 5 2 2 5 6 3" xfId="19534" xr:uid="{E6F78939-949F-49B9-9A87-0DB419DBE071}"/>
    <cellStyle name="Normal 5 2 2 5 6 4" xfId="11093" xr:uid="{372901D7-046C-45EB-BE12-008CFC4E6DD2}"/>
    <cellStyle name="Normal 5 2 2 5 7" xfId="4796" xr:uid="{00000000-0005-0000-0000-000021180000}"/>
    <cellStyle name="Normal 5 2 2 5 7 2" xfId="21687" xr:uid="{F9478A07-DBEE-4388-8FDB-36B3AEF1733E}"/>
    <cellStyle name="Normal 5 2 2 5 7 3" xfId="13246" xr:uid="{6606E1EB-D84C-43A8-97DA-7C8BC053BC78}"/>
    <cellStyle name="Normal 5 2 2 5 8" xfId="17469" xr:uid="{7D80F56D-18F2-4D62-B21E-C1A057E62446}"/>
    <cellStyle name="Normal 5 2 2 5 9" xfId="9028" xr:uid="{22B9C5A6-0DFA-4E7D-A6F0-2E898552D530}"/>
    <cellStyle name="Normal 5 2 2 6" xfId="882" xr:uid="{00000000-0005-0000-0000-000022180000}"/>
    <cellStyle name="Normal 5 2 2 6 2" xfId="3117" xr:uid="{00000000-0005-0000-0000-000023180000}"/>
    <cellStyle name="Normal 5 2 2 6 2 2" xfId="7339" xr:uid="{00000000-0005-0000-0000-000024180000}"/>
    <cellStyle name="Normal 5 2 2 6 2 2 2" xfId="24230" xr:uid="{1BA1B850-DCD1-4301-B263-9BAD3154B1A9}"/>
    <cellStyle name="Normal 5 2 2 6 2 2 3" xfId="15789" xr:uid="{8D52C62E-B6EE-419E-876C-1EB98D0E0B9C}"/>
    <cellStyle name="Normal 5 2 2 6 2 3" xfId="20012" xr:uid="{EFDF4CA1-A0E8-4E25-A6D6-6B956283A0B8}"/>
    <cellStyle name="Normal 5 2 2 6 2 4" xfId="11571" xr:uid="{C085648B-231A-4083-9CA5-C3BFA7A07501}"/>
    <cellStyle name="Normal 5 2 2 6 3" xfId="5194" xr:uid="{00000000-0005-0000-0000-000025180000}"/>
    <cellStyle name="Normal 5 2 2 6 3 2" xfId="22085" xr:uid="{C91F4352-986D-47C8-AC81-EE6D5F44C65D}"/>
    <cellStyle name="Normal 5 2 2 6 3 3" xfId="13644" xr:uid="{57FDE672-E999-4404-A60F-42A1D4721F55}"/>
    <cellStyle name="Normal 5 2 2 6 4" xfId="17867" xr:uid="{AB56F299-D8AB-4BA9-8D24-D43B506C7179}"/>
    <cellStyle name="Normal 5 2 2 6 5" xfId="9426" xr:uid="{8A898351-4913-4E26-A181-42917B0AE8A6}"/>
    <cellStyle name="Normal 5 2 2 7" xfId="1300" xr:uid="{00000000-0005-0000-0000-000026180000}"/>
    <cellStyle name="Normal 5 2 2 7 2" xfId="3530" xr:uid="{00000000-0005-0000-0000-000027180000}"/>
    <cellStyle name="Normal 5 2 2 7 2 2" xfId="7752" xr:uid="{00000000-0005-0000-0000-000028180000}"/>
    <cellStyle name="Normal 5 2 2 7 2 2 2" xfId="24643" xr:uid="{215E1222-458E-41C0-9CA9-8BEF1D1BCDC7}"/>
    <cellStyle name="Normal 5 2 2 7 2 2 3" xfId="16202" xr:uid="{C9361424-1D16-4654-89E5-49392A9014A7}"/>
    <cellStyle name="Normal 5 2 2 7 2 3" xfId="20425" xr:uid="{FE2F30A9-569E-4FA1-BA80-2121CE9769B5}"/>
    <cellStyle name="Normal 5 2 2 7 2 4" xfId="11984" xr:uid="{2DFE4CC8-71E0-4940-9399-F1E08F13478A}"/>
    <cellStyle name="Normal 5 2 2 7 3" xfId="5607" xr:uid="{00000000-0005-0000-0000-000029180000}"/>
    <cellStyle name="Normal 5 2 2 7 3 2" xfId="22498" xr:uid="{0AC795F8-27FF-410E-B693-C2B926DC1BCD}"/>
    <cellStyle name="Normal 5 2 2 7 3 3" xfId="14057" xr:uid="{134A0AF4-F747-4F46-A6D7-85028EECD4DB}"/>
    <cellStyle name="Normal 5 2 2 7 4" xfId="18280" xr:uid="{EAB5CD8F-1DB6-4552-8DC0-32F6C4D3E72D}"/>
    <cellStyle name="Normal 5 2 2 7 5" xfId="9839" xr:uid="{8D5E4C50-9559-4BD7-A40C-8C29C345BBCE}"/>
    <cellStyle name="Normal 5 2 2 8" xfId="1713" xr:uid="{00000000-0005-0000-0000-00002A180000}"/>
    <cellStyle name="Normal 5 2 2 8 2" xfId="3943" xr:uid="{00000000-0005-0000-0000-00002B180000}"/>
    <cellStyle name="Normal 5 2 2 8 2 2" xfId="8165" xr:uid="{00000000-0005-0000-0000-00002C180000}"/>
    <cellStyle name="Normal 5 2 2 8 2 2 2" xfId="25056" xr:uid="{DBC8A7D7-BE09-4428-8031-699639624AC2}"/>
    <cellStyle name="Normal 5 2 2 8 2 2 3" xfId="16615" xr:uid="{D1646860-587B-4427-A740-E51B5E23D9F2}"/>
    <cellStyle name="Normal 5 2 2 8 2 3" xfId="20838" xr:uid="{A0785EEA-0B50-4F4A-A751-5702A4D90EF0}"/>
    <cellStyle name="Normal 5 2 2 8 2 4" xfId="12397" xr:uid="{7B9C3A66-530E-4723-A9E9-FBEBC003C9D9}"/>
    <cellStyle name="Normal 5 2 2 8 3" xfId="6020" xr:uid="{00000000-0005-0000-0000-00002D180000}"/>
    <cellStyle name="Normal 5 2 2 8 3 2" xfId="22911" xr:uid="{00D45106-98F2-4750-A934-057FFDE47D5B}"/>
    <cellStyle name="Normal 5 2 2 8 3 3" xfId="14470" xr:uid="{6A752946-7F3F-4D6E-9A4C-9AD9467184F6}"/>
    <cellStyle name="Normal 5 2 2 8 4" xfId="18693" xr:uid="{423E0EC2-D61B-49C0-8F03-54F484F6AEB2}"/>
    <cellStyle name="Normal 5 2 2 8 5" xfId="10252" xr:uid="{26CD1A74-A21D-488A-932C-226B659C1435}"/>
    <cellStyle name="Normal 5 2 2 9" xfId="2127" xr:uid="{00000000-0005-0000-0000-00002E180000}"/>
    <cellStyle name="Normal 5 2 2 9 2" xfId="4356" xr:uid="{00000000-0005-0000-0000-00002F180000}"/>
    <cellStyle name="Normal 5 2 2 9 2 2" xfId="8578" xr:uid="{00000000-0005-0000-0000-000030180000}"/>
    <cellStyle name="Normal 5 2 2 9 2 2 2" xfId="25469" xr:uid="{C6998CA4-C5AB-4030-BDB3-FDEDEAC14212}"/>
    <cellStyle name="Normal 5 2 2 9 2 2 3" xfId="17028" xr:uid="{D6530432-D48C-4608-ADC6-DEF1288617A3}"/>
    <cellStyle name="Normal 5 2 2 9 2 3" xfId="21251" xr:uid="{32FC091C-B688-47AD-8480-88317382D10A}"/>
    <cellStyle name="Normal 5 2 2 9 2 4" xfId="12810" xr:uid="{3639987D-AA8C-44AB-AFBE-2267FD785CED}"/>
    <cellStyle name="Normal 5 2 2 9 3" xfId="6433" xr:uid="{00000000-0005-0000-0000-000031180000}"/>
    <cellStyle name="Normal 5 2 2 9 3 2" xfId="23324" xr:uid="{D4EC1253-9240-4D35-89C9-2E9BD7CDA88C}"/>
    <cellStyle name="Normal 5 2 2 9 3 3" xfId="14883" xr:uid="{B376804B-BF7F-4514-ADD8-41BD68AC5B45}"/>
    <cellStyle name="Normal 5 2 2 9 4" xfId="19106" xr:uid="{9E4F39B6-C9CE-4EE4-98CB-CEC8B8DCE103}"/>
    <cellStyle name="Normal 5 2 2 9 5" xfId="10665" xr:uid="{930FCE3F-1DAE-49E3-9BF1-1B0B97C647E7}"/>
    <cellStyle name="Normal 5 2 3" xfId="424" xr:uid="{00000000-0005-0000-0000-000032180000}"/>
    <cellStyle name="Normal 5 2 3 10" xfId="4797" xr:uid="{00000000-0005-0000-0000-000033180000}"/>
    <cellStyle name="Normal 5 2 3 10 2" xfId="21688" xr:uid="{3C457633-D9A2-4DC6-84D6-DD1B6037FB64}"/>
    <cellStyle name="Normal 5 2 3 10 3" xfId="13247" xr:uid="{01086BC8-84B4-4F2B-B6A5-42278F53AC84}"/>
    <cellStyle name="Normal 5 2 3 11" xfId="17470" xr:uid="{C0B22622-FBA1-498E-890C-3D686DBEC1FC}"/>
    <cellStyle name="Normal 5 2 3 12" xfId="9029" xr:uid="{3581A7BC-74B0-4CEF-B8CB-C3E104508135}"/>
    <cellStyle name="Normal 5 2 3 2" xfId="425" xr:uid="{00000000-0005-0000-0000-000034180000}"/>
    <cellStyle name="Normal 5 2 3 2 10" xfId="17471" xr:uid="{6C1D9587-C806-4B72-B9A2-E23AB76CB784}"/>
    <cellStyle name="Normal 5 2 3 2 11" xfId="9030" xr:uid="{60C7F653-4937-4412-B04A-429B3FE237D4}"/>
    <cellStyle name="Normal 5 2 3 2 2" xfId="426" xr:uid="{00000000-0005-0000-0000-000035180000}"/>
    <cellStyle name="Normal 5 2 3 2 2 10" xfId="9031" xr:uid="{ED2FA25D-948C-46FA-BEB7-3B311AE23A23}"/>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2 2 2" xfId="24249" xr:uid="{4FB968F8-FA6F-4FDD-873B-D6660B37B76F}"/>
    <cellStyle name="Normal 5 2 3 2 2 2 2 2 2 3" xfId="15808" xr:uid="{1C9493B3-DF0C-4E08-9B1D-00BC9FCB8D80}"/>
    <cellStyle name="Normal 5 2 3 2 2 2 2 2 3" xfId="20031" xr:uid="{DECC0993-7910-4F45-BF81-E884BFE661A3}"/>
    <cellStyle name="Normal 5 2 3 2 2 2 2 2 4" xfId="11590" xr:uid="{0F9EF078-E3D4-4D3E-9638-58C1B03DB33C}"/>
    <cellStyle name="Normal 5 2 3 2 2 2 2 3" xfId="5213" xr:uid="{00000000-0005-0000-0000-00003A180000}"/>
    <cellStyle name="Normal 5 2 3 2 2 2 2 3 2" xfId="22104" xr:uid="{D976CA30-30B2-4056-B7C2-ABA1BE7461AD}"/>
    <cellStyle name="Normal 5 2 3 2 2 2 2 3 3" xfId="13663" xr:uid="{5EA78114-9A27-4782-9A73-262893E28D27}"/>
    <cellStyle name="Normal 5 2 3 2 2 2 2 4" xfId="17886" xr:uid="{F6AADE18-4678-4BDA-91DC-ECEC8DF96980}"/>
    <cellStyle name="Normal 5 2 3 2 2 2 2 5" xfId="9445" xr:uid="{3B46BA26-15E9-45B5-B8D9-C2FD40E4BCA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2 2 2" xfId="24662" xr:uid="{AB8EAF6C-0002-42DF-AB4E-8EBADEB10B01}"/>
    <cellStyle name="Normal 5 2 3 2 2 2 3 2 2 3" xfId="16221" xr:uid="{4F0F2A7E-2A45-4802-B43D-3FC43877F69C}"/>
    <cellStyle name="Normal 5 2 3 2 2 2 3 2 3" xfId="20444" xr:uid="{BE2DDEAF-0774-43E3-B027-CFDFA2B4FEBF}"/>
    <cellStyle name="Normal 5 2 3 2 2 2 3 2 4" xfId="12003" xr:uid="{E665BB11-FE12-4756-9A19-EB322259FDDE}"/>
    <cellStyle name="Normal 5 2 3 2 2 2 3 3" xfId="5626" xr:uid="{00000000-0005-0000-0000-00003E180000}"/>
    <cellStyle name="Normal 5 2 3 2 2 2 3 3 2" xfId="22517" xr:uid="{94CB6D66-93AD-4C45-837E-0E33FF8E3EDF}"/>
    <cellStyle name="Normal 5 2 3 2 2 2 3 3 3" xfId="14076" xr:uid="{14A6DB43-5839-4513-9DAA-2186EE61AA0B}"/>
    <cellStyle name="Normal 5 2 3 2 2 2 3 4" xfId="18299" xr:uid="{9C295221-67BC-475A-8F9C-4099FE1D5341}"/>
    <cellStyle name="Normal 5 2 3 2 2 2 3 5" xfId="9858" xr:uid="{E72B25A3-4CA5-4287-A258-EF33C79F5BAF}"/>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2 2 2" xfId="25075" xr:uid="{89659811-F926-40ED-8F0B-1F3E134DCC8C}"/>
    <cellStyle name="Normal 5 2 3 2 2 2 4 2 2 3" xfId="16634" xr:uid="{7FB79545-FE85-4056-BEFF-2000CDFF8A87}"/>
    <cellStyle name="Normal 5 2 3 2 2 2 4 2 3" xfId="20857" xr:uid="{2455EC70-0E13-41B1-A51F-C8D49E17DBFC}"/>
    <cellStyle name="Normal 5 2 3 2 2 2 4 2 4" xfId="12416" xr:uid="{963CDBDB-573F-4812-80ED-42D635F56F44}"/>
    <cellStyle name="Normal 5 2 3 2 2 2 4 3" xfId="6039" xr:uid="{00000000-0005-0000-0000-000042180000}"/>
    <cellStyle name="Normal 5 2 3 2 2 2 4 3 2" xfId="22930" xr:uid="{D8ED612E-A556-4A38-9964-3D7E9558DABB}"/>
    <cellStyle name="Normal 5 2 3 2 2 2 4 3 3" xfId="14489" xr:uid="{35E4E9FD-6595-4C07-AC9E-AD380C10767C}"/>
    <cellStyle name="Normal 5 2 3 2 2 2 4 4" xfId="18712" xr:uid="{2568A891-4C00-4C54-8AEC-6EC38425F3DE}"/>
    <cellStyle name="Normal 5 2 3 2 2 2 4 5" xfId="10271" xr:uid="{C6C59023-BCA2-4111-A30A-B008979D172A}"/>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2 2 2" xfId="25488" xr:uid="{2C4BF590-F5D0-4421-A1F8-2D4302DBC0B1}"/>
    <cellStyle name="Normal 5 2 3 2 2 2 5 2 2 3" xfId="17047" xr:uid="{C56D49B0-0890-4BC1-9E62-E5AFA4A27E5B}"/>
    <cellStyle name="Normal 5 2 3 2 2 2 5 2 3" xfId="21270" xr:uid="{6F109CC1-D49E-4A3B-8CCF-A9097C765432}"/>
    <cellStyle name="Normal 5 2 3 2 2 2 5 2 4" xfId="12829" xr:uid="{A2B83501-1EA0-4BB7-9BD7-89E857F647E9}"/>
    <cellStyle name="Normal 5 2 3 2 2 2 5 3" xfId="6452" xr:uid="{00000000-0005-0000-0000-000046180000}"/>
    <cellStyle name="Normal 5 2 3 2 2 2 5 3 2" xfId="23343" xr:uid="{93246713-5B96-4641-A806-3DA2D040ED22}"/>
    <cellStyle name="Normal 5 2 3 2 2 2 5 3 3" xfId="14902" xr:uid="{45171334-0265-47E7-90D0-CD4BC5647623}"/>
    <cellStyle name="Normal 5 2 3 2 2 2 5 4" xfId="19125" xr:uid="{0BA2E89E-05CF-4CBD-8F20-B42FD9FD4787}"/>
    <cellStyle name="Normal 5 2 3 2 2 2 5 5" xfId="10684" xr:uid="{022F25D3-C51E-45D9-BED5-5415BA06AE31}"/>
    <cellStyle name="Normal 5 2 3 2 2 2 6" xfId="2582" xr:uid="{00000000-0005-0000-0000-000047180000}"/>
    <cellStyle name="Normal 5 2 3 2 2 2 6 2" xfId="6865" xr:uid="{00000000-0005-0000-0000-000048180000}"/>
    <cellStyle name="Normal 5 2 3 2 2 2 6 2 2" xfId="23756" xr:uid="{34815F43-6366-486E-9331-F37731A27976}"/>
    <cellStyle name="Normal 5 2 3 2 2 2 6 2 3" xfId="15315" xr:uid="{FE459188-6268-4EBB-BBB6-DD8A81915E84}"/>
    <cellStyle name="Normal 5 2 3 2 2 2 6 3" xfId="19538" xr:uid="{B89A94F2-966A-436C-A517-C12D66D3C656}"/>
    <cellStyle name="Normal 5 2 3 2 2 2 6 4" xfId="11097" xr:uid="{D7282CC3-EE79-4DAC-B74F-4693A540A965}"/>
    <cellStyle name="Normal 5 2 3 2 2 2 7" xfId="4800" xr:uid="{00000000-0005-0000-0000-000049180000}"/>
    <cellStyle name="Normal 5 2 3 2 2 2 7 2" xfId="21691" xr:uid="{3DA5AAA9-B62F-4486-8526-8F73ED0011A2}"/>
    <cellStyle name="Normal 5 2 3 2 2 2 7 3" xfId="13250" xr:uid="{D8AACC4D-D665-4B5A-B2E0-D80338FF5F47}"/>
    <cellStyle name="Normal 5 2 3 2 2 2 8" xfId="17473" xr:uid="{5090DB93-863D-4D04-B6EB-7AEFD4081FDA}"/>
    <cellStyle name="Normal 5 2 3 2 2 2 9" xfId="9032" xr:uid="{FBD3ED03-BA98-420B-A64F-87F6BC92FCED}"/>
    <cellStyle name="Normal 5 2 3 2 2 3" xfId="900" xr:uid="{00000000-0005-0000-0000-00004A180000}"/>
    <cellStyle name="Normal 5 2 3 2 2 3 2" xfId="3135" xr:uid="{00000000-0005-0000-0000-00004B180000}"/>
    <cellStyle name="Normal 5 2 3 2 2 3 2 2" xfId="7357" xr:uid="{00000000-0005-0000-0000-00004C180000}"/>
    <cellStyle name="Normal 5 2 3 2 2 3 2 2 2" xfId="24248" xr:uid="{45B9E647-AAE2-4263-BD54-44BDADFFE5E2}"/>
    <cellStyle name="Normal 5 2 3 2 2 3 2 2 3" xfId="15807" xr:uid="{035F2DB0-842D-4075-8FAE-03A24B9078CE}"/>
    <cellStyle name="Normal 5 2 3 2 2 3 2 3" xfId="20030" xr:uid="{FA1F9FAA-42D5-4C49-A383-F62C5E71B551}"/>
    <cellStyle name="Normal 5 2 3 2 2 3 2 4" xfId="11589" xr:uid="{BBFFB763-0568-4382-9D91-91077B164B03}"/>
    <cellStyle name="Normal 5 2 3 2 2 3 3" xfId="5212" xr:uid="{00000000-0005-0000-0000-00004D180000}"/>
    <cellStyle name="Normal 5 2 3 2 2 3 3 2" xfId="22103" xr:uid="{F47AF300-E4A3-45E1-9D99-CB9CB4201567}"/>
    <cellStyle name="Normal 5 2 3 2 2 3 3 3" xfId="13662" xr:uid="{AEDE4C55-49BD-469E-AB9E-0F8632E1E955}"/>
    <cellStyle name="Normal 5 2 3 2 2 3 4" xfId="17885" xr:uid="{5E410615-4D94-4B10-A6F4-16CB3BA04A30}"/>
    <cellStyle name="Normal 5 2 3 2 2 3 5" xfId="9444" xr:uid="{4D036FA0-8EA0-4489-ADBC-99F2B5EB137F}"/>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2 2 2" xfId="24661" xr:uid="{B5D8FEE2-4CF0-4A44-8622-AECC850B250C}"/>
    <cellStyle name="Normal 5 2 3 2 2 4 2 2 3" xfId="16220" xr:uid="{8EFAA7E2-EAA0-48F3-A7C5-65E9C40B0E7A}"/>
    <cellStyle name="Normal 5 2 3 2 2 4 2 3" xfId="20443" xr:uid="{941BF345-47BB-4226-BD27-4C3AA0B63FFF}"/>
    <cellStyle name="Normal 5 2 3 2 2 4 2 4" xfId="12002" xr:uid="{0CD82EEB-43A1-493C-9939-5086FD019A83}"/>
    <cellStyle name="Normal 5 2 3 2 2 4 3" xfId="5625" xr:uid="{00000000-0005-0000-0000-000051180000}"/>
    <cellStyle name="Normal 5 2 3 2 2 4 3 2" xfId="22516" xr:uid="{C9580B6A-B10E-43D7-AF92-A7215BBB8127}"/>
    <cellStyle name="Normal 5 2 3 2 2 4 3 3" xfId="14075" xr:uid="{79EA12ED-D7CD-4001-A2CA-5F075384FBCF}"/>
    <cellStyle name="Normal 5 2 3 2 2 4 4" xfId="18298" xr:uid="{95FBC1D9-5489-4756-AE35-F320BACB7EC6}"/>
    <cellStyle name="Normal 5 2 3 2 2 4 5" xfId="9857" xr:uid="{8596ED66-DA21-4CB9-A5E7-6DA987E88C14}"/>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2 2 2" xfId="25074" xr:uid="{59063784-80D8-4684-88CF-54B81C5EE28A}"/>
    <cellStyle name="Normal 5 2 3 2 2 5 2 2 3" xfId="16633" xr:uid="{82D8D77E-B854-4093-8A4D-E7BC7186DF4D}"/>
    <cellStyle name="Normal 5 2 3 2 2 5 2 3" xfId="20856" xr:uid="{E0987D5B-8D54-4F0E-BF94-EC88C7F56552}"/>
    <cellStyle name="Normal 5 2 3 2 2 5 2 4" xfId="12415" xr:uid="{91036C6E-86A6-46D4-82BA-9A49649C33FF}"/>
    <cellStyle name="Normal 5 2 3 2 2 5 3" xfId="6038" xr:uid="{00000000-0005-0000-0000-000055180000}"/>
    <cellStyle name="Normal 5 2 3 2 2 5 3 2" xfId="22929" xr:uid="{6DC37F70-912F-43F9-BC5F-4B7626F33A55}"/>
    <cellStyle name="Normal 5 2 3 2 2 5 3 3" xfId="14488" xr:uid="{81C369BF-7D77-407B-ACC8-772E2ECBBED0}"/>
    <cellStyle name="Normal 5 2 3 2 2 5 4" xfId="18711" xr:uid="{8C787A19-A7EB-4263-A47B-DBC9C7914E01}"/>
    <cellStyle name="Normal 5 2 3 2 2 5 5" xfId="10270" xr:uid="{007A9014-9C63-462A-97A8-1B03854050C6}"/>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2 2 2" xfId="25487" xr:uid="{F1053479-5511-4AE7-BE59-53ED1C7EFF52}"/>
    <cellStyle name="Normal 5 2 3 2 2 6 2 2 3" xfId="17046" xr:uid="{AB88455C-AC1B-461B-8335-ECAFBB9244BA}"/>
    <cellStyle name="Normal 5 2 3 2 2 6 2 3" xfId="21269" xr:uid="{828A4D4D-0703-41A9-80FF-9C1EA329FC1D}"/>
    <cellStyle name="Normal 5 2 3 2 2 6 2 4" xfId="12828" xr:uid="{197DC72F-7CFB-4EDE-A44B-80A74C2AC8A0}"/>
    <cellStyle name="Normal 5 2 3 2 2 6 3" xfId="6451" xr:uid="{00000000-0005-0000-0000-000059180000}"/>
    <cellStyle name="Normal 5 2 3 2 2 6 3 2" xfId="23342" xr:uid="{9A4CF0AF-6619-4612-BD4B-EE3C01D35437}"/>
    <cellStyle name="Normal 5 2 3 2 2 6 3 3" xfId="14901" xr:uid="{EDD3E660-49E2-4CFC-9089-6B673C4A3602}"/>
    <cellStyle name="Normal 5 2 3 2 2 6 4" xfId="19124" xr:uid="{6974CE47-611A-48C2-A99B-C66A871E6F85}"/>
    <cellStyle name="Normal 5 2 3 2 2 6 5" xfId="10683" xr:uid="{C8F66ECE-9554-4D04-96D5-12BEF6627FB7}"/>
    <cellStyle name="Normal 5 2 3 2 2 7" xfId="2581" xr:uid="{00000000-0005-0000-0000-00005A180000}"/>
    <cellStyle name="Normal 5 2 3 2 2 7 2" xfId="6864" xr:uid="{00000000-0005-0000-0000-00005B180000}"/>
    <cellStyle name="Normal 5 2 3 2 2 7 2 2" xfId="23755" xr:uid="{31F20DE3-0D9B-4BF1-881C-173CBFA938F8}"/>
    <cellStyle name="Normal 5 2 3 2 2 7 2 3" xfId="15314" xr:uid="{8A495166-2CB4-4371-A168-23F514DDF6DA}"/>
    <cellStyle name="Normal 5 2 3 2 2 7 3" xfId="19537" xr:uid="{456CF915-38C9-4A51-ADB1-1614EEEB2885}"/>
    <cellStyle name="Normal 5 2 3 2 2 7 4" xfId="11096" xr:uid="{6979F5AB-7992-437A-A4BA-3BF89E1A9983}"/>
    <cellStyle name="Normal 5 2 3 2 2 8" xfId="4799" xr:uid="{00000000-0005-0000-0000-00005C180000}"/>
    <cellStyle name="Normal 5 2 3 2 2 8 2" xfId="21690" xr:uid="{6FD96670-EDD2-40B4-B3ED-76FC5270C4DD}"/>
    <cellStyle name="Normal 5 2 3 2 2 8 3" xfId="13249" xr:uid="{27A36905-6360-4D5B-B01A-A841A22029A0}"/>
    <cellStyle name="Normal 5 2 3 2 2 9" xfId="17472" xr:uid="{0BB8DF18-4D85-454C-9C16-4C9C5B5D029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2 2 2" xfId="24250" xr:uid="{35EA8C1D-7C02-4EB8-B008-81B88AB0163C}"/>
    <cellStyle name="Normal 5 2 3 2 3 2 2 2 3" xfId="15809" xr:uid="{EA29AFC8-8E20-4AC1-8226-248F63776307}"/>
    <cellStyle name="Normal 5 2 3 2 3 2 2 3" xfId="20032" xr:uid="{C129B4ED-0381-4F10-A968-BBB1130F6CA4}"/>
    <cellStyle name="Normal 5 2 3 2 3 2 2 4" xfId="11591" xr:uid="{02B7881D-CE0C-4224-B6BD-27534E6F473B}"/>
    <cellStyle name="Normal 5 2 3 2 3 2 3" xfId="5214" xr:uid="{00000000-0005-0000-0000-000061180000}"/>
    <cellStyle name="Normal 5 2 3 2 3 2 3 2" xfId="22105" xr:uid="{F2CB070C-81E3-459D-9857-37D9F69B59EE}"/>
    <cellStyle name="Normal 5 2 3 2 3 2 3 3" xfId="13664" xr:uid="{A67A00A2-45B5-400E-BC3F-7D853C200AE9}"/>
    <cellStyle name="Normal 5 2 3 2 3 2 4" xfId="17887" xr:uid="{8686C505-CBBF-43EF-ABA2-E5DA57C5A123}"/>
    <cellStyle name="Normal 5 2 3 2 3 2 5" xfId="9446" xr:uid="{168E0F4D-DC53-446E-AC9B-BE215F600F3D}"/>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2 2 2" xfId="24663" xr:uid="{AE55739A-D958-4278-BC7B-9793B541C8A3}"/>
    <cellStyle name="Normal 5 2 3 2 3 3 2 2 3" xfId="16222" xr:uid="{6C831E81-682F-4AE1-AE4E-DD9B2D9D9C83}"/>
    <cellStyle name="Normal 5 2 3 2 3 3 2 3" xfId="20445" xr:uid="{19AEC951-D6B7-4586-9690-52B8DBE883B0}"/>
    <cellStyle name="Normal 5 2 3 2 3 3 2 4" xfId="12004" xr:uid="{1EEBC935-9B45-4AE6-A4D4-C630686349C7}"/>
    <cellStyle name="Normal 5 2 3 2 3 3 3" xfId="5627" xr:uid="{00000000-0005-0000-0000-000065180000}"/>
    <cellStyle name="Normal 5 2 3 2 3 3 3 2" xfId="22518" xr:uid="{BEA99BFC-CFED-477B-9895-41551A3C4194}"/>
    <cellStyle name="Normal 5 2 3 2 3 3 3 3" xfId="14077" xr:uid="{C043B66A-518F-47CE-9711-F6EA07FB5A66}"/>
    <cellStyle name="Normal 5 2 3 2 3 3 4" xfId="18300" xr:uid="{26323B37-5640-4F67-8B02-54E7759921F8}"/>
    <cellStyle name="Normal 5 2 3 2 3 3 5" xfId="9859" xr:uid="{75FB905E-D348-41EC-90F2-8F65D7DE8D02}"/>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2 2 2" xfId="25076" xr:uid="{67F5CE13-15E3-47DF-8A4C-5E4FF8C27762}"/>
    <cellStyle name="Normal 5 2 3 2 3 4 2 2 3" xfId="16635" xr:uid="{CA92E6FD-203B-4E88-AE12-7941A3AC0DBC}"/>
    <cellStyle name="Normal 5 2 3 2 3 4 2 3" xfId="20858" xr:uid="{21139A80-001F-4ADB-8D57-CF7A55463BD3}"/>
    <cellStyle name="Normal 5 2 3 2 3 4 2 4" xfId="12417" xr:uid="{8346EA50-C445-4E01-8068-92D4E5D07C22}"/>
    <cellStyle name="Normal 5 2 3 2 3 4 3" xfId="6040" xr:uid="{00000000-0005-0000-0000-000069180000}"/>
    <cellStyle name="Normal 5 2 3 2 3 4 3 2" xfId="22931" xr:uid="{AD5D52A3-027B-4F23-B766-1F91CD963B20}"/>
    <cellStyle name="Normal 5 2 3 2 3 4 3 3" xfId="14490" xr:uid="{A9B55F14-91E0-4445-AB7D-8C0537544683}"/>
    <cellStyle name="Normal 5 2 3 2 3 4 4" xfId="18713" xr:uid="{8F6AB075-7438-4CA5-90C7-322694B91FA2}"/>
    <cellStyle name="Normal 5 2 3 2 3 4 5" xfId="10272" xr:uid="{DF6F4DCD-0832-43C1-9B9A-AA2B8E9F65B4}"/>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2 2 2" xfId="25489" xr:uid="{E544F2A3-8BA6-4F06-B947-0E75A685E4FE}"/>
    <cellStyle name="Normal 5 2 3 2 3 5 2 2 3" xfId="17048" xr:uid="{D5FA56BC-880A-4909-84ED-F67071EFD2CD}"/>
    <cellStyle name="Normal 5 2 3 2 3 5 2 3" xfId="21271" xr:uid="{A1BC0B22-138B-4892-9F04-CC7A65564FEF}"/>
    <cellStyle name="Normal 5 2 3 2 3 5 2 4" xfId="12830" xr:uid="{53A71B25-6E08-4013-9866-733EFDD0B814}"/>
    <cellStyle name="Normal 5 2 3 2 3 5 3" xfId="6453" xr:uid="{00000000-0005-0000-0000-00006D180000}"/>
    <cellStyle name="Normal 5 2 3 2 3 5 3 2" xfId="23344" xr:uid="{8C14DCB4-398C-4F27-85A5-BA056BE4200C}"/>
    <cellStyle name="Normal 5 2 3 2 3 5 3 3" xfId="14903" xr:uid="{D1D18786-786C-46CC-A502-03112B68BF22}"/>
    <cellStyle name="Normal 5 2 3 2 3 5 4" xfId="19126" xr:uid="{3EF1F1B5-8799-4E5F-92AB-84F24B965078}"/>
    <cellStyle name="Normal 5 2 3 2 3 5 5" xfId="10685" xr:uid="{9DF7A638-5210-442B-AC72-C484203A8BEA}"/>
    <cellStyle name="Normal 5 2 3 2 3 6" xfId="2583" xr:uid="{00000000-0005-0000-0000-00006E180000}"/>
    <cellStyle name="Normal 5 2 3 2 3 6 2" xfId="6866" xr:uid="{00000000-0005-0000-0000-00006F180000}"/>
    <cellStyle name="Normal 5 2 3 2 3 6 2 2" xfId="23757" xr:uid="{89228C53-5E81-4E7F-A9C6-D5A4F6DF248E}"/>
    <cellStyle name="Normal 5 2 3 2 3 6 2 3" xfId="15316" xr:uid="{F4B3261A-60F5-45F7-9064-6C52CD34082C}"/>
    <cellStyle name="Normal 5 2 3 2 3 6 3" xfId="19539" xr:uid="{CAFFDFD7-2BA6-4BF6-A9AE-E75E5E21722E}"/>
    <cellStyle name="Normal 5 2 3 2 3 6 4" xfId="11098" xr:uid="{9828403D-A431-4CFC-97AF-23C63FBF05F4}"/>
    <cellStyle name="Normal 5 2 3 2 3 7" xfId="4801" xr:uid="{00000000-0005-0000-0000-000070180000}"/>
    <cellStyle name="Normal 5 2 3 2 3 7 2" xfId="21692" xr:uid="{9D07E69E-E96F-4C8D-839D-802C1916B57E}"/>
    <cellStyle name="Normal 5 2 3 2 3 7 3" xfId="13251" xr:uid="{5DD5F6CC-1A4A-4F0D-B88B-1602FC6066E4}"/>
    <cellStyle name="Normal 5 2 3 2 3 8" xfId="17474" xr:uid="{1222EDB9-9879-4A55-BDC7-5521AE9BD8D3}"/>
    <cellStyle name="Normal 5 2 3 2 3 9" xfId="9033" xr:uid="{EA01F119-D6B6-47AC-9599-1487DF11829C}"/>
    <cellStyle name="Normal 5 2 3 2 4" xfId="899" xr:uid="{00000000-0005-0000-0000-000071180000}"/>
    <cellStyle name="Normal 5 2 3 2 4 2" xfId="3134" xr:uid="{00000000-0005-0000-0000-000072180000}"/>
    <cellStyle name="Normal 5 2 3 2 4 2 2" xfId="7356" xr:uid="{00000000-0005-0000-0000-000073180000}"/>
    <cellStyle name="Normal 5 2 3 2 4 2 2 2" xfId="24247" xr:uid="{49FD16B8-8385-42E6-A391-9815F046F097}"/>
    <cellStyle name="Normal 5 2 3 2 4 2 2 3" xfId="15806" xr:uid="{3ABA33FA-A500-4016-91D9-0FB49DF58CB9}"/>
    <cellStyle name="Normal 5 2 3 2 4 2 3" xfId="20029" xr:uid="{C1B84134-D978-44BC-B961-AFCA33DF2C8D}"/>
    <cellStyle name="Normal 5 2 3 2 4 2 4" xfId="11588" xr:uid="{6C8AC94C-867E-425A-A410-F5C95E9B005D}"/>
    <cellStyle name="Normal 5 2 3 2 4 3" xfId="5211" xr:uid="{00000000-0005-0000-0000-000074180000}"/>
    <cellStyle name="Normal 5 2 3 2 4 3 2" xfId="22102" xr:uid="{686C26FF-CA65-47F3-BB54-0E0489BFC1D3}"/>
    <cellStyle name="Normal 5 2 3 2 4 3 3" xfId="13661" xr:uid="{B84BE7DA-F903-4AF1-9720-C7D7D7AB742A}"/>
    <cellStyle name="Normal 5 2 3 2 4 4" xfId="17884" xr:uid="{D3E76BA8-1F8A-428B-AFD1-0E1004963B31}"/>
    <cellStyle name="Normal 5 2 3 2 4 5" xfId="9443" xr:uid="{B5013441-291E-4B44-AB90-EEA005867DCE}"/>
    <cellStyle name="Normal 5 2 3 2 5" xfId="1317" xr:uid="{00000000-0005-0000-0000-000075180000}"/>
    <cellStyle name="Normal 5 2 3 2 5 2" xfId="3547" xr:uid="{00000000-0005-0000-0000-000076180000}"/>
    <cellStyle name="Normal 5 2 3 2 5 2 2" xfId="7769" xr:uid="{00000000-0005-0000-0000-000077180000}"/>
    <cellStyle name="Normal 5 2 3 2 5 2 2 2" xfId="24660" xr:uid="{A28B9023-E28F-40E3-AAEB-0E76445A9C95}"/>
    <cellStyle name="Normal 5 2 3 2 5 2 2 3" xfId="16219" xr:uid="{5FD00049-1C12-4224-97BE-3BCA1092D8F7}"/>
    <cellStyle name="Normal 5 2 3 2 5 2 3" xfId="20442" xr:uid="{AE1CD9AB-3AC3-43A1-8A8B-EAB503834824}"/>
    <cellStyle name="Normal 5 2 3 2 5 2 4" xfId="12001" xr:uid="{6A7A4A01-8685-447A-86E7-E9F0ED600F0F}"/>
    <cellStyle name="Normal 5 2 3 2 5 3" xfId="5624" xr:uid="{00000000-0005-0000-0000-000078180000}"/>
    <cellStyle name="Normal 5 2 3 2 5 3 2" xfId="22515" xr:uid="{3BB8E5EA-E7EA-4D1D-A5F5-FE505D89B5D4}"/>
    <cellStyle name="Normal 5 2 3 2 5 3 3" xfId="14074" xr:uid="{F1316A59-4D66-4881-B002-B19F3DA34734}"/>
    <cellStyle name="Normal 5 2 3 2 5 4" xfId="18297" xr:uid="{03F3B27D-6616-4E5E-A1E8-ADD12BCBCEEA}"/>
    <cellStyle name="Normal 5 2 3 2 5 5" xfId="9856" xr:uid="{871D0976-23C8-4ACE-987C-6C6DF44DA71A}"/>
    <cellStyle name="Normal 5 2 3 2 6" xfId="1730" xr:uid="{00000000-0005-0000-0000-000079180000}"/>
    <cellStyle name="Normal 5 2 3 2 6 2" xfId="3960" xr:uid="{00000000-0005-0000-0000-00007A180000}"/>
    <cellStyle name="Normal 5 2 3 2 6 2 2" xfId="8182" xr:uid="{00000000-0005-0000-0000-00007B180000}"/>
    <cellStyle name="Normal 5 2 3 2 6 2 2 2" xfId="25073" xr:uid="{1C1B35E7-BB39-4D6B-BD5F-67BD522397EB}"/>
    <cellStyle name="Normal 5 2 3 2 6 2 2 3" xfId="16632" xr:uid="{660C50DC-AAD3-453B-ACC4-CAF1C1B15069}"/>
    <cellStyle name="Normal 5 2 3 2 6 2 3" xfId="20855" xr:uid="{36DF608A-DCCD-4AB6-BD42-AA8A40B584F8}"/>
    <cellStyle name="Normal 5 2 3 2 6 2 4" xfId="12414" xr:uid="{941CD3F0-2E5E-4CA5-9403-BCE7FEB133C2}"/>
    <cellStyle name="Normal 5 2 3 2 6 3" xfId="6037" xr:uid="{00000000-0005-0000-0000-00007C180000}"/>
    <cellStyle name="Normal 5 2 3 2 6 3 2" xfId="22928" xr:uid="{742A5EAD-6D14-4499-9061-8E8253CF0DCD}"/>
    <cellStyle name="Normal 5 2 3 2 6 3 3" xfId="14487" xr:uid="{EAA91ABA-0AA4-40A7-B2DA-993120CD0385}"/>
    <cellStyle name="Normal 5 2 3 2 6 4" xfId="18710" xr:uid="{5AC28AFB-86C7-412B-AF79-EE097447875E}"/>
    <cellStyle name="Normal 5 2 3 2 6 5" xfId="10269" xr:uid="{266ADAEE-486B-4097-96E3-9987AB060268}"/>
    <cellStyle name="Normal 5 2 3 2 7" xfId="2144" xr:uid="{00000000-0005-0000-0000-00007D180000}"/>
    <cellStyle name="Normal 5 2 3 2 7 2" xfId="4373" xr:uid="{00000000-0005-0000-0000-00007E180000}"/>
    <cellStyle name="Normal 5 2 3 2 7 2 2" xfId="8595" xr:uid="{00000000-0005-0000-0000-00007F180000}"/>
    <cellStyle name="Normal 5 2 3 2 7 2 2 2" xfId="25486" xr:uid="{FEA4F046-92AB-4061-AC40-F7FA3D0129F7}"/>
    <cellStyle name="Normal 5 2 3 2 7 2 2 3" xfId="17045" xr:uid="{DF3B4D9F-AC8E-43ED-B5F2-C1EA80601C43}"/>
    <cellStyle name="Normal 5 2 3 2 7 2 3" xfId="21268" xr:uid="{746BB847-B47C-405E-9A1F-45E23D7BC91B}"/>
    <cellStyle name="Normal 5 2 3 2 7 2 4" xfId="12827" xr:uid="{EFBC8C90-856D-427F-A0F0-7C97F9F4EA3A}"/>
    <cellStyle name="Normal 5 2 3 2 7 3" xfId="6450" xr:uid="{00000000-0005-0000-0000-000080180000}"/>
    <cellStyle name="Normal 5 2 3 2 7 3 2" xfId="23341" xr:uid="{A6F562D7-A8C1-41C6-BDD1-C2B1C68408F7}"/>
    <cellStyle name="Normal 5 2 3 2 7 3 3" xfId="14900" xr:uid="{B2625D8D-6BC9-4F14-95F7-D9C66FDC2F40}"/>
    <cellStyle name="Normal 5 2 3 2 7 4" xfId="19123" xr:uid="{374E95AD-FBE6-4A1F-96B5-48D9DB7A0409}"/>
    <cellStyle name="Normal 5 2 3 2 7 5" xfId="10682" xr:uid="{1D6D4BD9-8EFC-42F5-9BEA-EA6AEDB52033}"/>
    <cellStyle name="Normal 5 2 3 2 8" xfId="2580" xr:uid="{00000000-0005-0000-0000-000081180000}"/>
    <cellStyle name="Normal 5 2 3 2 8 2" xfId="6863" xr:uid="{00000000-0005-0000-0000-000082180000}"/>
    <cellStyle name="Normal 5 2 3 2 8 2 2" xfId="23754" xr:uid="{B5233843-C563-47AC-BDB6-4B6CF038A6BF}"/>
    <cellStyle name="Normal 5 2 3 2 8 2 3" xfId="15313" xr:uid="{FBCBCEEE-9A75-4F2D-B1E3-C90FB38B2F16}"/>
    <cellStyle name="Normal 5 2 3 2 8 3" xfId="19536" xr:uid="{A9E59533-D239-4EAE-B1C1-56725AB8311E}"/>
    <cellStyle name="Normal 5 2 3 2 8 4" xfId="11095" xr:uid="{E1E4A830-FB6B-4591-B78A-7B0FCA46139C}"/>
    <cellStyle name="Normal 5 2 3 2 9" xfId="4798" xr:uid="{00000000-0005-0000-0000-000083180000}"/>
    <cellStyle name="Normal 5 2 3 2 9 2" xfId="21689" xr:uid="{8DC69FD1-EA5D-40F5-AA4D-7082E950AC54}"/>
    <cellStyle name="Normal 5 2 3 2 9 3" xfId="13248" xr:uid="{F6749F18-058A-49F7-B552-B419AE649340}"/>
    <cellStyle name="Normal 5 2 3 3" xfId="429" xr:uid="{00000000-0005-0000-0000-000084180000}"/>
    <cellStyle name="Normal 5 2 3 3 10" xfId="9034" xr:uid="{AFAEAE61-A36C-4787-8F1F-AA123D2DB811}"/>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2 2 2" xfId="24252" xr:uid="{2F121C6A-303A-4486-A2F5-E3AEFA95CC77}"/>
    <cellStyle name="Normal 5 2 3 3 2 2 2 2 3" xfId="15811" xr:uid="{AA0D3312-9B41-46EE-ABF3-342F5E007530}"/>
    <cellStyle name="Normal 5 2 3 3 2 2 2 3" xfId="20034" xr:uid="{E81B026F-6D26-48E1-A934-70C8C26229B6}"/>
    <cellStyle name="Normal 5 2 3 3 2 2 2 4" xfId="11593" xr:uid="{2243B7C6-262A-4B75-9CBA-6F13C4AD4F00}"/>
    <cellStyle name="Normal 5 2 3 3 2 2 3" xfId="5216" xr:uid="{00000000-0005-0000-0000-000089180000}"/>
    <cellStyle name="Normal 5 2 3 3 2 2 3 2" xfId="22107" xr:uid="{8449CC96-56A0-4F1A-9EAF-3847353ECF14}"/>
    <cellStyle name="Normal 5 2 3 3 2 2 3 3" xfId="13666" xr:uid="{5738226A-1A4A-4DA2-B2E4-1D56C2B2C3FE}"/>
    <cellStyle name="Normal 5 2 3 3 2 2 4" xfId="17889" xr:uid="{07D2C00D-328B-4A7F-8052-5A17186ED245}"/>
    <cellStyle name="Normal 5 2 3 3 2 2 5" xfId="9448" xr:uid="{BCB06B27-E0DA-4862-A764-0F2B2082521E}"/>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2 2 2" xfId="24665" xr:uid="{4DDB22D5-B65B-457A-913D-5E4D525F2B2E}"/>
    <cellStyle name="Normal 5 2 3 3 2 3 2 2 3" xfId="16224" xr:uid="{AF555871-4597-47FF-94ED-7AE8521ACDE2}"/>
    <cellStyle name="Normal 5 2 3 3 2 3 2 3" xfId="20447" xr:uid="{0F1102DC-9BF8-4241-8352-2EBC48E33D55}"/>
    <cellStyle name="Normal 5 2 3 3 2 3 2 4" xfId="12006" xr:uid="{35950270-3F11-4C11-B190-ADB97696CF55}"/>
    <cellStyle name="Normal 5 2 3 3 2 3 3" xfId="5629" xr:uid="{00000000-0005-0000-0000-00008D180000}"/>
    <cellStyle name="Normal 5 2 3 3 2 3 3 2" xfId="22520" xr:uid="{B4DE3C54-8536-48CA-9229-8120D92CF354}"/>
    <cellStyle name="Normal 5 2 3 3 2 3 3 3" xfId="14079" xr:uid="{DB97CA54-FCFD-4CBC-A11E-7A57E7AE68A0}"/>
    <cellStyle name="Normal 5 2 3 3 2 3 4" xfId="18302" xr:uid="{09AD0503-0DAB-49CF-BFE6-EC446EAFD6F4}"/>
    <cellStyle name="Normal 5 2 3 3 2 3 5" xfId="9861" xr:uid="{E6406C4F-FF98-4989-ABBC-2374D65AA189}"/>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2 2 2" xfId="25078" xr:uid="{3951799D-19AB-4E82-9EFB-680A894DF009}"/>
    <cellStyle name="Normal 5 2 3 3 2 4 2 2 3" xfId="16637" xr:uid="{87B240DD-C7F3-4D55-9742-1A2594E65C0B}"/>
    <cellStyle name="Normal 5 2 3 3 2 4 2 3" xfId="20860" xr:uid="{C592E81C-B1F0-4092-9379-5CF936F21DF5}"/>
    <cellStyle name="Normal 5 2 3 3 2 4 2 4" xfId="12419" xr:uid="{2E9A4929-ACBD-4B7F-A9DA-265C270791EF}"/>
    <cellStyle name="Normal 5 2 3 3 2 4 3" xfId="6042" xr:uid="{00000000-0005-0000-0000-000091180000}"/>
    <cellStyle name="Normal 5 2 3 3 2 4 3 2" xfId="22933" xr:uid="{948AAD20-93EB-429E-A683-D60C3637566C}"/>
    <cellStyle name="Normal 5 2 3 3 2 4 3 3" xfId="14492" xr:uid="{818F7E4E-A842-41F4-8606-4FE9396A3874}"/>
    <cellStyle name="Normal 5 2 3 3 2 4 4" xfId="18715" xr:uid="{F971D09E-F7D7-40B3-8193-CA444F51668A}"/>
    <cellStyle name="Normal 5 2 3 3 2 4 5" xfId="10274" xr:uid="{8B1BAA02-4158-4460-BCD0-EAF83166A92D}"/>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2 2 2" xfId="25491" xr:uid="{37F3749F-FFF7-4A01-8D48-65DE77DA1E8F}"/>
    <cellStyle name="Normal 5 2 3 3 2 5 2 2 3" xfId="17050" xr:uid="{2AC14785-7102-44E2-B135-406BFEDD44F0}"/>
    <cellStyle name="Normal 5 2 3 3 2 5 2 3" xfId="21273" xr:uid="{B06678DE-1444-4EE4-B2B9-05B62911B7CD}"/>
    <cellStyle name="Normal 5 2 3 3 2 5 2 4" xfId="12832" xr:uid="{36E1A8C7-A4C9-4D94-853A-C96452790191}"/>
    <cellStyle name="Normal 5 2 3 3 2 5 3" xfId="6455" xr:uid="{00000000-0005-0000-0000-000095180000}"/>
    <cellStyle name="Normal 5 2 3 3 2 5 3 2" xfId="23346" xr:uid="{DD410FC2-B985-4D0F-A4C8-AE76435C9185}"/>
    <cellStyle name="Normal 5 2 3 3 2 5 3 3" xfId="14905" xr:uid="{064C6053-7C58-40BB-8ABC-F1BA35878185}"/>
    <cellStyle name="Normal 5 2 3 3 2 5 4" xfId="19128" xr:uid="{227ECC4F-E8D3-4F92-80E5-9746E00A2965}"/>
    <cellStyle name="Normal 5 2 3 3 2 5 5" xfId="10687" xr:uid="{49DCAB9A-02A7-44BB-BEF7-2CE2FAA5DA0A}"/>
    <cellStyle name="Normal 5 2 3 3 2 6" xfId="2585" xr:uid="{00000000-0005-0000-0000-000096180000}"/>
    <cellStyle name="Normal 5 2 3 3 2 6 2" xfId="6868" xr:uid="{00000000-0005-0000-0000-000097180000}"/>
    <cellStyle name="Normal 5 2 3 3 2 6 2 2" xfId="23759" xr:uid="{2616D64D-D6B9-4C39-8499-C4590E494315}"/>
    <cellStyle name="Normal 5 2 3 3 2 6 2 3" xfId="15318" xr:uid="{83C0BAF9-D73F-458F-AB9D-9280B8839AF3}"/>
    <cellStyle name="Normal 5 2 3 3 2 6 3" xfId="19541" xr:uid="{1F75E596-DC4E-47AF-9DCE-0F15EE65B1D0}"/>
    <cellStyle name="Normal 5 2 3 3 2 6 4" xfId="11100" xr:uid="{917FC804-D8A6-4A57-8274-5053C8523DCF}"/>
    <cellStyle name="Normal 5 2 3 3 2 7" xfId="4803" xr:uid="{00000000-0005-0000-0000-000098180000}"/>
    <cellStyle name="Normal 5 2 3 3 2 7 2" xfId="21694" xr:uid="{7B1C323E-2477-46A6-B6D6-EE17FA0DA2E8}"/>
    <cellStyle name="Normal 5 2 3 3 2 7 3" xfId="13253" xr:uid="{4E06AC3F-B161-43EF-8AD9-D944084627C7}"/>
    <cellStyle name="Normal 5 2 3 3 2 8" xfId="17476" xr:uid="{AB2F8D5A-10CB-4AFA-A151-91EDDC6D1695}"/>
    <cellStyle name="Normal 5 2 3 3 2 9" xfId="9035" xr:uid="{B828D6E5-607C-44E4-B85E-2A5C36F19B57}"/>
    <cellStyle name="Normal 5 2 3 3 3" xfId="903" xr:uid="{00000000-0005-0000-0000-000099180000}"/>
    <cellStyle name="Normal 5 2 3 3 3 2" xfId="3138" xr:uid="{00000000-0005-0000-0000-00009A180000}"/>
    <cellStyle name="Normal 5 2 3 3 3 2 2" xfId="7360" xr:uid="{00000000-0005-0000-0000-00009B180000}"/>
    <cellStyle name="Normal 5 2 3 3 3 2 2 2" xfId="24251" xr:uid="{DE305138-6ABA-4D8E-8C22-69F835B8306A}"/>
    <cellStyle name="Normal 5 2 3 3 3 2 2 3" xfId="15810" xr:uid="{56EAAFAB-D142-44A2-9249-456752A88726}"/>
    <cellStyle name="Normal 5 2 3 3 3 2 3" xfId="20033" xr:uid="{BB575254-68B1-409A-84D7-BEE39486A879}"/>
    <cellStyle name="Normal 5 2 3 3 3 2 4" xfId="11592" xr:uid="{8534F096-383F-43F3-8599-DE2C1F8C35EC}"/>
    <cellStyle name="Normal 5 2 3 3 3 3" xfId="5215" xr:uid="{00000000-0005-0000-0000-00009C180000}"/>
    <cellStyle name="Normal 5 2 3 3 3 3 2" xfId="22106" xr:uid="{A1D19830-27FC-4013-B58E-64AB1D153838}"/>
    <cellStyle name="Normal 5 2 3 3 3 3 3" xfId="13665" xr:uid="{4675F485-9EAA-4A5E-8AEB-2692EF4463D2}"/>
    <cellStyle name="Normal 5 2 3 3 3 4" xfId="17888" xr:uid="{3F7619B4-5D6A-4487-A287-F0B06E07C696}"/>
    <cellStyle name="Normal 5 2 3 3 3 5" xfId="9447" xr:uid="{2588DBB7-6B86-4904-9799-76F2272AE566}"/>
    <cellStyle name="Normal 5 2 3 3 4" xfId="1321" xr:uid="{00000000-0005-0000-0000-00009D180000}"/>
    <cellStyle name="Normal 5 2 3 3 4 2" xfId="3551" xr:uid="{00000000-0005-0000-0000-00009E180000}"/>
    <cellStyle name="Normal 5 2 3 3 4 2 2" xfId="7773" xr:uid="{00000000-0005-0000-0000-00009F180000}"/>
    <cellStyle name="Normal 5 2 3 3 4 2 2 2" xfId="24664" xr:uid="{5D91329A-E2B1-49AD-BCC6-0CEC09E1E698}"/>
    <cellStyle name="Normal 5 2 3 3 4 2 2 3" xfId="16223" xr:uid="{E0FE1423-B9D5-4717-AA0A-82C4A3567707}"/>
    <cellStyle name="Normal 5 2 3 3 4 2 3" xfId="20446" xr:uid="{3FEA56CF-E247-4D4A-BEA7-4523D7EF0051}"/>
    <cellStyle name="Normal 5 2 3 3 4 2 4" xfId="12005" xr:uid="{7091FC66-F7A0-4F55-81EC-157C0E67C1B1}"/>
    <cellStyle name="Normal 5 2 3 3 4 3" xfId="5628" xr:uid="{00000000-0005-0000-0000-0000A0180000}"/>
    <cellStyle name="Normal 5 2 3 3 4 3 2" xfId="22519" xr:uid="{29636C9D-8D88-4D92-A85D-449E4F9812F9}"/>
    <cellStyle name="Normal 5 2 3 3 4 3 3" xfId="14078" xr:uid="{3E91CDEA-5184-4DD8-B87C-C81AB223D3F9}"/>
    <cellStyle name="Normal 5 2 3 3 4 4" xfId="18301" xr:uid="{BB9A7763-53FA-45F4-9DB4-16D8A7FAD131}"/>
    <cellStyle name="Normal 5 2 3 3 4 5" xfId="9860" xr:uid="{486D1C1C-4CBE-4646-B12D-82FF9465FFA6}"/>
    <cellStyle name="Normal 5 2 3 3 5" xfId="1734" xr:uid="{00000000-0005-0000-0000-0000A1180000}"/>
    <cellStyle name="Normal 5 2 3 3 5 2" xfId="3964" xr:uid="{00000000-0005-0000-0000-0000A2180000}"/>
    <cellStyle name="Normal 5 2 3 3 5 2 2" xfId="8186" xr:uid="{00000000-0005-0000-0000-0000A3180000}"/>
    <cellStyle name="Normal 5 2 3 3 5 2 2 2" xfId="25077" xr:uid="{C5D91D60-D39E-4891-B3BA-6DBB284950DD}"/>
    <cellStyle name="Normal 5 2 3 3 5 2 2 3" xfId="16636" xr:uid="{71AF3434-2ADD-440D-A067-5D81B20EC569}"/>
    <cellStyle name="Normal 5 2 3 3 5 2 3" xfId="20859" xr:uid="{32540C4E-5C7E-4F59-8DD3-04793C3F40BC}"/>
    <cellStyle name="Normal 5 2 3 3 5 2 4" xfId="12418" xr:uid="{A513439C-7922-4D3B-A2B7-84E6AC90F2FA}"/>
    <cellStyle name="Normal 5 2 3 3 5 3" xfId="6041" xr:uid="{00000000-0005-0000-0000-0000A4180000}"/>
    <cellStyle name="Normal 5 2 3 3 5 3 2" xfId="22932" xr:uid="{5B2FBB1C-454B-4CA3-8A3A-6EF61CD319E7}"/>
    <cellStyle name="Normal 5 2 3 3 5 3 3" xfId="14491" xr:uid="{B08C4545-A862-4A3E-92E0-16E7C8866A4F}"/>
    <cellStyle name="Normal 5 2 3 3 5 4" xfId="18714" xr:uid="{39FAB6DB-3AF3-4E44-A5FE-0CC6753C6433}"/>
    <cellStyle name="Normal 5 2 3 3 5 5" xfId="10273" xr:uid="{D2234C6B-636E-4604-9B72-1E02F75E4F7E}"/>
    <cellStyle name="Normal 5 2 3 3 6" xfId="2148" xr:uid="{00000000-0005-0000-0000-0000A5180000}"/>
    <cellStyle name="Normal 5 2 3 3 6 2" xfId="4377" xr:uid="{00000000-0005-0000-0000-0000A6180000}"/>
    <cellStyle name="Normal 5 2 3 3 6 2 2" xfId="8599" xr:uid="{00000000-0005-0000-0000-0000A7180000}"/>
    <cellStyle name="Normal 5 2 3 3 6 2 2 2" xfId="25490" xr:uid="{D8BFB4B4-61AD-4A32-B53A-052AD6FD6FE4}"/>
    <cellStyle name="Normal 5 2 3 3 6 2 2 3" xfId="17049" xr:uid="{482D11C8-054B-41B6-B3D9-CD2C84714E86}"/>
    <cellStyle name="Normal 5 2 3 3 6 2 3" xfId="21272" xr:uid="{A829F21E-E2B3-457A-8DA9-BA8BC15C21D0}"/>
    <cellStyle name="Normal 5 2 3 3 6 2 4" xfId="12831" xr:uid="{2C115830-1DF5-4E8E-87A1-07EBCB22318F}"/>
    <cellStyle name="Normal 5 2 3 3 6 3" xfId="6454" xr:uid="{00000000-0005-0000-0000-0000A8180000}"/>
    <cellStyle name="Normal 5 2 3 3 6 3 2" xfId="23345" xr:uid="{4995F66A-675A-4B65-AD5E-E49754E0A9BF}"/>
    <cellStyle name="Normal 5 2 3 3 6 3 3" xfId="14904" xr:uid="{017AE158-4C01-4F64-9B85-D0B0C5383F20}"/>
    <cellStyle name="Normal 5 2 3 3 6 4" xfId="19127" xr:uid="{7D01B0D9-8737-4E1C-9533-935CD9C91BD2}"/>
    <cellStyle name="Normal 5 2 3 3 6 5" xfId="10686" xr:uid="{E10D3D44-9B24-480A-B39B-D5D2ACC85B8E}"/>
    <cellStyle name="Normal 5 2 3 3 7" xfId="2584" xr:uid="{00000000-0005-0000-0000-0000A9180000}"/>
    <cellStyle name="Normal 5 2 3 3 7 2" xfId="6867" xr:uid="{00000000-0005-0000-0000-0000AA180000}"/>
    <cellStyle name="Normal 5 2 3 3 7 2 2" xfId="23758" xr:uid="{0DDCEB1D-43AF-414B-A980-EDD7C682884E}"/>
    <cellStyle name="Normal 5 2 3 3 7 2 3" xfId="15317" xr:uid="{1630D69B-0F29-4647-A0A7-A4E8BEEC6D2C}"/>
    <cellStyle name="Normal 5 2 3 3 7 3" xfId="19540" xr:uid="{A56E8C80-C05B-4E2D-BCE9-CBCE3045B94B}"/>
    <cellStyle name="Normal 5 2 3 3 7 4" xfId="11099" xr:uid="{9F7E92DD-B417-458B-8978-44BE9D291E9B}"/>
    <cellStyle name="Normal 5 2 3 3 8" xfId="4802" xr:uid="{00000000-0005-0000-0000-0000AB180000}"/>
    <cellStyle name="Normal 5 2 3 3 8 2" xfId="21693" xr:uid="{C328EF3F-0987-4263-89D7-E7BA388364A6}"/>
    <cellStyle name="Normal 5 2 3 3 8 3" xfId="13252" xr:uid="{15E39B81-913E-471A-B783-DA78FCEDB91E}"/>
    <cellStyle name="Normal 5 2 3 3 9" xfId="17475" xr:uid="{4616A69B-74B1-43ED-AA62-D33A47DA754A}"/>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2 2 2" xfId="24253" xr:uid="{BCD3397A-F7B2-448A-9B1F-DCA54F3B43C6}"/>
    <cellStyle name="Normal 5 2 3 4 2 2 2 3" xfId="15812" xr:uid="{48D71B02-C2E3-47B7-8A50-3E347721A6B8}"/>
    <cellStyle name="Normal 5 2 3 4 2 2 3" xfId="20035" xr:uid="{C0CF0B0D-E8F9-4CC1-BF8F-F9B057D9B238}"/>
    <cellStyle name="Normal 5 2 3 4 2 2 4" xfId="11594" xr:uid="{09A36DFD-C09F-4D38-91A6-50F744A758B4}"/>
    <cellStyle name="Normal 5 2 3 4 2 3" xfId="5217" xr:uid="{00000000-0005-0000-0000-0000B0180000}"/>
    <cellStyle name="Normal 5 2 3 4 2 3 2" xfId="22108" xr:uid="{3B17F420-0222-4575-8A61-2ACDAFF79ABE}"/>
    <cellStyle name="Normal 5 2 3 4 2 3 3" xfId="13667" xr:uid="{5EE79B35-15ED-40C8-99F7-76414105DB60}"/>
    <cellStyle name="Normal 5 2 3 4 2 4" xfId="17890" xr:uid="{260E4E4F-E729-44D7-984D-DA0C4E067B54}"/>
    <cellStyle name="Normal 5 2 3 4 2 5" xfId="9449" xr:uid="{467B3EEF-AA5F-4CF6-B515-12FE594E3BFB}"/>
    <cellStyle name="Normal 5 2 3 4 3" xfId="1323" xr:uid="{00000000-0005-0000-0000-0000B1180000}"/>
    <cellStyle name="Normal 5 2 3 4 3 2" xfId="3553" xr:uid="{00000000-0005-0000-0000-0000B2180000}"/>
    <cellStyle name="Normal 5 2 3 4 3 2 2" xfId="7775" xr:uid="{00000000-0005-0000-0000-0000B3180000}"/>
    <cellStyle name="Normal 5 2 3 4 3 2 2 2" xfId="24666" xr:uid="{147480F4-21B4-4F61-8426-364F2D80F96E}"/>
    <cellStyle name="Normal 5 2 3 4 3 2 2 3" xfId="16225" xr:uid="{2B485879-49F3-4A69-B825-42FC05DC4CD7}"/>
    <cellStyle name="Normal 5 2 3 4 3 2 3" xfId="20448" xr:uid="{7D7E00DD-1B72-45E2-8616-DBCAA45786DD}"/>
    <cellStyle name="Normal 5 2 3 4 3 2 4" xfId="12007" xr:uid="{36078BAF-A132-4DBA-B21F-FE5CF3943930}"/>
    <cellStyle name="Normal 5 2 3 4 3 3" xfId="5630" xr:uid="{00000000-0005-0000-0000-0000B4180000}"/>
    <cellStyle name="Normal 5 2 3 4 3 3 2" xfId="22521" xr:uid="{63C185C9-D976-4E40-8217-29F30C3C1EC0}"/>
    <cellStyle name="Normal 5 2 3 4 3 3 3" xfId="14080" xr:uid="{38DCA444-ABDF-4AB7-8183-199615BB2D25}"/>
    <cellStyle name="Normal 5 2 3 4 3 4" xfId="18303" xr:uid="{0D4DF143-E77F-4E4E-816C-C6070133E198}"/>
    <cellStyle name="Normal 5 2 3 4 3 5" xfId="9862" xr:uid="{83FB3028-AA0A-43F2-97E8-6436618253A5}"/>
    <cellStyle name="Normal 5 2 3 4 4" xfId="1736" xr:uid="{00000000-0005-0000-0000-0000B5180000}"/>
    <cellStyle name="Normal 5 2 3 4 4 2" xfId="3966" xr:uid="{00000000-0005-0000-0000-0000B6180000}"/>
    <cellStyle name="Normal 5 2 3 4 4 2 2" xfId="8188" xr:uid="{00000000-0005-0000-0000-0000B7180000}"/>
    <cellStyle name="Normal 5 2 3 4 4 2 2 2" xfId="25079" xr:uid="{C672332A-B472-4FAC-8017-CF32B0B93691}"/>
    <cellStyle name="Normal 5 2 3 4 4 2 2 3" xfId="16638" xr:uid="{71A4A5CE-ADE2-4586-906A-F7E6969D3272}"/>
    <cellStyle name="Normal 5 2 3 4 4 2 3" xfId="20861" xr:uid="{84CCD8DD-C34B-407B-9ABD-FE004A0CD901}"/>
    <cellStyle name="Normal 5 2 3 4 4 2 4" xfId="12420" xr:uid="{16FE5A6B-A2F4-4AAB-BB0A-A101D22D1976}"/>
    <cellStyle name="Normal 5 2 3 4 4 3" xfId="6043" xr:uid="{00000000-0005-0000-0000-0000B8180000}"/>
    <cellStyle name="Normal 5 2 3 4 4 3 2" xfId="22934" xr:uid="{247D845A-AE56-4D20-8C36-AC015CDCE0A2}"/>
    <cellStyle name="Normal 5 2 3 4 4 3 3" xfId="14493" xr:uid="{3E1E1855-E193-457A-A302-0573ABE7CCC8}"/>
    <cellStyle name="Normal 5 2 3 4 4 4" xfId="18716" xr:uid="{CF4A05FE-CAAA-4F05-AD61-44395EC67D77}"/>
    <cellStyle name="Normal 5 2 3 4 4 5" xfId="10275" xr:uid="{17601834-14B0-47CF-A328-DED61766726A}"/>
    <cellStyle name="Normal 5 2 3 4 5" xfId="2150" xr:uid="{00000000-0005-0000-0000-0000B9180000}"/>
    <cellStyle name="Normal 5 2 3 4 5 2" xfId="4379" xr:uid="{00000000-0005-0000-0000-0000BA180000}"/>
    <cellStyle name="Normal 5 2 3 4 5 2 2" xfId="8601" xr:uid="{00000000-0005-0000-0000-0000BB180000}"/>
    <cellStyle name="Normal 5 2 3 4 5 2 2 2" xfId="25492" xr:uid="{E2E17CA7-C4C5-46AF-985A-C132A9CA9D1E}"/>
    <cellStyle name="Normal 5 2 3 4 5 2 2 3" xfId="17051" xr:uid="{EFBD83AC-7BD2-45A1-BEA3-4231778D8E9D}"/>
    <cellStyle name="Normal 5 2 3 4 5 2 3" xfId="21274" xr:uid="{2C9D9D4E-7B31-4E3E-B0E2-371B31371E6F}"/>
    <cellStyle name="Normal 5 2 3 4 5 2 4" xfId="12833" xr:uid="{E1A24322-FFCB-4D5B-8ADF-9D5ECF1E6252}"/>
    <cellStyle name="Normal 5 2 3 4 5 3" xfId="6456" xr:uid="{00000000-0005-0000-0000-0000BC180000}"/>
    <cellStyle name="Normal 5 2 3 4 5 3 2" xfId="23347" xr:uid="{A2D3FBDE-40D0-4499-BF2E-BF3090DC74DF}"/>
    <cellStyle name="Normal 5 2 3 4 5 3 3" xfId="14906" xr:uid="{02C06C0E-9BBE-4216-ABF9-373A4CD0A9BF}"/>
    <cellStyle name="Normal 5 2 3 4 5 4" xfId="19129" xr:uid="{86DD1647-CB14-4E3C-A2FF-E918F7FEBC90}"/>
    <cellStyle name="Normal 5 2 3 4 5 5" xfId="10688" xr:uid="{5945F97A-3778-4860-B782-D786D425F9A4}"/>
    <cellStyle name="Normal 5 2 3 4 6" xfId="2586" xr:uid="{00000000-0005-0000-0000-0000BD180000}"/>
    <cellStyle name="Normal 5 2 3 4 6 2" xfId="6869" xr:uid="{00000000-0005-0000-0000-0000BE180000}"/>
    <cellStyle name="Normal 5 2 3 4 6 2 2" xfId="23760" xr:uid="{FEAE3FEC-C4E3-481F-ACC0-727438D5C059}"/>
    <cellStyle name="Normal 5 2 3 4 6 2 3" xfId="15319" xr:uid="{608111A4-D20E-435A-954E-AF7817052FF4}"/>
    <cellStyle name="Normal 5 2 3 4 6 3" xfId="19542" xr:uid="{74A4E95D-DE31-43A6-AE2D-61A766351B2A}"/>
    <cellStyle name="Normal 5 2 3 4 6 4" xfId="11101" xr:uid="{C9684226-7085-4A8D-9CD9-CE305FD0751D}"/>
    <cellStyle name="Normal 5 2 3 4 7" xfId="4804" xr:uid="{00000000-0005-0000-0000-0000BF180000}"/>
    <cellStyle name="Normal 5 2 3 4 7 2" xfId="21695" xr:uid="{381A5698-C81B-414D-A278-4192580E083B}"/>
    <cellStyle name="Normal 5 2 3 4 7 3" xfId="13254" xr:uid="{49D28ED9-FEC9-49DB-9221-7E2BC04C6A71}"/>
    <cellStyle name="Normal 5 2 3 4 8" xfId="17477" xr:uid="{0D646D30-316D-4B13-81F4-8D785C8CF09F}"/>
    <cellStyle name="Normal 5 2 3 4 9" xfId="9036" xr:uid="{BE9AA034-9FD9-49C0-8F82-B75556CE45BF}"/>
    <cellStyle name="Normal 5 2 3 5" xfId="898" xr:uid="{00000000-0005-0000-0000-0000C0180000}"/>
    <cellStyle name="Normal 5 2 3 5 2" xfId="3133" xr:uid="{00000000-0005-0000-0000-0000C1180000}"/>
    <cellStyle name="Normal 5 2 3 5 2 2" xfId="7355" xr:uid="{00000000-0005-0000-0000-0000C2180000}"/>
    <cellStyle name="Normal 5 2 3 5 2 2 2" xfId="24246" xr:uid="{8B04F361-A638-49AA-9A24-F43E79B6BB9B}"/>
    <cellStyle name="Normal 5 2 3 5 2 2 3" xfId="15805" xr:uid="{43984971-ABAE-46E3-A893-5329C8D82539}"/>
    <cellStyle name="Normal 5 2 3 5 2 3" xfId="20028" xr:uid="{C68F8C5C-7E40-4F28-8520-2FAA0337640C}"/>
    <cellStyle name="Normal 5 2 3 5 2 4" xfId="11587" xr:uid="{EEB0D99B-8A4E-4C0D-AB84-F046FD45E973}"/>
    <cellStyle name="Normal 5 2 3 5 3" xfId="5210" xr:uid="{00000000-0005-0000-0000-0000C3180000}"/>
    <cellStyle name="Normal 5 2 3 5 3 2" xfId="22101" xr:uid="{04FD6D16-35BB-4B52-9C16-B10D1ADBF5CB}"/>
    <cellStyle name="Normal 5 2 3 5 3 3" xfId="13660" xr:uid="{364AB0E1-1A9E-4FC9-B162-A5479DE034BF}"/>
    <cellStyle name="Normal 5 2 3 5 4" xfId="17883" xr:uid="{AAA408CA-CABD-4386-8E3D-E84971FDC6DE}"/>
    <cellStyle name="Normal 5 2 3 5 5" xfId="9442" xr:uid="{AFA65001-496A-4B57-8AAE-9A1B9D7B4453}"/>
    <cellStyle name="Normal 5 2 3 6" xfId="1316" xr:uid="{00000000-0005-0000-0000-0000C4180000}"/>
    <cellStyle name="Normal 5 2 3 6 2" xfId="3546" xr:uid="{00000000-0005-0000-0000-0000C5180000}"/>
    <cellStyle name="Normal 5 2 3 6 2 2" xfId="7768" xr:uid="{00000000-0005-0000-0000-0000C6180000}"/>
    <cellStyle name="Normal 5 2 3 6 2 2 2" xfId="24659" xr:uid="{949CF4F0-487F-4F41-B65E-CDE3B06EDD69}"/>
    <cellStyle name="Normal 5 2 3 6 2 2 3" xfId="16218" xr:uid="{B7825F40-A4A1-4AF2-9CBD-15EDC08D4F60}"/>
    <cellStyle name="Normal 5 2 3 6 2 3" xfId="20441" xr:uid="{B798D020-8526-40FC-84A8-895DDDE82AEE}"/>
    <cellStyle name="Normal 5 2 3 6 2 4" xfId="12000" xr:uid="{179109AC-A89B-422C-B76E-CDE030C741BA}"/>
    <cellStyle name="Normal 5 2 3 6 3" xfId="5623" xr:uid="{00000000-0005-0000-0000-0000C7180000}"/>
    <cellStyle name="Normal 5 2 3 6 3 2" xfId="22514" xr:uid="{DB320960-1DE4-417C-B47C-376CA4298597}"/>
    <cellStyle name="Normal 5 2 3 6 3 3" xfId="14073" xr:uid="{3238CBC5-3D47-46D8-B15A-D33982A8CAD6}"/>
    <cellStyle name="Normal 5 2 3 6 4" xfId="18296" xr:uid="{5C2CC1B7-B91C-47BD-9E7C-8869D810C74E}"/>
    <cellStyle name="Normal 5 2 3 6 5" xfId="9855" xr:uid="{33E7F9AF-0544-450D-BA39-67DD23651E87}"/>
    <cellStyle name="Normal 5 2 3 7" xfId="1729" xr:uid="{00000000-0005-0000-0000-0000C8180000}"/>
    <cellStyle name="Normal 5 2 3 7 2" xfId="3959" xr:uid="{00000000-0005-0000-0000-0000C9180000}"/>
    <cellStyle name="Normal 5 2 3 7 2 2" xfId="8181" xr:uid="{00000000-0005-0000-0000-0000CA180000}"/>
    <cellStyle name="Normal 5 2 3 7 2 2 2" xfId="25072" xr:uid="{F9371E7D-8335-4E92-BDDD-D8CB8CB172D5}"/>
    <cellStyle name="Normal 5 2 3 7 2 2 3" xfId="16631" xr:uid="{E0142FF7-4FBE-49D6-B607-86ED5DA5485B}"/>
    <cellStyle name="Normal 5 2 3 7 2 3" xfId="20854" xr:uid="{7B220933-01B7-4D8E-B318-B68056987E25}"/>
    <cellStyle name="Normal 5 2 3 7 2 4" xfId="12413" xr:uid="{79B073A7-075B-42AF-8351-F240DDCF95FC}"/>
    <cellStyle name="Normal 5 2 3 7 3" xfId="6036" xr:uid="{00000000-0005-0000-0000-0000CB180000}"/>
    <cellStyle name="Normal 5 2 3 7 3 2" xfId="22927" xr:uid="{C8A66EEF-EE5E-4476-A552-B13202E1A817}"/>
    <cellStyle name="Normal 5 2 3 7 3 3" xfId="14486" xr:uid="{752D425A-84A1-42F8-8809-5B74544D4B72}"/>
    <cellStyle name="Normal 5 2 3 7 4" xfId="18709" xr:uid="{82CB6345-88AD-4563-9391-DDD8A3B9258F}"/>
    <cellStyle name="Normal 5 2 3 7 5" xfId="10268" xr:uid="{6DEBFF34-4CDA-41B2-88AF-10CA393E2161}"/>
    <cellStyle name="Normal 5 2 3 8" xfId="2143" xr:uid="{00000000-0005-0000-0000-0000CC180000}"/>
    <cellStyle name="Normal 5 2 3 8 2" xfId="4372" xr:uid="{00000000-0005-0000-0000-0000CD180000}"/>
    <cellStyle name="Normal 5 2 3 8 2 2" xfId="8594" xr:uid="{00000000-0005-0000-0000-0000CE180000}"/>
    <cellStyle name="Normal 5 2 3 8 2 2 2" xfId="25485" xr:uid="{434522B3-FD64-401B-AAD5-462925A4B8D4}"/>
    <cellStyle name="Normal 5 2 3 8 2 2 3" xfId="17044" xr:uid="{DCA6A9CA-803E-45D9-AB10-74CF158D1B1F}"/>
    <cellStyle name="Normal 5 2 3 8 2 3" xfId="21267" xr:uid="{09A3C277-07ED-4C92-A5A9-27FD511FB8A4}"/>
    <cellStyle name="Normal 5 2 3 8 2 4" xfId="12826" xr:uid="{6ABDDF6F-653D-4B48-9BB5-FE4017258B88}"/>
    <cellStyle name="Normal 5 2 3 8 3" xfId="6449" xr:uid="{00000000-0005-0000-0000-0000CF180000}"/>
    <cellStyle name="Normal 5 2 3 8 3 2" xfId="23340" xr:uid="{FE3B36F5-F0F6-40BA-8009-F704B70F8EF4}"/>
    <cellStyle name="Normal 5 2 3 8 3 3" xfId="14899" xr:uid="{AA72A165-73E2-4634-A982-621F1FFB2E5C}"/>
    <cellStyle name="Normal 5 2 3 8 4" xfId="19122" xr:uid="{AE9D691F-7F6E-4BA5-90EA-1AE1C85F5A7B}"/>
    <cellStyle name="Normal 5 2 3 8 5" xfId="10681" xr:uid="{E2048F38-79D3-4D69-AAC5-905160D087A2}"/>
    <cellStyle name="Normal 5 2 3 9" xfId="2579" xr:uid="{00000000-0005-0000-0000-0000D0180000}"/>
    <cellStyle name="Normal 5 2 3 9 2" xfId="6862" xr:uid="{00000000-0005-0000-0000-0000D1180000}"/>
    <cellStyle name="Normal 5 2 3 9 2 2" xfId="23753" xr:uid="{604FF605-B181-4C38-8F6A-F9E7AB6AD652}"/>
    <cellStyle name="Normal 5 2 3 9 2 3" xfId="15312" xr:uid="{3AE44751-B3B9-4667-8DD1-FAE5409CF6AB}"/>
    <cellStyle name="Normal 5 2 3 9 3" xfId="19535" xr:uid="{FFD0455C-E7EA-48FD-AB7A-076E89C7508E}"/>
    <cellStyle name="Normal 5 2 3 9 4" xfId="11094" xr:uid="{576338E6-F9BF-4116-B0D1-567AB6774B58}"/>
    <cellStyle name="Normal 5 2 4" xfId="432" xr:uid="{00000000-0005-0000-0000-0000D2180000}"/>
    <cellStyle name="Normal 5 2 4 10" xfId="17478" xr:uid="{B6AC034A-623D-42BC-8476-D86184EB8392}"/>
    <cellStyle name="Normal 5 2 4 11" xfId="9037" xr:uid="{3FF731E8-5EBB-4FB8-BFD0-E711B912F1B1}"/>
    <cellStyle name="Normal 5 2 4 2" xfId="433" xr:uid="{00000000-0005-0000-0000-0000D3180000}"/>
    <cellStyle name="Normal 5 2 4 2 10" xfId="9038" xr:uid="{6344F40D-E6C6-4E23-92BA-16A82E84C96F}"/>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2 2 2" xfId="24256" xr:uid="{8E7823F6-51FF-4C0F-969B-67D506B9B4EB}"/>
    <cellStyle name="Normal 5 2 4 2 2 2 2 2 3" xfId="15815" xr:uid="{FEC53F22-C7B7-4465-A2BA-273608F75775}"/>
    <cellStyle name="Normal 5 2 4 2 2 2 2 3" xfId="20038" xr:uid="{A7B182D7-7F1A-4D24-90FC-76C44E6578A3}"/>
    <cellStyle name="Normal 5 2 4 2 2 2 2 4" xfId="11597" xr:uid="{FE868A1F-0B11-4892-855D-CF895D61EB50}"/>
    <cellStyle name="Normal 5 2 4 2 2 2 3" xfId="5220" xr:uid="{00000000-0005-0000-0000-0000D8180000}"/>
    <cellStyle name="Normal 5 2 4 2 2 2 3 2" xfId="22111" xr:uid="{AC785607-FACC-4D6A-A3D1-A25B634589C5}"/>
    <cellStyle name="Normal 5 2 4 2 2 2 3 3" xfId="13670" xr:uid="{A11F3895-2B91-43FD-BC0A-FAFCE484BCAD}"/>
    <cellStyle name="Normal 5 2 4 2 2 2 4" xfId="17893" xr:uid="{D65AE033-906E-4EE5-8AD0-3FDC4A5BDD7F}"/>
    <cellStyle name="Normal 5 2 4 2 2 2 5" xfId="9452" xr:uid="{354D8F66-7586-4469-97C2-E669EE54C57F}"/>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2 2 2" xfId="24669" xr:uid="{22820B7E-EF55-4AEC-BD68-1956C5ABFBCC}"/>
    <cellStyle name="Normal 5 2 4 2 2 3 2 2 3" xfId="16228" xr:uid="{D8821B5E-B79D-4F56-AEBC-4AE2BD3A55C0}"/>
    <cellStyle name="Normal 5 2 4 2 2 3 2 3" xfId="20451" xr:uid="{B3A55695-794C-466B-A539-343DFA94497A}"/>
    <cellStyle name="Normal 5 2 4 2 2 3 2 4" xfId="12010" xr:uid="{99266F66-C5E8-4209-A4E5-2FEFCA3030BD}"/>
    <cellStyle name="Normal 5 2 4 2 2 3 3" xfId="5633" xr:uid="{00000000-0005-0000-0000-0000DC180000}"/>
    <cellStyle name="Normal 5 2 4 2 2 3 3 2" xfId="22524" xr:uid="{64A022E7-1A22-4B59-B2EA-A688F3DB16FD}"/>
    <cellStyle name="Normal 5 2 4 2 2 3 3 3" xfId="14083" xr:uid="{6F4B4AB1-9703-46E1-B416-D7961454BF14}"/>
    <cellStyle name="Normal 5 2 4 2 2 3 4" xfId="18306" xr:uid="{C5FDE3EC-41B7-4CDA-AA20-C98ACFDDCB34}"/>
    <cellStyle name="Normal 5 2 4 2 2 3 5" xfId="9865" xr:uid="{FE5CCC14-5C1F-4CC0-9FBC-0B5D8A6B61B7}"/>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2 2 2" xfId="25082" xr:uid="{13857E91-E2FA-4083-8F20-8D6315AB42B8}"/>
    <cellStyle name="Normal 5 2 4 2 2 4 2 2 3" xfId="16641" xr:uid="{A6E1E2F8-3E3A-418F-99C6-1F08B09FF788}"/>
    <cellStyle name="Normal 5 2 4 2 2 4 2 3" xfId="20864" xr:uid="{AF683E4C-320C-4B2D-BD38-E1A6A868603F}"/>
    <cellStyle name="Normal 5 2 4 2 2 4 2 4" xfId="12423" xr:uid="{BB86F0FA-01A6-4FD5-BF2E-CD69CEE84B67}"/>
    <cellStyle name="Normal 5 2 4 2 2 4 3" xfId="6046" xr:uid="{00000000-0005-0000-0000-0000E0180000}"/>
    <cellStyle name="Normal 5 2 4 2 2 4 3 2" xfId="22937" xr:uid="{0631C04C-D8CD-4EDD-A833-38B60044218A}"/>
    <cellStyle name="Normal 5 2 4 2 2 4 3 3" xfId="14496" xr:uid="{1A60B3BC-C65E-4A9D-9561-4BBD4BA19EB3}"/>
    <cellStyle name="Normal 5 2 4 2 2 4 4" xfId="18719" xr:uid="{CDB13F5D-0694-48C2-8E8D-408EE29FCCA5}"/>
    <cellStyle name="Normal 5 2 4 2 2 4 5" xfId="10278" xr:uid="{0D49B976-49C4-46AE-9C62-50BF6F6C4F28}"/>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2 2 2" xfId="25495" xr:uid="{B44F08C4-FF2F-447C-BF27-D0FCD63DFC4E}"/>
    <cellStyle name="Normal 5 2 4 2 2 5 2 2 3" xfId="17054" xr:uid="{425EAEAF-94DC-46F7-A0D6-6DAE283DB9FB}"/>
    <cellStyle name="Normal 5 2 4 2 2 5 2 3" xfId="21277" xr:uid="{A1D6A777-87B7-4975-9BEC-00FD4D66D445}"/>
    <cellStyle name="Normal 5 2 4 2 2 5 2 4" xfId="12836" xr:uid="{1EB7F783-2F76-471C-9E6E-27D07405C915}"/>
    <cellStyle name="Normal 5 2 4 2 2 5 3" xfId="6459" xr:uid="{00000000-0005-0000-0000-0000E4180000}"/>
    <cellStyle name="Normal 5 2 4 2 2 5 3 2" xfId="23350" xr:uid="{43D7FB0D-38DA-4F99-A313-507E5B26D552}"/>
    <cellStyle name="Normal 5 2 4 2 2 5 3 3" xfId="14909" xr:uid="{4A2E49A3-BB9E-4723-89CF-2F2193577BF4}"/>
    <cellStyle name="Normal 5 2 4 2 2 5 4" xfId="19132" xr:uid="{754DDFA3-B50C-4BA8-B6AF-DB9C1325212F}"/>
    <cellStyle name="Normal 5 2 4 2 2 5 5" xfId="10691" xr:uid="{A27D81B1-FC01-447F-8299-42221E28511F}"/>
    <cellStyle name="Normal 5 2 4 2 2 6" xfId="2589" xr:uid="{00000000-0005-0000-0000-0000E5180000}"/>
    <cellStyle name="Normal 5 2 4 2 2 6 2" xfId="6872" xr:uid="{00000000-0005-0000-0000-0000E6180000}"/>
    <cellStyle name="Normal 5 2 4 2 2 6 2 2" xfId="23763" xr:uid="{CE378780-157F-428D-8A9A-5B20C2C67710}"/>
    <cellStyle name="Normal 5 2 4 2 2 6 2 3" xfId="15322" xr:uid="{F84C4E5D-6C52-431F-A715-C8C0A0D2D358}"/>
    <cellStyle name="Normal 5 2 4 2 2 6 3" xfId="19545" xr:uid="{38B954FD-572E-404B-8541-836A13037548}"/>
    <cellStyle name="Normal 5 2 4 2 2 6 4" xfId="11104" xr:uid="{22021748-72D5-4CCA-B214-71A3ADC41835}"/>
    <cellStyle name="Normal 5 2 4 2 2 7" xfId="4807" xr:uid="{00000000-0005-0000-0000-0000E7180000}"/>
    <cellStyle name="Normal 5 2 4 2 2 7 2" xfId="21698" xr:uid="{7992D819-E3C7-4F72-8553-7108466E0EB6}"/>
    <cellStyle name="Normal 5 2 4 2 2 7 3" xfId="13257" xr:uid="{BE9C6525-A739-4FA8-9837-94A02B80AD7F}"/>
    <cellStyle name="Normal 5 2 4 2 2 8" xfId="17480" xr:uid="{9AF9FEAA-2E7E-404B-9858-99D10098FEEC}"/>
    <cellStyle name="Normal 5 2 4 2 2 9" xfId="9039" xr:uid="{153C79B8-18C3-4B9E-8AE9-BA39C398ACE2}"/>
    <cellStyle name="Normal 5 2 4 2 3" xfId="907" xr:uid="{00000000-0005-0000-0000-0000E8180000}"/>
    <cellStyle name="Normal 5 2 4 2 3 2" xfId="3142" xr:uid="{00000000-0005-0000-0000-0000E9180000}"/>
    <cellStyle name="Normal 5 2 4 2 3 2 2" xfId="7364" xr:uid="{00000000-0005-0000-0000-0000EA180000}"/>
    <cellStyle name="Normal 5 2 4 2 3 2 2 2" xfId="24255" xr:uid="{47998186-66C3-49E8-8497-AFD142DB8BC0}"/>
    <cellStyle name="Normal 5 2 4 2 3 2 2 3" xfId="15814" xr:uid="{D1C4CE93-4B57-4721-BAB6-20904F51FD7C}"/>
    <cellStyle name="Normal 5 2 4 2 3 2 3" xfId="20037" xr:uid="{91D4B125-0ED7-49B1-82E5-C22EFFEB578A}"/>
    <cellStyle name="Normal 5 2 4 2 3 2 4" xfId="11596" xr:uid="{60312BD4-6D51-4EB2-8D53-28B49C60F7CA}"/>
    <cellStyle name="Normal 5 2 4 2 3 3" xfId="5219" xr:uid="{00000000-0005-0000-0000-0000EB180000}"/>
    <cellStyle name="Normal 5 2 4 2 3 3 2" xfId="22110" xr:uid="{2596F99A-7875-4BC6-AD26-817B7AA53251}"/>
    <cellStyle name="Normal 5 2 4 2 3 3 3" xfId="13669" xr:uid="{DA6A27DA-CB12-4F99-AD5C-787709D80032}"/>
    <cellStyle name="Normal 5 2 4 2 3 4" xfId="17892" xr:uid="{FD2E71C7-6335-4429-AF1A-98F5F07BB827}"/>
    <cellStyle name="Normal 5 2 4 2 3 5" xfId="9451" xr:uid="{79363BF0-6A0C-4BF1-B045-8AD01B83EE22}"/>
    <cellStyle name="Normal 5 2 4 2 4" xfId="1325" xr:uid="{00000000-0005-0000-0000-0000EC180000}"/>
    <cellStyle name="Normal 5 2 4 2 4 2" xfId="3555" xr:uid="{00000000-0005-0000-0000-0000ED180000}"/>
    <cellStyle name="Normal 5 2 4 2 4 2 2" xfId="7777" xr:uid="{00000000-0005-0000-0000-0000EE180000}"/>
    <cellStyle name="Normal 5 2 4 2 4 2 2 2" xfId="24668" xr:uid="{DED589B8-6340-40F8-BC8D-B52ADDD43AF9}"/>
    <cellStyle name="Normal 5 2 4 2 4 2 2 3" xfId="16227" xr:uid="{2FCA1930-0C99-4577-95F5-A166CC9E1880}"/>
    <cellStyle name="Normal 5 2 4 2 4 2 3" xfId="20450" xr:uid="{5C8C37D5-99E9-42DD-8ADA-2C289FAD815A}"/>
    <cellStyle name="Normal 5 2 4 2 4 2 4" xfId="12009" xr:uid="{744CCCAE-8845-4532-8B88-8D8157DCEA06}"/>
    <cellStyle name="Normal 5 2 4 2 4 3" xfId="5632" xr:uid="{00000000-0005-0000-0000-0000EF180000}"/>
    <cellStyle name="Normal 5 2 4 2 4 3 2" xfId="22523" xr:uid="{A741AC77-7938-4A5C-BB31-4FC26EDBC2D4}"/>
    <cellStyle name="Normal 5 2 4 2 4 3 3" xfId="14082" xr:uid="{4AF15AAD-99FF-4113-8012-FCFBF3C4A471}"/>
    <cellStyle name="Normal 5 2 4 2 4 4" xfId="18305" xr:uid="{B9556595-D6A2-40C6-9984-237337778148}"/>
    <cellStyle name="Normal 5 2 4 2 4 5" xfId="9864" xr:uid="{37B9AEE3-8ED1-4E2F-AE9A-0F8C91DA7E23}"/>
    <cellStyle name="Normal 5 2 4 2 5" xfId="1738" xr:uid="{00000000-0005-0000-0000-0000F0180000}"/>
    <cellStyle name="Normal 5 2 4 2 5 2" xfId="3968" xr:uid="{00000000-0005-0000-0000-0000F1180000}"/>
    <cellStyle name="Normal 5 2 4 2 5 2 2" xfId="8190" xr:uid="{00000000-0005-0000-0000-0000F2180000}"/>
    <cellStyle name="Normal 5 2 4 2 5 2 2 2" xfId="25081" xr:uid="{60E76D53-3444-4632-A058-1277879F7AAE}"/>
    <cellStyle name="Normal 5 2 4 2 5 2 2 3" xfId="16640" xr:uid="{92E793AB-5866-4DE7-9D60-221F4CC010AF}"/>
    <cellStyle name="Normal 5 2 4 2 5 2 3" xfId="20863" xr:uid="{B1FF49DC-3895-4E66-BDF9-E5FC67910B1E}"/>
    <cellStyle name="Normal 5 2 4 2 5 2 4" xfId="12422" xr:uid="{1FD2B8A5-F263-4907-8FE4-303D62718CC4}"/>
    <cellStyle name="Normal 5 2 4 2 5 3" xfId="6045" xr:uid="{00000000-0005-0000-0000-0000F3180000}"/>
    <cellStyle name="Normal 5 2 4 2 5 3 2" xfId="22936" xr:uid="{5482299D-68F5-41F2-9A8C-6F8B2C5168E7}"/>
    <cellStyle name="Normal 5 2 4 2 5 3 3" xfId="14495" xr:uid="{A405A4A9-0887-4DEA-A37B-76D6D155E22E}"/>
    <cellStyle name="Normal 5 2 4 2 5 4" xfId="18718" xr:uid="{4172A3D9-7FDC-4273-AC73-08844C04EC38}"/>
    <cellStyle name="Normal 5 2 4 2 5 5" xfId="10277" xr:uid="{AA723EB6-3247-49A4-B81D-CAA4A5E9BE32}"/>
    <cellStyle name="Normal 5 2 4 2 6" xfId="2152" xr:uid="{00000000-0005-0000-0000-0000F4180000}"/>
    <cellStyle name="Normal 5 2 4 2 6 2" xfId="4381" xr:uid="{00000000-0005-0000-0000-0000F5180000}"/>
    <cellStyle name="Normal 5 2 4 2 6 2 2" xfId="8603" xr:uid="{00000000-0005-0000-0000-0000F6180000}"/>
    <cellStyle name="Normal 5 2 4 2 6 2 2 2" xfId="25494" xr:uid="{3C75A70D-3EB9-4E0A-969C-0B334A834729}"/>
    <cellStyle name="Normal 5 2 4 2 6 2 2 3" xfId="17053" xr:uid="{E637D0AF-49BE-43C4-BCBC-15587D9CBA83}"/>
    <cellStyle name="Normal 5 2 4 2 6 2 3" xfId="21276" xr:uid="{AC96073A-A150-423D-9E88-6CE3D341E99D}"/>
    <cellStyle name="Normal 5 2 4 2 6 2 4" xfId="12835" xr:uid="{4577DBD2-04C8-47D4-A26D-6ABC9E965758}"/>
    <cellStyle name="Normal 5 2 4 2 6 3" xfId="6458" xr:uid="{00000000-0005-0000-0000-0000F7180000}"/>
    <cellStyle name="Normal 5 2 4 2 6 3 2" xfId="23349" xr:uid="{4C772DF7-9A80-4605-B0FD-D9F1DB582F35}"/>
    <cellStyle name="Normal 5 2 4 2 6 3 3" xfId="14908" xr:uid="{240E495B-4249-4015-A7BB-2739A2C9D7E8}"/>
    <cellStyle name="Normal 5 2 4 2 6 4" xfId="19131" xr:uid="{D9D59E49-0392-44F5-A80A-1A9EE4721426}"/>
    <cellStyle name="Normal 5 2 4 2 6 5" xfId="10690" xr:uid="{EA5AA176-BD9B-4675-8493-437321F45B0F}"/>
    <cellStyle name="Normal 5 2 4 2 7" xfId="2588" xr:uid="{00000000-0005-0000-0000-0000F8180000}"/>
    <cellStyle name="Normal 5 2 4 2 7 2" xfId="6871" xr:uid="{00000000-0005-0000-0000-0000F9180000}"/>
    <cellStyle name="Normal 5 2 4 2 7 2 2" xfId="23762" xr:uid="{4D8908F4-D10E-45C0-B0DA-9BDEED73FD0C}"/>
    <cellStyle name="Normal 5 2 4 2 7 2 3" xfId="15321" xr:uid="{8818525D-7B41-49B5-B626-14964DCCBD65}"/>
    <cellStyle name="Normal 5 2 4 2 7 3" xfId="19544" xr:uid="{7B2B6E0F-8059-47FB-8C4C-554ED274A44D}"/>
    <cellStyle name="Normal 5 2 4 2 7 4" xfId="11103" xr:uid="{7A557083-742F-4E17-BABD-BD9569286AD6}"/>
    <cellStyle name="Normal 5 2 4 2 8" xfId="4806" xr:uid="{00000000-0005-0000-0000-0000FA180000}"/>
    <cellStyle name="Normal 5 2 4 2 8 2" xfId="21697" xr:uid="{ADF299A9-F33F-413C-B67F-FA3A8068075D}"/>
    <cellStyle name="Normal 5 2 4 2 8 3" xfId="13256" xr:uid="{5013BDC0-B77E-48FF-88A1-0F32C8FEB370}"/>
    <cellStyle name="Normal 5 2 4 2 9" xfId="17479" xr:uid="{9144E700-C8F6-4136-AA72-A59FE0D930A3}"/>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2 2 2" xfId="24257" xr:uid="{8D34B413-3EC5-4F30-81C2-AE017DBC4300}"/>
    <cellStyle name="Normal 5 2 4 3 2 2 2 3" xfId="15816" xr:uid="{1BEAA641-1F03-49A9-871C-C372088AB01B}"/>
    <cellStyle name="Normal 5 2 4 3 2 2 3" xfId="20039" xr:uid="{3AC2B156-A330-4898-931B-64E73F19E1F4}"/>
    <cellStyle name="Normal 5 2 4 3 2 2 4" xfId="11598" xr:uid="{5FAB6638-B8CF-4972-9049-5E121A6F1602}"/>
    <cellStyle name="Normal 5 2 4 3 2 3" xfId="5221" xr:uid="{00000000-0005-0000-0000-0000FF180000}"/>
    <cellStyle name="Normal 5 2 4 3 2 3 2" xfId="22112" xr:uid="{97D50C07-9E66-4F91-88F7-A8B37FC79FFF}"/>
    <cellStyle name="Normal 5 2 4 3 2 3 3" xfId="13671" xr:uid="{15364373-0770-4444-88CB-BE72E3F771F3}"/>
    <cellStyle name="Normal 5 2 4 3 2 4" xfId="17894" xr:uid="{B0E4F415-EC35-4A68-A1D1-807D265FDEC5}"/>
    <cellStyle name="Normal 5 2 4 3 2 5" xfId="9453" xr:uid="{7397F2AE-F2B7-4C1A-8C65-FDB89CEEA576}"/>
    <cellStyle name="Normal 5 2 4 3 3" xfId="1327" xr:uid="{00000000-0005-0000-0000-000000190000}"/>
    <cellStyle name="Normal 5 2 4 3 3 2" xfId="3557" xr:uid="{00000000-0005-0000-0000-000001190000}"/>
    <cellStyle name="Normal 5 2 4 3 3 2 2" xfId="7779" xr:uid="{00000000-0005-0000-0000-000002190000}"/>
    <cellStyle name="Normal 5 2 4 3 3 2 2 2" xfId="24670" xr:uid="{33D39983-D0AF-4C02-B031-7CD6486C67C8}"/>
    <cellStyle name="Normal 5 2 4 3 3 2 2 3" xfId="16229" xr:uid="{4DC954EC-32BC-454A-A108-D46C0FA7B996}"/>
    <cellStyle name="Normal 5 2 4 3 3 2 3" xfId="20452" xr:uid="{BCFABE25-F98B-4B41-A8AD-1BA1D5F0638E}"/>
    <cellStyle name="Normal 5 2 4 3 3 2 4" xfId="12011" xr:uid="{FCFB7A0E-94F4-4FA5-B7AE-759DE483EB89}"/>
    <cellStyle name="Normal 5 2 4 3 3 3" xfId="5634" xr:uid="{00000000-0005-0000-0000-000003190000}"/>
    <cellStyle name="Normal 5 2 4 3 3 3 2" xfId="22525" xr:uid="{7A90A5CD-A765-4600-8947-214C74251E1D}"/>
    <cellStyle name="Normal 5 2 4 3 3 3 3" xfId="14084" xr:uid="{DA8039FA-9475-4ECB-8B9F-A0A4FF8543A0}"/>
    <cellStyle name="Normal 5 2 4 3 3 4" xfId="18307" xr:uid="{4E815222-7C38-46E0-B742-C89F4819F87B}"/>
    <cellStyle name="Normal 5 2 4 3 3 5" xfId="9866" xr:uid="{7EB2EB7C-8B94-42F5-A331-9E8C4352DE7F}"/>
    <cellStyle name="Normal 5 2 4 3 4" xfId="1740" xr:uid="{00000000-0005-0000-0000-000004190000}"/>
    <cellStyle name="Normal 5 2 4 3 4 2" xfId="3970" xr:uid="{00000000-0005-0000-0000-000005190000}"/>
    <cellStyle name="Normal 5 2 4 3 4 2 2" xfId="8192" xr:uid="{00000000-0005-0000-0000-000006190000}"/>
    <cellStyle name="Normal 5 2 4 3 4 2 2 2" xfId="25083" xr:uid="{AFAD9DF9-6D18-4AB4-842E-6584DCB56118}"/>
    <cellStyle name="Normal 5 2 4 3 4 2 2 3" xfId="16642" xr:uid="{6AAC39F2-DFB5-4ADE-8A7C-542165EBB631}"/>
    <cellStyle name="Normal 5 2 4 3 4 2 3" xfId="20865" xr:uid="{1A8F72EB-4CB2-4EE1-894A-33B686486178}"/>
    <cellStyle name="Normal 5 2 4 3 4 2 4" xfId="12424" xr:uid="{6D6A7641-B513-4D78-BE5B-1EB04279D936}"/>
    <cellStyle name="Normal 5 2 4 3 4 3" xfId="6047" xr:uid="{00000000-0005-0000-0000-000007190000}"/>
    <cellStyle name="Normal 5 2 4 3 4 3 2" xfId="22938" xr:uid="{016B4FB4-C436-4B26-9F96-DDF0DF1C4A10}"/>
    <cellStyle name="Normal 5 2 4 3 4 3 3" xfId="14497" xr:uid="{AD44E72F-AD65-4555-8A5A-E66578A83389}"/>
    <cellStyle name="Normal 5 2 4 3 4 4" xfId="18720" xr:uid="{58ED3F46-1E16-4B51-9524-9D87123B4627}"/>
    <cellStyle name="Normal 5 2 4 3 4 5" xfId="10279" xr:uid="{1A4A95E8-0DB5-4F0E-9569-195E35672FA4}"/>
    <cellStyle name="Normal 5 2 4 3 5" xfId="2154" xr:uid="{00000000-0005-0000-0000-000008190000}"/>
    <cellStyle name="Normal 5 2 4 3 5 2" xfId="4383" xr:uid="{00000000-0005-0000-0000-000009190000}"/>
    <cellStyle name="Normal 5 2 4 3 5 2 2" xfId="8605" xr:uid="{00000000-0005-0000-0000-00000A190000}"/>
    <cellStyle name="Normal 5 2 4 3 5 2 2 2" xfId="25496" xr:uid="{8D0A4586-4B9B-4A89-B104-ABF3B2D8D0C6}"/>
    <cellStyle name="Normal 5 2 4 3 5 2 2 3" xfId="17055" xr:uid="{379BFBA5-06C0-4E11-873A-6E61B2DF015A}"/>
    <cellStyle name="Normal 5 2 4 3 5 2 3" xfId="21278" xr:uid="{2789B93D-8EC4-4B84-A3CF-C6ABA9DFD1B8}"/>
    <cellStyle name="Normal 5 2 4 3 5 2 4" xfId="12837" xr:uid="{00CCB58E-EE42-4471-8F86-98F3CEEA3790}"/>
    <cellStyle name="Normal 5 2 4 3 5 3" xfId="6460" xr:uid="{00000000-0005-0000-0000-00000B190000}"/>
    <cellStyle name="Normal 5 2 4 3 5 3 2" xfId="23351" xr:uid="{0A2352C8-7A21-41F9-AFAC-EE9CA290C06E}"/>
    <cellStyle name="Normal 5 2 4 3 5 3 3" xfId="14910" xr:uid="{80FBA4E9-021B-4A62-8FF7-9E55F6BE877D}"/>
    <cellStyle name="Normal 5 2 4 3 5 4" xfId="19133" xr:uid="{AA4D8654-4548-464A-86B2-A11132A63E7E}"/>
    <cellStyle name="Normal 5 2 4 3 5 5" xfId="10692" xr:uid="{6A12A9D4-5FD4-4F93-91EE-87DF43FB1265}"/>
    <cellStyle name="Normal 5 2 4 3 6" xfId="2590" xr:uid="{00000000-0005-0000-0000-00000C190000}"/>
    <cellStyle name="Normal 5 2 4 3 6 2" xfId="6873" xr:uid="{00000000-0005-0000-0000-00000D190000}"/>
    <cellStyle name="Normal 5 2 4 3 6 2 2" xfId="23764" xr:uid="{A7AE54EC-7CAD-4483-B1EE-38C532F20F0E}"/>
    <cellStyle name="Normal 5 2 4 3 6 2 3" xfId="15323" xr:uid="{DB8FD6E6-ACD4-4F5C-B33E-2AACDA717BD6}"/>
    <cellStyle name="Normal 5 2 4 3 6 3" xfId="19546" xr:uid="{046691A7-6AA5-434D-B16E-C3905E241D78}"/>
    <cellStyle name="Normal 5 2 4 3 6 4" xfId="11105" xr:uid="{DCEB17D4-934D-4159-A8B3-D666062AF640}"/>
    <cellStyle name="Normal 5 2 4 3 7" xfId="4808" xr:uid="{00000000-0005-0000-0000-00000E190000}"/>
    <cellStyle name="Normal 5 2 4 3 7 2" xfId="21699" xr:uid="{80B9E6BB-FC91-4D1E-B175-23BE7F028B4B}"/>
    <cellStyle name="Normal 5 2 4 3 7 3" xfId="13258" xr:uid="{9E71E52D-D7DE-4110-9192-15159F0CCBEF}"/>
    <cellStyle name="Normal 5 2 4 3 8" xfId="17481" xr:uid="{2AAA8AB2-B238-42F8-B899-23E8CA342F0F}"/>
    <cellStyle name="Normal 5 2 4 3 9" xfId="9040" xr:uid="{6966F32A-0B15-46A3-AAC0-3257F3657C75}"/>
    <cellStyle name="Normal 5 2 4 4" xfId="906" xr:uid="{00000000-0005-0000-0000-00000F190000}"/>
    <cellStyle name="Normal 5 2 4 4 2" xfId="3141" xr:uid="{00000000-0005-0000-0000-000010190000}"/>
    <cellStyle name="Normal 5 2 4 4 2 2" xfId="7363" xr:uid="{00000000-0005-0000-0000-000011190000}"/>
    <cellStyle name="Normal 5 2 4 4 2 2 2" xfId="24254" xr:uid="{17AEFCE1-3CDA-41D4-8EF5-B68BDDE15884}"/>
    <cellStyle name="Normal 5 2 4 4 2 2 3" xfId="15813" xr:uid="{A9560E07-8F9F-4CEA-83A4-F97559A692AA}"/>
    <cellStyle name="Normal 5 2 4 4 2 3" xfId="20036" xr:uid="{7BD144E0-70C7-4C18-A035-83112637E385}"/>
    <cellStyle name="Normal 5 2 4 4 2 4" xfId="11595" xr:uid="{117C2684-C846-4838-9853-74236D135292}"/>
    <cellStyle name="Normal 5 2 4 4 3" xfId="5218" xr:uid="{00000000-0005-0000-0000-000012190000}"/>
    <cellStyle name="Normal 5 2 4 4 3 2" xfId="22109" xr:uid="{3083E4A6-9740-4AF6-8C7D-EA533BC592AC}"/>
    <cellStyle name="Normal 5 2 4 4 3 3" xfId="13668" xr:uid="{72E46CE2-DA60-47D2-B77D-78BB16F55171}"/>
    <cellStyle name="Normal 5 2 4 4 4" xfId="17891" xr:uid="{CA9D05F9-A7B6-4E29-BC3C-1C6D323DC73A}"/>
    <cellStyle name="Normal 5 2 4 4 5" xfId="9450" xr:uid="{7B443D96-B8CD-43FD-84F2-6D83B1DB646A}"/>
    <cellStyle name="Normal 5 2 4 5" xfId="1324" xr:uid="{00000000-0005-0000-0000-000013190000}"/>
    <cellStyle name="Normal 5 2 4 5 2" xfId="3554" xr:uid="{00000000-0005-0000-0000-000014190000}"/>
    <cellStyle name="Normal 5 2 4 5 2 2" xfId="7776" xr:uid="{00000000-0005-0000-0000-000015190000}"/>
    <cellStyle name="Normal 5 2 4 5 2 2 2" xfId="24667" xr:uid="{E346FF13-2816-4A55-B233-6AE5C7EA0BB7}"/>
    <cellStyle name="Normal 5 2 4 5 2 2 3" xfId="16226" xr:uid="{13DFC5F3-2FEA-47C3-9B87-E38C078571C7}"/>
    <cellStyle name="Normal 5 2 4 5 2 3" xfId="20449" xr:uid="{5955C7BE-2EAF-4BB4-A019-5390FC3A5F57}"/>
    <cellStyle name="Normal 5 2 4 5 2 4" xfId="12008" xr:uid="{0FE45212-4299-4B37-BBC1-C754C7FE25FC}"/>
    <cellStyle name="Normal 5 2 4 5 3" xfId="5631" xr:uid="{00000000-0005-0000-0000-000016190000}"/>
    <cellStyle name="Normal 5 2 4 5 3 2" xfId="22522" xr:uid="{15ABCD00-5027-49DC-894B-43C5E066AA5F}"/>
    <cellStyle name="Normal 5 2 4 5 3 3" xfId="14081" xr:uid="{2443A5F0-25AD-4AA6-82F4-050CC5F64E6E}"/>
    <cellStyle name="Normal 5 2 4 5 4" xfId="18304" xr:uid="{A738116B-7460-46FF-9A9F-31E6305311F8}"/>
    <cellStyle name="Normal 5 2 4 5 5" xfId="9863" xr:uid="{03DACDF7-FD5F-4455-868E-B0267A79DC40}"/>
    <cellStyle name="Normal 5 2 4 6" xfId="1737" xr:uid="{00000000-0005-0000-0000-000017190000}"/>
    <cellStyle name="Normal 5 2 4 6 2" xfId="3967" xr:uid="{00000000-0005-0000-0000-000018190000}"/>
    <cellStyle name="Normal 5 2 4 6 2 2" xfId="8189" xr:uid="{00000000-0005-0000-0000-000019190000}"/>
    <cellStyle name="Normal 5 2 4 6 2 2 2" xfId="25080" xr:uid="{910C0A2E-EFD7-404B-8050-05C39F4C86A2}"/>
    <cellStyle name="Normal 5 2 4 6 2 2 3" xfId="16639" xr:uid="{8BFC87B6-04FA-4979-AC93-1038EEA92015}"/>
    <cellStyle name="Normal 5 2 4 6 2 3" xfId="20862" xr:uid="{61750C63-C7A4-42CF-BBCE-94B449A305AD}"/>
    <cellStyle name="Normal 5 2 4 6 2 4" xfId="12421" xr:uid="{DD7CB7C1-D7CC-447D-971F-5C69286501B5}"/>
    <cellStyle name="Normal 5 2 4 6 3" xfId="6044" xr:uid="{00000000-0005-0000-0000-00001A190000}"/>
    <cellStyle name="Normal 5 2 4 6 3 2" xfId="22935" xr:uid="{34474984-ADA4-44B8-B5B1-2DA6E0287AC3}"/>
    <cellStyle name="Normal 5 2 4 6 3 3" xfId="14494" xr:uid="{B544B15C-2015-4492-A9CF-3410D0DBEE11}"/>
    <cellStyle name="Normal 5 2 4 6 4" xfId="18717" xr:uid="{0BC74651-5EC6-42AB-BB95-B186B5552D35}"/>
    <cellStyle name="Normal 5 2 4 6 5" xfId="10276" xr:uid="{031F8DBB-D926-45D2-BC1D-E1D48E024AE5}"/>
    <cellStyle name="Normal 5 2 4 7" xfId="2151" xr:uid="{00000000-0005-0000-0000-00001B190000}"/>
    <cellStyle name="Normal 5 2 4 7 2" xfId="4380" xr:uid="{00000000-0005-0000-0000-00001C190000}"/>
    <cellStyle name="Normal 5 2 4 7 2 2" xfId="8602" xr:uid="{00000000-0005-0000-0000-00001D190000}"/>
    <cellStyle name="Normal 5 2 4 7 2 2 2" xfId="25493" xr:uid="{978C5AE9-E487-45FE-AEE9-5DDEC0C169D7}"/>
    <cellStyle name="Normal 5 2 4 7 2 2 3" xfId="17052" xr:uid="{F958136E-132F-4089-A771-577296284303}"/>
    <cellStyle name="Normal 5 2 4 7 2 3" xfId="21275" xr:uid="{8A974FEC-100D-481D-811C-A980853E6072}"/>
    <cellStyle name="Normal 5 2 4 7 2 4" xfId="12834" xr:uid="{1522F85D-AD64-4CAD-B2F7-70682281D49C}"/>
    <cellStyle name="Normal 5 2 4 7 3" xfId="6457" xr:uid="{00000000-0005-0000-0000-00001E190000}"/>
    <cellStyle name="Normal 5 2 4 7 3 2" xfId="23348" xr:uid="{5AEF77FF-CE0C-4780-9217-DE85DE0190A4}"/>
    <cellStyle name="Normal 5 2 4 7 3 3" xfId="14907" xr:uid="{CC3F774D-F78B-4F5E-B007-8D9ADF501ECA}"/>
    <cellStyle name="Normal 5 2 4 7 4" xfId="19130" xr:uid="{2D705319-EC61-47B3-B763-2C02E2BDCF99}"/>
    <cellStyle name="Normal 5 2 4 7 5" xfId="10689" xr:uid="{57289537-937D-45C3-8DD8-A56C19E92F02}"/>
    <cellStyle name="Normal 5 2 4 8" xfId="2587" xr:uid="{00000000-0005-0000-0000-00001F190000}"/>
    <cellStyle name="Normal 5 2 4 8 2" xfId="6870" xr:uid="{00000000-0005-0000-0000-000020190000}"/>
    <cellStyle name="Normal 5 2 4 8 2 2" xfId="23761" xr:uid="{98BD6E59-D132-476D-BDC5-A2ED01C2044B}"/>
    <cellStyle name="Normal 5 2 4 8 2 3" xfId="15320" xr:uid="{4F33A057-6A6E-4DD0-A2A8-9CD712E608ED}"/>
    <cellStyle name="Normal 5 2 4 8 3" xfId="19543" xr:uid="{F40CE001-4062-4784-B48B-E459183D5E67}"/>
    <cellStyle name="Normal 5 2 4 8 4" xfId="11102" xr:uid="{FC255D48-4D65-4CCB-A393-B1CCB5943C4C}"/>
    <cellStyle name="Normal 5 2 4 9" xfId="4805" xr:uid="{00000000-0005-0000-0000-000021190000}"/>
    <cellStyle name="Normal 5 2 4 9 2" xfId="21696" xr:uid="{66652D6B-A044-4418-89E5-F02D144C4C65}"/>
    <cellStyle name="Normal 5 2 4 9 3" xfId="13255" xr:uid="{BFEA7EC1-6FEA-40C7-921B-C047231CAB48}"/>
    <cellStyle name="Normal 5 2 5" xfId="436" xr:uid="{00000000-0005-0000-0000-000022190000}"/>
    <cellStyle name="Normal 5 2 5 10" xfId="9041" xr:uid="{1DD0A692-9D74-453F-8AB1-9FE289CCA2AF}"/>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2 2 2" xfId="24259" xr:uid="{C586ECD4-9E84-4B9D-BA51-6524AA204101}"/>
    <cellStyle name="Normal 5 2 5 2 2 2 2 3" xfId="15818" xr:uid="{D5C621F7-7487-418B-94B7-5364401332ED}"/>
    <cellStyle name="Normal 5 2 5 2 2 2 3" xfId="20041" xr:uid="{9B5BFDAD-0277-4E7B-ABCE-380F987F5618}"/>
    <cellStyle name="Normal 5 2 5 2 2 2 4" xfId="11600" xr:uid="{9EA6BBE3-96DE-476E-8B81-8F0B0FC18676}"/>
    <cellStyle name="Normal 5 2 5 2 2 3" xfId="5223" xr:uid="{00000000-0005-0000-0000-000027190000}"/>
    <cellStyle name="Normal 5 2 5 2 2 3 2" xfId="22114" xr:uid="{0C003864-627B-4904-8823-4328657DD96A}"/>
    <cellStyle name="Normal 5 2 5 2 2 3 3" xfId="13673" xr:uid="{BF3FB78D-7A37-4753-9F3B-88B65DEA4E54}"/>
    <cellStyle name="Normal 5 2 5 2 2 4" xfId="17896" xr:uid="{EAF01590-0983-43F4-902B-D826A0D20E30}"/>
    <cellStyle name="Normal 5 2 5 2 2 5" xfId="9455" xr:uid="{4D3C1589-1D63-406F-92F1-51BB0EBD13C5}"/>
    <cellStyle name="Normal 5 2 5 2 3" xfId="1329" xr:uid="{00000000-0005-0000-0000-000028190000}"/>
    <cellStyle name="Normal 5 2 5 2 3 2" xfId="3559" xr:uid="{00000000-0005-0000-0000-000029190000}"/>
    <cellStyle name="Normal 5 2 5 2 3 2 2" xfId="7781" xr:uid="{00000000-0005-0000-0000-00002A190000}"/>
    <cellStyle name="Normal 5 2 5 2 3 2 2 2" xfId="24672" xr:uid="{57A6E64C-A9D9-47B3-A0E9-49F2556AC60C}"/>
    <cellStyle name="Normal 5 2 5 2 3 2 2 3" xfId="16231" xr:uid="{53E66F96-5D95-4EFF-82F0-5CDCFD2FC986}"/>
    <cellStyle name="Normal 5 2 5 2 3 2 3" xfId="20454" xr:uid="{0C23F83C-AC5A-4EE0-94C0-010247D77449}"/>
    <cellStyle name="Normal 5 2 5 2 3 2 4" xfId="12013" xr:uid="{32FF72B9-D480-45FF-BF2F-9EA57A0D9C4B}"/>
    <cellStyle name="Normal 5 2 5 2 3 3" xfId="5636" xr:uid="{00000000-0005-0000-0000-00002B190000}"/>
    <cellStyle name="Normal 5 2 5 2 3 3 2" xfId="22527" xr:uid="{330F65DD-C5B4-47BC-BE32-CE1B6B7AC6C7}"/>
    <cellStyle name="Normal 5 2 5 2 3 3 3" xfId="14086" xr:uid="{E207E066-E3AA-4DD5-ACA6-8C7017B42CDE}"/>
    <cellStyle name="Normal 5 2 5 2 3 4" xfId="18309" xr:uid="{1168B904-F597-45BC-8431-260089A71857}"/>
    <cellStyle name="Normal 5 2 5 2 3 5" xfId="9868" xr:uid="{803E238F-11FC-47DF-A05D-0442FCF21F9D}"/>
    <cellStyle name="Normal 5 2 5 2 4" xfId="1742" xr:uid="{00000000-0005-0000-0000-00002C190000}"/>
    <cellStyle name="Normal 5 2 5 2 4 2" xfId="3972" xr:uid="{00000000-0005-0000-0000-00002D190000}"/>
    <cellStyle name="Normal 5 2 5 2 4 2 2" xfId="8194" xr:uid="{00000000-0005-0000-0000-00002E190000}"/>
    <cellStyle name="Normal 5 2 5 2 4 2 2 2" xfId="25085" xr:uid="{5083EE3A-E236-4546-9179-643E0601A7BF}"/>
    <cellStyle name="Normal 5 2 5 2 4 2 2 3" xfId="16644" xr:uid="{7EC339A0-D8E2-446B-BAF7-CFA60CADE1E1}"/>
    <cellStyle name="Normal 5 2 5 2 4 2 3" xfId="20867" xr:uid="{DD4D91C6-85C2-4CE9-98F9-F6645E53E258}"/>
    <cellStyle name="Normal 5 2 5 2 4 2 4" xfId="12426" xr:uid="{92D0A998-E2F0-4725-86A7-2F74043342CC}"/>
    <cellStyle name="Normal 5 2 5 2 4 3" xfId="6049" xr:uid="{00000000-0005-0000-0000-00002F190000}"/>
    <cellStyle name="Normal 5 2 5 2 4 3 2" xfId="22940" xr:uid="{E2131343-422D-4B40-9AE6-C3D1184B0157}"/>
    <cellStyle name="Normal 5 2 5 2 4 3 3" xfId="14499" xr:uid="{90E27D3E-54E5-49CF-A5C7-422BEA333BC2}"/>
    <cellStyle name="Normal 5 2 5 2 4 4" xfId="18722" xr:uid="{47CC64BB-6032-4C5F-9C68-6699BD126B7B}"/>
    <cellStyle name="Normal 5 2 5 2 4 5" xfId="10281" xr:uid="{69003005-979F-48AA-8042-0E980B2DB39B}"/>
    <cellStyle name="Normal 5 2 5 2 5" xfId="2156" xr:uid="{00000000-0005-0000-0000-000030190000}"/>
    <cellStyle name="Normal 5 2 5 2 5 2" xfId="4385" xr:uid="{00000000-0005-0000-0000-000031190000}"/>
    <cellStyle name="Normal 5 2 5 2 5 2 2" xfId="8607" xr:uid="{00000000-0005-0000-0000-000032190000}"/>
    <cellStyle name="Normal 5 2 5 2 5 2 2 2" xfId="25498" xr:uid="{FC3FBA62-B069-4F09-86C1-CBC892967982}"/>
    <cellStyle name="Normal 5 2 5 2 5 2 2 3" xfId="17057" xr:uid="{E4CB5FAD-4692-4DA8-8BC5-AB2EBBCFABBA}"/>
    <cellStyle name="Normal 5 2 5 2 5 2 3" xfId="21280" xr:uid="{0E3057B6-9868-4789-AB46-CFDB8D4F42B7}"/>
    <cellStyle name="Normal 5 2 5 2 5 2 4" xfId="12839" xr:uid="{129E7FD2-E392-4AB7-8151-5D85A9FF99D1}"/>
    <cellStyle name="Normal 5 2 5 2 5 3" xfId="6462" xr:uid="{00000000-0005-0000-0000-000033190000}"/>
    <cellStyle name="Normal 5 2 5 2 5 3 2" xfId="23353" xr:uid="{DFEE8EEB-E271-4073-B97E-A1360C632B09}"/>
    <cellStyle name="Normal 5 2 5 2 5 3 3" xfId="14912" xr:uid="{D955C0A1-DF3E-442B-980B-D39BA8ADA81D}"/>
    <cellStyle name="Normal 5 2 5 2 5 4" xfId="19135" xr:uid="{345D5E52-897E-44C1-A500-B3361016028B}"/>
    <cellStyle name="Normal 5 2 5 2 5 5" xfId="10694" xr:uid="{3D0A1ABA-4F5B-425F-85DF-CDEFEA990013}"/>
    <cellStyle name="Normal 5 2 5 2 6" xfId="2592" xr:uid="{00000000-0005-0000-0000-000034190000}"/>
    <cellStyle name="Normal 5 2 5 2 6 2" xfId="6875" xr:uid="{00000000-0005-0000-0000-000035190000}"/>
    <cellStyle name="Normal 5 2 5 2 6 2 2" xfId="23766" xr:uid="{192609E1-AFF5-4D67-8C6D-47B8373C0603}"/>
    <cellStyle name="Normal 5 2 5 2 6 2 3" xfId="15325" xr:uid="{A863A7C5-FACF-4057-825C-268291EEE317}"/>
    <cellStyle name="Normal 5 2 5 2 6 3" xfId="19548" xr:uid="{3FF32128-00B8-4E32-8DAF-8926C4AA17AC}"/>
    <cellStyle name="Normal 5 2 5 2 6 4" xfId="11107" xr:uid="{BC172EA0-C284-4D04-BCD2-88E0E890FBAC}"/>
    <cellStyle name="Normal 5 2 5 2 7" xfId="4810" xr:uid="{00000000-0005-0000-0000-000036190000}"/>
    <cellStyle name="Normal 5 2 5 2 7 2" xfId="21701" xr:uid="{08F57594-8526-4A30-B2A5-B7DAA29CB0DC}"/>
    <cellStyle name="Normal 5 2 5 2 7 3" xfId="13260" xr:uid="{2BF3BBFD-74DE-4158-875B-B144C1671145}"/>
    <cellStyle name="Normal 5 2 5 2 8" xfId="17483" xr:uid="{4A790906-5D1C-452D-8301-2722F9A90D60}"/>
    <cellStyle name="Normal 5 2 5 2 9" xfId="9042" xr:uid="{32543DF2-1BC2-4DCB-976A-D542B6197593}"/>
    <cellStyle name="Normal 5 2 5 3" xfId="910" xr:uid="{00000000-0005-0000-0000-000037190000}"/>
    <cellStyle name="Normal 5 2 5 3 2" xfId="3145" xr:uid="{00000000-0005-0000-0000-000038190000}"/>
    <cellStyle name="Normal 5 2 5 3 2 2" xfId="7367" xr:uid="{00000000-0005-0000-0000-000039190000}"/>
    <cellStyle name="Normal 5 2 5 3 2 2 2" xfId="24258" xr:uid="{BF4297FE-C015-46EB-96DD-47FD1CB2C6FA}"/>
    <cellStyle name="Normal 5 2 5 3 2 2 3" xfId="15817" xr:uid="{4CC21C3B-59DE-4420-B18E-A7FA4C3A1971}"/>
    <cellStyle name="Normal 5 2 5 3 2 3" xfId="20040" xr:uid="{68F597E5-81D0-4BC8-827E-223C8F0A774F}"/>
    <cellStyle name="Normal 5 2 5 3 2 4" xfId="11599" xr:uid="{9CB0E295-8140-49F5-877E-B5348A9D25CC}"/>
    <cellStyle name="Normal 5 2 5 3 3" xfId="5222" xr:uid="{00000000-0005-0000-0000-00003A190000}"/>
    <cellStyle name="Normal 5 2 5 3 3 2" xfId="22113" xr:uid="{C3AF6BF5-3E8C-478A-B60C-2B11ED4016F0}"/>
    <cellStyle name="Normal 5 2 5 3 3 3" xfId="13672" xr:uid="{0BA2C527-61A2-4C3A-A3AE-3F3D31181346}"/>
    <cellStyle name="Normal 5 2 5 3 4" xfId="17895" xr:uid="{69FD3F5D-50C1-42E4-B106-5D3001265158}"/>
    <cellStyle name="Normal 5 2 5 3 5" xfId="9454" xr:uid="{FFF3DDAA-8806-4720-8D7A-2CEE5D949916}"/>
    <cellStyle name="Normal 5 2 5 4" xfId="1328" xr:uid="{00000000-0005-0000-0000-00003B190000}"/>
    <cellStyle name="Normal 5 2 5 4 2" xfId="3558" xr:uid="{00000000-0005-0000-0000-00003C190000}"/>
    <cellStyle name="Normal 5 2 5 4 2 2" xfId="7780" xr:uid="{00000000-0005-0000-0000-00003D190000}"/>
    <cellStyle name="Normal 5 2 5 4 2 2 2" xfId="24671" xr:uid="{F61C72C3-9D0A-4032-A952-D66CBC3FADB4}"/>
    <cellStyle name="Normal 5 2 5 4 2 2 3" xfId="16230" xr:uid="{DCB35E01-6F0B-4E8B-9FD3-AA3EA70F41C2}"/>
    <cellStyle name="Normal 5 2 5 4 2 3" xfId="20453" xr:uid="{E5E6E23A-1609-48A9-8E9C-E5CD79639E48}"/>
    <cellStyle name="Normal 5 2 5 4 2 4" xfId="12012" xr:uid="{47101DB6-6FFF-43BA-AEA2-5F8F6283A8AD}"/>
    <cellStyle name="Normal 5 2 5 4 3" xfId="5635" xr:uid="{00000000-0005-0000-0000-00003E190000}"/>
    <cellStyle name="Normal 5 2 5 4 3 2" xfId="22526" xr:uid="{C60338F6-CBB5-4DA7-9F00-9CFBD45A86F9}"/>
    <cellStyle name="Normal 5 2 5 4 3 3" xfId="14085" xr:uid="{58D545B3-DFB3-44A2-AD50-609747C094C4}"/>
    <cellStyle name="Normal 5 2 5 4 4" xfId="18308" xr:uid="{5E013073-D16B-48BC-802D-FB1594F02BFA}"/>
    <cellStyle name="Normal 5 2 5 4 5" xfId="9867" xr:uid="{F068725F-D783-4F30-A746-5A9F0F39FA16}"/>
    <cellStyle name="Normal 5 2 5 5" xfId="1741" xr:uid="{00000000-0005-0000-0000-00003F190000}"/>
    <cellStyle name="Normal 5 2 5 5 2" xfId="3971" xr:uid="{00000000-0005-0000-0000-000040190000}"/>
    <cellStyle name="Normal 5 2 5 5 2 2" xfId="8193" xr:uid="{00000000-0005-0000-0000-000041190000}"/>
    <cellStyle name="Normal 5 2 5 5 2 2 2" xfId="25084" xr:uid="{58054727-E6BB-4197-81DB-A6DF4D09A4EA}"/>
    <cellStyle name="Normal 5 2 5 5 2 2 3" xfId="16643" xr:uid="{657EC770-1699-4503-ABA9-1189F884BD89}"/>
    <cellStyle name="Normal 5 2 5 5 2 3" xfId="20866" xr:uid="{DCF5009E-6B93-4C33-804F-60923AB5C262}"/>
    <cellStyle name="Normal 5 2 5 5 2 4" xfId="12425" xr:uid="{237D953F-EF1A-4518-90E0-F4053DAA8950}"/>
    <cellStyle name="Normal 5 2 5 5 3" xfId="6048" xr:uid="{00000000-0005-0000-0000-000042190000}"/>
    <cellStyle name="Normal 5 2 5 5 3 2" xfId="22939" xr:uid="{3B5F4979-9BE1-4BA1-98A6-1AA716AEDDFE}"/>
    <cellStyle name="Normal 5 2 5 5 3 3" xfId="14498" xr:uid="{610B320F-A802-406A-BA03-2BF81B1C028F}"/>
    <cellStyle name="Normal 5 2 5 5 4" xfId="18721" xr:uid="{FA5BA741-5E2B-48F0-AA71-5C4E55B50DFD}"/>
    <cellStyle name="Normal 5 2 5 5 5" xfId="10280" xr:uid="{89EDF683-FBF4-4A50-AB2C-0661A30D81A4}"/>
    <cellStyle name="Normal 5 2 5 6" xfId="2155" xr:uid="{00000000-0005-0000-0000-000043190000}"/>
    <cellStyle name="Normal 5 2 5 6 2" xfId="4384" xr:uid="{00000000-0005-0000-0000-000044190000}"/>
    <cellStyle name="Normal 5 2 5 6 2 2" xfId="8606" xr:uid="{00000000-0005-0000-0000-000045190000}"/>
    <cellStyle name="Normal 5 2 5 6 2 2 2" xfId="25497" xr:uid="{C99F5A0B-F6B7-4399-AE3E-F6EDB75253AA}"/>
    <cellStyle name="Normal 5 2 5 6 2 2 3" xfId="17056" xr:uid="{23F4CAF2-CDF2-46B8-B53A-35958C7574C0}"/>
    <cellStyle name="Normal 5 2 5 6 2 3" xfId="21279" xr:uid="{88737701-514D-4B6E-9A32-5944AD4B8933}"/>
    <cellStyle name="Normal 5 2 5 6 2 4" xfId="12838" xr:uid="{FABE0A34-B095-4F95-9930-A9E9C147B430}"/>
    <cellStyle name="Normal 5 2 5 6 3" xfId="6461" xr:uid="{00000000-0005-0000-0000-000046190000}"/>
    <cellStyle name="Normal 5 2 5 6 3 2" xfId="23352" xr:uid="{6F8D6800-FB88-477F-8914-C23021341F0C}"/>
    <cellStyle name="Normal 5 2 5 6 3 3" xfId="14911" xr:uid="{EFAC3CA8-D8BB-43D3-84F5-9FA102E88D4E}"/>
    <cellStyle name="Normal 5 2 5 6 4" xfId="19134" xr:uid="{CB3CB49F-359E-4609-B42B-7D1002F1B1D8}"/>
    <cellStyle name="Normal 5 2 5 6 5" xfId="10693" xr:uid="{B5EB148F-082A-46B9-9D88-C243BF6833F0}"/>
    <cellStyle name="Normal 5 2 5 7" xfId="2591" xr:uid="{00000000-0005-0000-0000-000047190000}"/>
    <cellStyle name="Normal 5 2 5 7 2" xfId="6874" xr:uid="{00000000-0005-0000-0000-000048190000}"/>
    <cellStyle name="Normal 5 2 5 7 2 2" xfId="23765" xr:uid="{88ADD58C-4B6A-455B-A918-D32E10FFDA32}"/>
    <cellStyle name="Normal 5 2 5 7 2 3" xfId="15324" xr:uid="{7A5F09B7-412F-400A-99C1-AF70DBEB862D}"/>
    <cellStyle name="Normal 5 2 5 7 3" xfId="19547" xr:uid="{0C6844DD-CCDC-4991-A86B-7FE7FAAF5CC3}"/>
    <cellStyle name="Normal 5 2 5 7 4" xfId="11106" xr:uid="{D75FB4BB-453B-4012-9E0E-F89D469933B2}"/>
    <cellStyle name="Normal 5 2 5 8" xfId="4809" xr:uid="{00000000-0005-0000-0000-000049190000}"/>
    <cellStyle name="Normal 5 2 5 8 2" xfId="21700" xr:uid="{F8C0055F-E095-46DF-A861-E1C1BA14DBCE}"/>
    <cellStyle name="Normal 5 2 5 8 3" xfId="13259" xr:uid="{5EF3BA4F-89B0-40A2-9092-3A594DF67886}"/>
    <cellStyle name="Normal 5 2 5 9" xfId="17482" xr:uid="{AED4AC63-04A5-4B6E-9031-67C907D25B58}"/>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2 2 2" xfId="24260" xr:uid="{5EE6BD9B-AD70-4F3C-8BA2-48EAB79543A9}"/>
    <cellStyle name="Normal 5 2 6 2 2 2 3" xfId="15819" xr:uid="{76F0CE7E-F593-495F-B6A0-7DFDA23CD056}"/>
    <cellStyle name="Normal 5 2 6 2 2 3" xfId="20042" xr:uid="{9A449012-6AC4-4AE5-867D-ABEA56F7FCFC}"/>
    <cellStyle name="Normal 5 2 6 2 2 4" xfId="11601" xr:uid="{7B79F1AB-A1A1-4568-B881-F49CCBCC2B01}"/>
    <cellStyle name="Normal 5 2 6 2 3" xfId="5224" xr:uid="{00000000-0005-0000-0000-00004E190000}"/>
    <cellStyle name="Normal 5 2 6 2 3 2" xfId="22115" xr:uid="{DDF2B54B-612A-498D-AC47-7A8AC630328F}"/>
    <cellStyle name="Normal 5 2 6 2 3 3" xfId="13674" xr:uid="{9C501B8A-38B2-42B3-9905-3A0059E0C31D}"/>
    <cellStyle name="Normal 5 2 6 2 4" xfId="17897" xr:uid="{461A4B8A-B3EA-4252-965F-10A29E53212C}"/>
    <cellStyle name="Normal 5 2 6 2 5" xfId="9456" xr:uid="{CB610B3F-24EC-4036-BCBB-8C3901CCB6F0}"/>
    <cellStyle name="Normal 5 2 6 3" xfId="1330" xr:uid="{00000000-0005-0000-0000-00004F190000}"/>
    <cellStyle name="Normal 5 2 6 3 2" xfId="3560" xr:uid="{00000000-0005-0000-0000-000050190000}"/>
    <cellStyle name="Normal 5 2 6 3 2 2" xfId="7782" xr:uid="{00000000-0005-0000-0000-000051190000}"/>
    <cellStyle name="Normal 5 2 6 3 2 2 2" xfId="24673" xr:uid="{BF420C35-A02E-4232-9511-8B34C048CCB0}"/>
    <cellStyle name="Normal 5 2 6 3 2 2 3" xfId="16232" xr:uid="{DF073086-0088-4D30-91B1-FCB8837EFACC}"/>
    <cellStyle name="Normal 5 2 6 3 2 3" xfId="20455" xr:uid="{128FB0D0-FDBA-4CB4-BF28-CD40E44BE30C}"/>
    <cellStyle name="Normal 5 2 6 3 2 4" xfId="12014" xr:uid="{A26AFBC9-9AC6-45C1-BFBC-48E9D8A2523D}"/>
    <cellStyle name="Normal 5 2 6 3 3" xfId="5637" xr:uid="{00000000-0005-0000-0000-000052190000}"/>
    <cellStyle name="Normal 5 2 6 3 3 2" xfId="22528" xr:uid="{96BCE08F-2030-4A93-ACFC-589A82DA2B5E}"/>
    <cellStyle name="Normal 5 2 6 3 3 3" xfId="14087" xr:uid="{CA3BBBA1-F11B-42FC-B3CA-24F9EA822D1D}"/>
    <cellStyle name="Normal 5 2 6 3 4" xfId="18310" xr:uid="{67A5D20B-85B4-4DD7-997B-D6DC0FF9EF6A}"/>
    <cellStyle name="Normal 5 2 6 3 5" xfId="9869" xr:uid="{81AC802F-CEBD-4BC3-AEEC-88E5DF47DAC7}"/>
    <cellStyle name="Normal 5 2 6 4" xfId="1743" xr:uid="{00000000-0005-0000-0000-000053190000}"/>
    <cellStyle name="Normal 5 2 6 4 2" xfId="3973" xr:uid="{00000000-0005-0000-0000-000054190000}"/>
    <cellStyle name="Normal 5 2 6 4 2 2" xfId="8195" xr:uid="{00000000-0005-0000-0000-000055190000}"/>
    <cellStyle name="Normal 5 2 6 4 2 2 2" xfId="25086" xr:uid="{ACCFCBE3-6803-4242-B52D-43F09DC8B2D0}"/>
    <cellStyle name="Normal 5 2 6 4 2 2 3" xfId="16645" xr:uid="{5FAC25BB-B366-4D43-8A90-C6E90A25EF4F}"/>
    <cellStyle name="Normal 5 2 6 4 2 3" xfId="20868" xr:uid="{3BDCAC76-B2BA-4D91-AC61-693E75E4B9B1}"/>
    <cellStyle name="Normal 5 2 6 4 2 4" xfId="12427" xr:uid="{C041A42C-ED14-4C25-84A4-319538A528B5}"/>
    <cellStyle name="Normal 5 2 6 4 3" xfId="6050" xr:uid="{00000000-0005-0000-0000-000056190000}"/>
    <cellStyle name="Normal 5 2 6 4 3 2" xfId="22941" xr:uid="{34E55264-661B-43EE-B025-A3A7D0CF2F40}"/>
    <cellStyle name="Normal 5 2 6 4 3 3" xfId="14500" xr:uid="{C9457C2E-8089-4C60-9A60-0D8FF580FC60}"/>
    <cellStyle name="Normal 5 2 6 4 4" xfId="18723" xr:uid="{DDA58F75-6357-4502-BB55-5C84D577D705}"/>
    <cellStyle name="Normal 5 2 6 4 5" xfId="10282" xr:uid="{EE0312ED-B058-4E17-8A54-401D9A21E760}"/>
    <cellStyle name="Normal 5 2 6 5" xfId="2157" xr:uid="{00000000-0005-0000-0000-000057190000}"/>
    <cellStyle name="Normal 5 2 6 5 2" xfId="4386" xr:uid="{00000000-0005-0000-0000-000058190000}"/>
    <cellStyle name="Normal 5 2 6 5 2 2" xfId="8608" xr:uid="{00000000-0005-0000-0000-000059190000}"/>
    <cellStyle name="Normal 5 2 6 5 2 2 2" xfId="25499" xr:uid="{99E1214A-120E-49E3-9D25-995AA7CA1F15}"/>
    <cellStyle name="Normal 5 2 6 5 2 2 3" xfId="17058" xr:uid="{63E77E2E-E1BB-4840-95B3-FF60AC77892D}"/>
    <cellStyle name="Normal 5 2 6 5 2 3" xfId="21281" xr:uid="{782A723E-AEB1-45A0-8964-55615DEDAB3A}"/>
    <cellStyle name="Normal 5 2 6 5 2 4" xfId="12840" xr:uid="{464C5371-BE5F-4ED6-AD5F-55A8615CE5BE}"/>
    <cellStyle name="Normal 5 2 6 5 3" xfId="6463" xr:uid="{00000000-0005-0000-0000-00005A190000}"/>
    <cellStyle name="Normal 5 2 6 5 3 2" xfId="23354" xr:uid="{A588F6AA-F153-416A-A1CA-C0AE521156FC}"/>
    <cellStyle name="Normal 5 2 6 5 3 3" xfId="14913" xr:uid="{53179095-E3E7-413F-A239-D2072E135743}"/>
    <cellStyle name="Normal 5 2 6 5 4" xfId="19136" xr:uid="{03B7FEBD-E14A-4DC1-B2BB-FEB544EF851D}"/>
    <cellStyle name="Normal 5 2 6 5 5" xfId="10695" xr:uid="{84A08AE7-71B6-45BC-A49F-80E1FAC435DB}"/>
    <cellStyle name="Normal 5 2 6 6" xfId="2593" xr:uid="{00000000-0005-0000-0000-00005B190000}"/>
    <cellStyle name="Normal 5 2 6 6 2" xfId="6876" xr:uid="{00000000-0005-0000-0000-00005C190000}"/>
    <cellStyle name="Normal 5 2 6 6 2 2" xfId="23767" xr:uid="{30481F0B-1847-4FB9-B481-1484FF64FA34}"/>
    <cellStyle name="Normal 5 2 6 6 2 3" xfId="15326" xr:uid="{0964B562-039B-40C1-B216-FAA4E362C2BA}"/>
    <cellStyle name="Normal 5 2 6 6 3" xfId="19549" xr:uid="{24869E27-DC2A-4BEA-89B8-DAFD2F46F6AF}"/>
    <cellStyle name="Normal 5 2 6 6 4" xfId="11108" xr:uid="{A1B04FA9-39A7-47A4-B1F3-388207993BF4}"/>
    <cellStyle name="Normal 5 2 6 7" xfId="4811" xr:uid="{00000000-0005-0000-0000-00005D190000}"/>
    <cellStyle name="Normal 5 2 6 7 2" xfId="21702" xr:uid="{42B94384-DBAA-4FDE-903A-EE546E13EADE}"/>
    <cellStyle name="Normal 5 2 6 7 3" xfId="13261" xr:uid="{C27FA4D3-86E5-4709-953A-DA794BF7D3AA}"/>
    <cellStyle name="Normal 5 2 6 8" xfId="17484" xr:uid="{2F261935-2A4D-404C-AF3A-B7F3CB077B77}"/>
    <cellStyle name="Normal 5 2 6 9" xfId="9043" xr:uid="{D2773300-DB0E-4A30-B00F-2D7AA0D2F225}"/>
    <cellStyle name="Normal 5 2 7" xfId="881" xr:uid="{00000000-0005-0000-0000-00005E190000}"/>
    <cellStyle name="Normal 5 2 7 2" xfId="3116" xr:uid="{00000000-0005-0000-0000-00005F190000}"/>
    <cellStyle name="Normal 5 2 7 2 2" xfId="7338" xr:uid="{00000000-0005-0000-0000-000060190000}"/>
    <cellStyle name="Normal 5 2 7 2 2 2" xfId="24229" xr:uid="{0486F224-2A58-4899-9A51-5B67388D0A5C}"/>
    <cellStyle name="Normal 5 2 7 2 2 3" xfId="15788" xr:uid="{D4E132F6-D64D-405B-BCF6-E482C39EE5CE}"/>
    <cellStyle name="Normal 5 2 7 2 3" xfId="20011" xr:uid="{19614832-7901-4502-9777-E6F1EC256BCA}"/>
    <cellStyle name="Normal 5 2 7 2 4" xfId="11570" xr:uid="{4DC72819-2214-4FC1-B95D-97F7E36F3175}"/>
    <cellStyle name="Normal 5 2 7 3" xfId="5193" xr:uid="{00000000-0005-0000-0000-000061190000}"/>
    <cellStyle name="Normal 5 2 7 3 2" xfId="22084" xr:uid="{10E46342-0CB9-4BB2-8281-FE37A5D12D28}"/>
    <cellStyle name="Normal 5 2 7 3 3" xfId="13643" xr:uid="{42FD4847-1BED-4DEB-BCD3-A691C314E8CB}"/>
    <cellStyle name="Normal 5 2 7 4" xfId="17866" xr:uid="{70837588-E3B2-42A2-9D60-08C7D4C85484}"/>
    <cellStyle name="Normal 5 2 7 5" xfId="9425" xr:uid="{A119954C-5869-470A-BDD7-98264B6BF844}"/>
    <cellStyle name="Normal 5 2 8" xfId="1299" xr:uid="{00000000-0005-0000-0000-000062190000}"/>
    <cellStyle name="Normal 5 2 8 2" xfId="3529" xr:uid="{00000000-0005-0000-0000-000063190000}"/>
    <cellStyle name="Normal 5 2 8 2 2" xfId="7751" xr:uid="{00000000-0005-0000-0000-000064190000}"/>
    <cellStyle name="Normal 5 2 8 2 2 2" xfId="24642" xr:uid="{5E00B1FB-BBC4-4630-9467-0B88BA3085AD}"/>
    <cellStyle name="Normal 5 2 8 2 2 3" xfId="16201" xr:uid="{12712C6F-C459-404D-A111-F7064CCD2DE3}"/>
    <cellStyle name="Normal 5 2 8 2 3" xfId="20424" xr:uid="{62DD4561-6C0C-488C-8DD3-E3FF2CB17113}"/>
    <cellStyle name="Normal 5 2 8 2 4" xfId="11983" xr:uid="{66F477C6-D807-4A0F-9A2A-74E8D68F9D6B}"/>
    <cellStyle name="Normal 5 2 8 3" xfId="5606" xr:uid="{00000000-0005-0000-0000-000065190000}"/>
    <cellStyle name="Normal 5 2 8 3 2" xfId="22497" xr:uid="{FE64EB92-FA91-4D7A-A629-76878E6ECF72}"/>
    <cellStyle name="Normal 5 2 8 3 3" xfId="14056" xr:uid="{DAD44D60-F7DA-48FB-8355-0CDDC7AA030D}"/>
    <cellStyle name="Normal 5 2 8 4" xfId="18279" xr:uid="{C93D0213-4BC5-4F74-AA4A-7F47BE54AE26}"/>
    <cellStyle name="Normal 5 2 8 5" xfId="9838" xr:uid="{AB600BE5-A223-4361-A916-98B64C0E2584}"/>
    <cellStyle name="Normal 5 2 9" xfId="1712" xr:uid="{00000000-0005-0000-0000-000066190000}"/>
    <cellStyle name="Normal 5 2 9 2" xfId="3942" xr:uid="{00000000-0005-0000-0000-000067190000}"/>
    <cellStyle name="Normal 5 2 9 2 2" xfId="8164" xr:uid="{00000000-0005-0000-0000-000068190000}"/>
    <cellStyle name="Normal 5 2 9 2 2 2" xfId="25055" xr:uid="{64CC857F-434D-4D09-A6C9-DFA9311790E0}"/>
    <cellStyle name="Normal 5 2 9 2 2 3" xfId="16614" xr:uid="{8B8E1D86-EBCC-4DE6-BE69-D6CA4476F46A}"/>
    <cellStyle name="Normal 5 2 9 2 3" xfId="20837" xr:uid="{E505ADC5-4653-4FC2-8B21-2F835FF9F475}"/>
    <cellStyle name="Normal 5 2 9 2 4" xfId="12396" xr:uid="{BE67218B-BACA-4F3A-80F7-FD9D916981D8}"/>
    <cellStyle name="Normal 5 2 9 3" xfId="6019" xr:uid="{00000000-0005-0000-0000-000069190000}"/>
    <cellStyle name="Normal 5 2 9 3 2" xfId="22910" xr:uid="{C3BD0DE6-E72F-4459-9A39-3CA4FB9F91CF}"/>
    <cellStyle name="Normal 5 2 9 3 3" xfId="14469" xr:uid="{29B24246-974E-495C-9771-AE684A8CBA40}"/>
    <cellStyle name="Normal 5 2 9 4" xfId="18692" xr:uid="{C8793043-2628-40B4-B57E-CA5A89D8D652}"/>
    <cellStyle name="Normal 5 2 9 5" xfId="10251" xr:uid="{D9562560-EF58-4988-8163-8543374D06EF}"/>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2 2 2" xfId="25500" xr:uid="{4CC183AA-2BE0-4E0A-A223-14B598BB70CE}"/>
    <cellStyle name="Normal 5 3 10 2 2 3" xfId="17059" xr:uid="{A8478D30-2510-448C-B283-FBFBC2B1E9B3}"/>
    <cellStyle name="Normal 5 3 10 2 3" xfId="21282" xr:uid="{9C2324B5-97B5-4E45-B4B7-7443485EB806}"/>
    <cellStyle name="Normal 5 3 10 2 4" xfId="12841" xr:uid="{57F2DD33-B7B6-4489-A7CC-F95101A7B347}"/>
    <cellStyle name="Normal 5 3 10 3" xfId="6464" xr:uid="{00000000-0005-0000-0000-00006E190000}"/>
    <cellStyle name="Normal 5 3 10 3 2" xfId="23355" xr:uid="{3810F342-120B-49C3-BDF2-DE23139B806B}"/>
    <cellStyle name="Normal 5 3 10 3 3" xfId="14914" xr:uid="{18A8C901-B8C1-4424-9774-2AD5447FD321}"/>
    <cellStyle name="Normal 5 3 10 4" xfId="19137" xr:uid="{F6CA83B4-FA65-479A-83FA-AFFBE6FA1A4C}"/>
    <cellStyle name="Normal 5 3 10 5" xfId="10696" xr:uid="{A79F374B-1E63-4D6D-839D-0C27A5B70D5D}"/>
    <cellStyle name="Normal 5 3 11" xfId="2594" xr:uid="{00000000-0005-0000-0000-00006F190000}"/>
    <cellStyle name="Normal 5 3 11 2" xfId="6877" xr:uid="{00000000-0005-0000-0000-000070190000}"/>
    <cellStyle name="Normal 5 3 11 2 2" xfId="23768" xr:uid="{8AF47E57-39E1-4B52-BB1D-3CDE52A97AD7}"/>
    <cellStyle name="Normal 5 3 11 2 3" xfId="15327" xr:uid="{7FCEA07E-1C01-4C5C-84C7-38DFCE3F6DBC}"/>
    <cellStyle name="Normal 5 3 11 3" xfId="19550" xr:uid="{5F995412-B1D1-478D-8751-8D1CC4FF6029}"/>
    <cellStyle name="Normal 5 3 11 4" xfId="11109" xr:uid="{4D5DC4CF-D9A3-46B2-B53F-4F63D6DC2C3B}"/>
    <cellStyle name="Normal 5 3 12" xfId="4812" xr:uid="{00000000-0005-0000-0000-000071190000}"/>
    <cellStyle name="Normal 5 3 12 2" xfId="21703" xr:uid="{E94857A7-3382-491A-975D-55D61283B64F}"/>
    <cellStyle name="Normal 5 3 12 3" xfId="13262" xr:uid="{CC38BFB8-DE1C-4AE5-B2DA-7E861BADB7BD}"/>
    <cellStyle name="Normal 5 3 13" xfId="17485" xr:uid="{F4CC38BD-5609-4E43-A0AA-DB4AF56139E2}"/>
    <cellStyle name="Normal 5 3 14" xfId="9044" xr:uid="{9E88190C-CF04-4C03-978A-0BF0A4A6A407}"/>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10 2" xfId="21704" xr:uid="{089E16FF-88F3-4B76-8D53-65EEF1CD252D}"/>
    <cellStyle name="Normal 5 3 3 10 3" xfId="13263" xr:uid="{C209FA40-F376-4C6D-958D-5FCB851973DF}"/>
    <cellStyle name="Normal 5 3 3 11" xfId="17486" xr:uid="{6D910B55-EECF-45BB-B205-4793928E04C8}"/>
    <cellStyle name="Normal 5 3 3 12" xfId="9045" xr:uid="{3006BF39-1A87-414D-B322-62756AB39FCA}"/>
    <cellStyle name="Normal 5 3 3 2" xfId="442" xr:uid="{00000000-0005-0000-0000-000076190000}"/>
    <cellStyle name="Normal 5 3 3 2 10" xfId="17487" xr:uid="{EDC3C522-5B2B-45A2-9F24-540BAAC7127F}"/>
    <cellStyle name="Normal 5 3 3 2 11" xfId="9046" xr:uid="{0A9BCDF3-2006-4593-86E4-C811E62DF1F3}"/>
    <cellStyle name="Normal 5 3 3 2 2" xfId="443" xr:uid="{00000000-0005-0000-0000-000077190000}"/>
    <cellStyle name="Normal 5 3 3 2 2 10" xfId="9047" xr:uid="{F682FD9C-6D15-483F-8FB3-CC855043D866}"/>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2 2 2" xfId="24265" xr:uid="{55E924E3-6E0E-4D21-BC54-71D5C0BBE271}"/>
    <cellStyle name="Normal 5 3 3 2 2 2 2 2 2 3" xfId="15824" xr:uid="{95F7E9E6-2BAA-4711-A753-38F702D2E70C}"/>
    <cellStyle name="Normal 5 3 3 2 2 2 2 2 3" xfId="20047" xr:uid="{050521BB-D486-4438-A530-2506DCF6F6D8}"/>
    <cellStyle name="Normal 5 3 3 2 2 2 2 2 4" xfId="11606" xr:uid="{EF57D8F9-6625-4A94-92A2-70F2AD5C03F3}"/>
    <cellStyle name="Normal 5 3 3 2 2 2 2 3" xfId="5229" xr:uid="{00000000-0005-0000-0000-00007C190000}"/>
    <cellStyle name="Normal 5 3 3 2 2 2 2 3 2" xfId="22120" xr:uid="{82294E84-8370-4649-A183-C1D421B17805}"/>
    <cellStyle name="Normal 5 3 3 2 2 2 2 3 3" xfId="13679" xr:uid="{85DA4579-2699-4319-99B6-2A352559CF81}"/>
    <cellStyle name="Normal 5 3 3 2 2 2 2 4" xfId="17902" xr:uid="{C4F1C64B-519B-4543-A7A1-24C921A56A5F}"/>
    <cellStyle name="Normal 5 3 3 2 2 2 2 5" xfId="9461" xr:uid="{4B48C7F7-2CD9-4CBC-9DBF-3CE3A5ECFAEF}"/>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2 2 2" xfId="24678" xr:uid="{5E23483E-0894-4877-A52F-6DF3D68904B2}"/>
    <cellStyle name="Normal 5 3 3 2 2 2 3 2 2 3" xfId="16237" xr:uid="{1AF55D42-6B61-4175-8CF0-D29A6D3B7C4A}"/>
    <cellStyle name="Normal 5 3 3 2 2 2 3 2 3" xfId="20460" xr:uid="{99D77DB1-0830-43CC-BEAC-3C96B500AC91}"/>
    <cellStyle name="Normal 5 3 3 2 2 2 3 2 4" xfId="12019" xr:uid="{E8086B9C-9CFF-4691-BCAE-0A658F9FE719}"/>
    <cellStyle name="Normal 5 3 3 2 2 2 3 3" xfId="5642" xr:uid="{00000000-0005-0000-0000-000080190000}"/>
    <cellStyle name="Normal 5 3 3 2 2 2 3 3 2" xfId="22533" xr:uid="{69E3D441-F9C3-4820-A5F3-1FDA1305C27E}"/>
    <cellStyle name="Normal 5 3 3 2 2 2 3 3 3" xfId="14092" xr:uid="{38BCCEAA-1D0B-44C7-926B-6D9000900C12}"/>
    <cellStyle name="Normal 5 3 3 2 2 2 3 4" xfId="18315" xr:uid="{C6BECD60-A7C3-480D-B975-3364907C793F}"/>
    <cellStyle name="Normal 5 3 3 2 2 2 3 5" xfId="9874" xr:uid="{96A69722-8A16-45D1-B90A-27E0E3B54831}"/>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2 2 2" xfId="25091" xr:uid="{113DB4C8-35CD-4E52-8782-FB2F41C8BFBA}"/>
    <cellStyle name="Normal 5 3 3 2 2 2 4 2 2 3" xfId="16650" xr:uid="{620CB4CF-7BDF-415F-B346-0C7D29BA3F76}"/>
    <cellStyle name="Normal 5 3 3 2 2 2 4 2 3" xfId="20873" xr:uid="{E543917D-1B98-4597-AF7D-946FD6E3A221}"/>
    <cellStyle name="Normal 5 3 3 2 2 2 4 2 4" xfId="12432" xr:uid="{619BC420-F46F-42CC-92A2-B9FCFBA03191}"/>
    <cellStyle name="Normal 5 3 3 2 2 2 4 3" xfId="6055" xr:uid="{00000000-0005-0000-0000-000084190000}"/>
    <cellStyle name="Normal 5 3 3 2 2 2 4 3 2" xfId="22946" xr:uid="{7E1E80B6-3A86-489A-9011-F8DABBBBDA4A}"/>
    <cellStyle name="Normal 5 3 3 2 2 2 4 3 3" xfId="14505" xr:uid="{A2C1A84A-57B0-4A8C-ADF1-BC34CE41DE10}"/>
    <cellStyle name="Normal 5 3 3 2 2 2 4 4" xfId="18728" xr:uid="{2F52591B-6596-4BC1-8751-B6F3655C8DF3}"/>
    <cellStyle name="Normal 5 3 3 2 2 2 4 5" xfId="10287" xr:uid="{1B0D86D7-7B02-41D0-87EB-10151076FDC4}"/>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2 2 2" xfId="25504" xr:uid="{B2FDB667-B081-4724-A152-52C13A0A9533}"/>
    <cellStyle name="Normal 5 3 3 2 2 2 5 2 2 3" xfId="17063" xr:uid="{84BCE60A-F37F-43C6-91C2-F1961B350E93}"/>
    <cellStyle name="Normal 5 3 3 2 2 2 5 2 3" xfId="21286" xr:uid="{52212A5B-1864-4812-A158-01DA62708DFD}"/>
    <cellStyle name="Normal 5 3 3 2 2 2 5 2 4" xfId="12845" xr:uid="{B9797B0F-D453-453C-B6E1-B4C02766CAF1}"/>
    <cellStyle name="Normal 5 3 3 2 2 2 5 3" xfId="6468" xr:uid="{00000000-0005-0000-0000-000088190000}"/>
    <cellStyle name="Normal 5 3 3 2 2 2 5 3 2" xfId="23359" xr:uid="{C819B8AD-49D3-4DD6-9F08-8A73E34018D5}"/>
    <cellStyle name="Normal 5 3 3 2 2 2 5 3 3" xfId="14918" xr:uid="{9A587113-543F-4822-890F-CFC4F6B8AF27}"/>
    <cellStyle name="Normal 5 3 3 2 2 2 5 4" xfId="19141" xr:uid="{00D6F6EA-1BDB-4D27-A4C2-6BD1CF252C86}"/>
    <cellStyle name="Normal 5 3 3 2 2 2 5 5" xfId="10700" xr:uid="{157A9F87-E1BD-4070-8A6E-58E841D71252}"/>
    <cellStyle name="Normal 5 3 3 2 2 2 6" xfId="2598" xr:uid="{00000000-0005-0000-0000-000089190000}"/>
    <cellStyle name="Normal 5 3 3 2 2 2 6 2" xfId="6881" xr:uid="{00000000-0005-0000-0000-00008A190000}"/>
    <cellStyle name="Normal 5 3 3 2 2 2 6 2 2" xfId="23772" xr:uid="{707198FD-843D-444E-861D-C9184CF7681B}"/>
    <cellStyle name="Normal 5 3 3 2 2 2 6 2 3" xfId="15331" xr:uid="{D1985A71-2982-4586-B90E-1886E54C7612}"/>
    <cellStyle name="Normal 5 3 3 2 2 2 6 3" xfId="19554" xr:uid="{3000C406-29AF-46C7-8AF5-08862F2C68E8}"/>
    <cellStyle name="Normal 5 3 3 2 2 2 6 4" xfId="11113" xr:uid="{784BFB78-635B-44FE-8139-A2D64D9CEBE2}"/>
    <cellStyle name="Normal 5 3 3 2 2 2 7" xfId="4816" xr:uid="{00000000-0005-0000-0000-00008B190000}"/>
    <cellStyle name="Normal 5 3 3 2 2 2 7 2" xfId="21707" xr:uid="{7FEB9C12-5563-44AC-A587-77A037C892D9}"/>
    <cellStyle name="Normal 5 3 3 2 2 2 7 3" xfId="13266" xr:uid="{C841D1A9-76D8-44D7-B244-4FD15BCB3F88}"/>
    <cellStyle name="Normal 5 3 3 2 2 2 8" xfId="17489" xr:uid="{C1C4A6F1-FF42-44D3-A487-AA792C12D5D5}"/>
    <cellStyle name="Normal 5 3 3 2 2 2 9" xfId="9048" xr:uid="{5775697C-6AE3-458A-8018-CBD950A134B5}"/>
    <cellStyle name="Normal 5 3 3 2 2 3" xfId="917" xr:uid="{00000000-0005-0000-0000-00008C190000}"/>
    <cellStyle name="Normal 5 3 3 2 2 3 2" xfId="3151" xr:uid="{00000000-0005-0000-0000-00008D190000}"/>
    <cellStyle name="Normal 5 3 3 2 2 3 2 2" xfId="7373" xr:uid="{00000000-0005-0000-0000-00008E190000}"/>
    <cellStyle name="Normal 5 3 3 2 2 3 2 2 2" xfId="24264" xr:uid="{91605511-2496-468C-8B2F-D7AEDE30F2AB}"/>
    <cellStyle name="Normal 5 3 3 2 2 3 2 2 3" xfId="15823" xr:uid="{E5DDB20E-9765-449C-BAAB-B02471358DDB}"/>
    <cellStyle name="Normal 5 3 3 2 2 3 2 3" xfId="20046" xr:uid="{C4E8DF28-FB88-4A49-A371-1C03C1ECB8F8}"/>
    <cellStyle name="Normal 5 3 3 2 2 3 2 4" xfId="11605" xr:uid="{13A7DB41-55E7-4797-A087-C68F8A08E49F}"/>
    <cellStyle name="Normal 5 3 3 2 2 3 3" xfId="5228" xr:uid="{00000000-0005-0000-0000-00008F190000}"/>
    <cellStyle name="Normal 5 3 3 2 2 3 3 2" xfId="22119" xr:uid="{6FD82954-5948-4F7D-A8B2-4B30191154F2}"/>
    <cellStyle name="Normal 5 3 3 2 2 3 3 3" xfId="13678" xr:uid="{7988905C-A085-4071-815E-E69FC2D8351F}"/>
    <cellStyle name="Normal 5 3 3 2 2 3 4" xfId="17901" xr:uid="{92F9904B-1C9B-4206-9ADB-20A0838B2F76}"/>
    <cellStyle name="Normal 5 3 3 2 2 3 5" xfId="9460" xr:uid="{5E047561-E940-4565-BEEE-0DF6D6CA40D6}"/>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2 2 2" xfId="24677" xr:uid="{037AFC62-3CD3-497B-B2DD-A1D39DEE921C}"/>
    <cellStyle name="Normal 5 3 3 2 2 4 2 2 3" xfId="16236" xr:uid="{34971512-843B-44F4-9AF0-3838B022BD37}"/>
    <cellStyle name="Normal 5 3 3 2 2 4 2 3" xfId="20459" xr:uid="{FDC406DB-6D69-49E6-9FDC-8810276996B8}"/>
    <cellStyle name="Normal 5 3 3 2 2 4 2 4" xfId="12018" xr:uid="{BAB023DF-9208-4FFC-BE9A-1DF68A1F6C40}"/>
    <cellStyle name="Normal 5 3 3 2 2 4 3" xfId="5641" xr:uid="{00000000-0005-0000-0000-000093190000}"/>
    <cellStyle name="Normal 5 3 3 2 2 4 3 2" xfId="22532" xr:uid="{643F524F-4A95-4231-AB77-FB5102D4BB99}"/>
    <cellStyle name="Normal 5 3 3 2 2 4 3 3" xfId="14091" xr:uid="{46FB67F9-110D-452E-AF6E-F53144951308}"/>
    <cellStyle name="Normal 5 3 3 2 2 4 4" xfId="18314" xr:uid="{09C86E8C-8A1F-4B7C-B5EB-71F7E427C188}"/>
    <cellStyle name="Normal 5 3 3 2 2 4 5" xfId="9873" xr:uid="{6910B1B4-1BFD-4D0C-8269-1D5CC4AACAE9}"/>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2 2 2" xfId="25090" xr:uid="{5AC7539D-116A-4440-A216-61827985CB46}"/>
    <cellStyle name="Normal 5 3 3 2 2 5 2 2 3" xfId="16649" xr:uid="{B91B6634-E42D-4FBD-B287-E5DED709FE5E}"/>
    <cellStyle name="Normal 5 3 3 2 2 5 2 3" xfId="20872" xr:uid="{6D52A2F1-559E-4624-B7BD-17FED63DDC1C}"/>
    <cellStyle name="Normal 5 3 3 2 2 5 2 4" xfId="12431" xr:uid="{493B0706-6D0E-4227-8E6B-6CCF6C608FE2}"/>
    <cellStyle name="Normal 5 3 3 2 2 5 3" xfId="6054" xr:uid="{00000000-0005-0000-0000-000097190000}"/>
    <cellStyle name="Normal 5 3 3 2 2 5 3 2" xfId="22945" xr:uid="{CE809DDD-BC1E-476A-BFD4-79C975743AA3}"/>
    <cellStyle name="Normal 5 3 3 2 2 5 3 3" xfId="14504" xr:uid="{83A2DAD9-3C71-4D6E-A023-F8AFD697F714}"/>
    <cellStyle name="Normal 5 3 3 2 2 5 4" xfId="18727" xr:uid="{A5D1EDAF-FE63-47DE-9089-3F6A4DB8A963}"/>
    <cellStyle name="Normal 5 3 3 2 2 5 5" xfId="10286" xr:uid="{8C3407A7-2D1A-4030-87D5-4DF1C79314EC}"/>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2 2 2" xfId="25503" xr:uid="{CF1FACB5-71F9-4E9F-B7C7-63F4F4B61312}"/>
    <cellStyle name="Normal 5 3 3 2 2 6 2 2 3" xfId="17062" xr:uid="{E38224C2-250C-4625-ADF7-98A3B203972A}"/>
    <cellStyle name="Normal 5 3 3 2 2 6 2 3" xfId="21285" xr:uid="{DF904042-6A53-451E-8D73-7A97AC3512B0}"/>
    <cellStyle name="Normal 5 3 3 2 2 6 2 4" xfId="12844" xr:uid="{AED6B9A0-B2EA-4363-BC0B-081E8F52D4B4}"/>
    <cellStyle name="Normal 5 3 3 2 2 6 3" xfId="6467" xr:uid="{00000000-0005-0000-0000-00009B190000}"/>
    <cellStyle name="Normal 5 3 3 2 2 6 3 2" xfId="23358" xr:uid="{6DB5D4F1-FF87-4D85-AD7F-1C8162CFE741}"/>
    <cellStyle name="Normal 5 3 3 2 2 6 3 3" xfId="14917" xr:uid="{676C1529-FE2B-4AEA-8AE4-D5F74F2A1AA2}"/>
    <cellStyle name="Normal 5 3 3 2 2 6 4" xfId="19140" xr:uid="{250D45AF-E23A-4C0E-9B7E-7945536A82D2}"/>
    <cellStyle name="Normal 5 3 3 2 2 6 5" xfId="10699" xr:uid="{877C917A-A88E-4FA2-A107-B12BC9E05975}"/>
    <cellStyle name="Normal 5 3 3 2 2 7" xfId="2597" xr:uid="{00000000-0005-0000-0000-00009C190000}"/>
    <cellStyle name="Normal 5 3 3 2 2 7 2" xfId="6880" xr:uid="{00000000-0005-0000-0000-00009D190000}"/>
    <cellStyle name="Normal 5 3 3 2 2 7 2 2" xfId="23771" xr:uid="{16BA6DE6-00F8-4BE7-9504-2BBAD15D1E40}"/>
    <cellStyle name="Normal 5 3 3 2 2 7 2 3" xfId="15330" xr:uid="{F835CF7E-010C-4ABB-902B-0DB936D2CF75}"/>
    <cellStyle name="Normal 5 3 3 2 2 7 3" xfId="19553" xr:uid="{4EE9EDDD-05D6-4490-925B-3FC2FA810A0E}"/>
    <cellStyle name="Normal 5 3 3 2 2 7 4" xfId="11112" xr:uid="{0ED349D2-DFF6-44EA-BECD-D30A7B764D5E}"/>
    <cellStyle name="Normal 5 3 3 2 2 8" xfId="4815" xr:uid="{00000000-0005-0000-0000-00009E190000}"/>
    <cellStyle name="Normal 5 3 3 2 2 8 2" xfId="21706" xr:uid="{D5731020-2E8D-40FF-B7E1-27D2668B019D}"/>
    <cellStyle name="Normal 5 3 3 2 2 8 3" xfId="13265" xr:uid="{1D5F0075-C216-44D2-B47E-896D59FAF514}"/>
    <cellStyle name="Normal 5 3 3 2 2 9" xfId="17488" xr:uid="{9F0F81C0-2994-4D54-B873-FF50CEB9E7E3}"/>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2 2 2" xfId="24266" xr:uid="{A7903CC6-8AC1-4787-985C-04B30D2EC404}"/>
    <cellStyle name="Normal 5 3 3 2 3 2 2 2 3" xfId="15825" xr:uid="{2C73CC90-95C9-424F-8C67-DB9F71870E57}"/>
    <cellStyle name="Normal 5 3 3 2 3 2 2 3" xfId="20048" xr:uid="{E995F231-4B93-4983-A133-93DFDCE36EB9}"/>
    <cellStyle name="Normal 5 3 3 2 3 2 2 4" xfId="11607" xr:uid="{235B6BDB-7DD1-4563-BA5C-99C3B1B63FB9}"/>
    <cellStyle name="Normal 5 3 3 2 3 2 3" xfId="5230" xr:uid="{00000000-0005-0000-0000-0000A3190000}"/>
    <cellStyle name="Normal 5 3 3 2 3 2 3 2" xfId="22121" xr:uid="{2B46B5C0-1B7E-477F-AF1A-3EBCBF1C829E}"/>
    <cellStyle name="Normal 5 3 3 2 3 2 3 3" xfId="13680" xr:uid="{A8FF4E77-43C5-46C3-A54B-40B1900063E5}"/>
    <cellStyle name="Normal 5 3 3 2 3 2 4" xfId="17903" xr:uid="{B8A49BFE-D9DA-425B-94B0-63506339E24F}"/>
    <cellStyle name="Normal 5 3 3 2 3 2 5" xfId="9462" xr:uid="{FAA35BFC-C5AF-4424-9F83-AB4FE8EC6A3B}"/>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2 2 2" xfId="24679" xr:uid="{97FB7974-BBD7-45F9-9133-7A69EFDBFE6C}"/>
    <cellStyle name="Normal 5 3 3 2 3 3 2 2 3" xfId="16238" xr:uid="{2CB0D12F-A3CA-4C14-96FA-868A39170BCF}"/>
    <cellStyle name="Normal 5 3 3 2 3 3 2 3" xfId="20461" xr:uid="{0EB0CF3A-EDC3-435D-90D5-BA5AE55D9CFE}"/>
    <cellStyle name="Normal 5 3 3 2 3 3 2 4" xfId="12020" xr:uid="{1463F22D-D2ED-4BD4-B8B3-A6B6804FD710}"/>
    <cellStyle name="Normal 5 3 3 2 3 3 3" xfId="5643" xr:uid="{00000000-0005-0000-0000-0000A7190000}"/>
    <cellStyle name="Normal 5 3 3 2 3 3 3 2" xfId="22534" xr:uid="{19D78E99-7BFB-4497-819B-3217999F5B89}"/>
    <cellStyle name="Normal 5 3 3 2 3 3 3 3" xfId="14093" xr:uid="{6BDE0415-9273-4DED-9F3A-F94FB53A9B39}"/>
    <cellStyle name="Normal 5 3 3 2 3 3 4" xfId="18316" xr:uid="{0BB38BE5-252E-4DB4-B72C-AC4880BC0ABE}"/>
    <cellStyle name="Normal 5 3 3 2 3 3 5" xfId="9875" xr:uid="{D34E12A1-E48D-4ABE-9997-D25B3578DBF4}"/>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2 2 2" xfId="25092" xr:uid="{14ECBB38-E80F-4ADE-B728-34AEA1AF384B}"/>
    <cellStyle name="Normal 5 3 3 2 3 4 2 2 3" xfId="16651" xr:uid="{6F253AD3-18C5-46B1-B209-DFE804104283}"/>
    <cellStyle name="Normal 5 3 3 2 3 4 2 3" xfId="20874" xr:uid="{BFA99D67-5319-4719-A885-467F0799E492}"/>
    <cellStyle name="Normal 5 3 3 2 3 4 2 4" xfId="12433" xr:uid="{8F436B67-C26A-4220-AC6A-4EA431B90AAD}"/>
    <cellStyle name="Normal 5 3 3 2 3 4 3" xfId="6056" xr:uid="{00000000-0005-0000-0000-0000AB190000}"/>
    <cellStyle name="Normal 5 3 3 2 3 4 3 2" xfId="22947" xr:uid="{A5C01057-9167-4680-AB78-0FBFFB2B1019}"/>
    <cellStyle name="Normal 5 3 3 2 3 4 3 3" xfId="14506" xr:uid="{F0F08A14-0413-4A18-983B-18E6FFC7667C}"/>
    <cellStyle name="Normal 5 3 3 2 3 4 4" xfId="18729" xr:uid="{FB441B53-B5C4-42D5-BF9F-8726ADF6134D}"/>
    <cellStyle name="Normal 5 3 3 2 3 4 5" xfId="10288" xr:uid="{558C6B48-8349-4D10-9335-8A507DACCC6A}"/>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2 2 2" xfId="25505" xr:uid="{6A6686B4-D8C6-425A-BD37-8F8447A3E334}"/>
    <cellStyle name="Normal 5 3 3 2 3 5 2 2 3" xfId="17064" xr:uid="{C5805C3F-B611-4946-B937-326BC01D5CB5}"/>
    <cellStyle name="Normal 5 3 3 2 3 5 2 3" xfId="21287" xr:uid="{5023A394-9FF3-4C22-B85F-973CFEDB59EB}"/>
    <cellStyle name="Normal 5 3 3 2 3 5 2 4" xfId="12846" xr:uid="{F5259B2C-7AAD-4788-B11E-E06FF7A6659C}"/>
    <cellStyle name="Normal 5 3 3 2 3 5 3" xfId="6469" xr:uid="{00000000-0005-0000-0000-0000AF190000}"/>
    <cellStyle name="Normal 5 3 3 2 3 5 3 2" xfId="23360" xr:uid="{8536226E-CBC1-4F4B-B83D-EEF2143F645D}"/>
    <cellStyle name="Normal 5 3 3 2 3 5 3 3" xfId="14919" xr:uid="{66058952-717C-4294-9ACD-3232010CBB9D}"/>
    <cellStyle name="Normal 5 3 3 2 3 5 4" xfId="19142" xr:uid="{72255670-BCA5-4945-810C-C1617D3E78C9}"/>
    <cellStyle name="Normal 5 3 3 2 3 5 5" xfId="10701" xr:uid="{EBD5F9AB-97D9-4813-9F49-5EDA9EAC549C}"/>
    <cellStyle name="Normal 5 3 3 2 3 6" xfId="2599" xr:uid="{00000000-0005-0000-0000-0000B0190000}"/>
    <cellStyle name="Normal 5 3 3 2 3 6 2" xfId="6882" xr:uid="{00000000-0005-0000-0000-0000B1190000}"/>
    <cellStyle name="Normal 5 3 3 2 3 6 2 2" xfId="23773" xr:uid="{3355A3E5-240D-497A-9006-AEFA0E812397}"/>
    <cellStyle name="Normal 5 3 3 2 3 6 2 3" xfId="15332" xr:uid="{D7A180D8-E8B5-4CEA-89F1-A0E97B533048}"/>
    <cellStyle name="Normal 5 3 3 2 3 6 3" xfId="19555" xr:uid="{DA3C3884-7DE6-4739-9C6C-42F63F1D251A}"/>
    <cellStyle name="Normal 5 3 3 2 3 6 4" xfId="11114" xr:uid="{79AD4013-6A35-4AA3-A052-DBD4F8D41EFD}"/>
    <cellStyle name="Normal 5 3 3 2 3 7" xfId="4817" xr:uid="{00000000-0005-0000-0000-0000B2190000}"/>
    <cellStyle name="Normal 5 3 3 2 3 7 2" xfId="21708" xr:uid="{5F2DEEEB-2D3F-4F18-A25A-B7B27E915610}"/>
    <cellStyle name="Normal 5 3 3 2 3 7 3" xfId="13267" xr:uid="{4226C5F6-4D20-400A-ADD1-A502B5764AF9}"/>
    <cellStyle name="Normal 5 3 3 2 3 8" xfId="17490" xr:uid="{B54EC448-F630-4DA9-BAB7-9AAFCC4F47BD}"/>
    <cellStyle name="Normal 5 3 3 2 3 9" xfId="9049" xr:uid="{E2E25B9F-39D1-4093-A7E4-FA6B80861801}"/>
    <cellStyle name="Normal 5 3 3 2 4" xfId="916" xr:uid="{00000000-0005-0000-0000-0000B3190000}"/>
    <cellStyle name="Normal 5 3 3 2 4 2" xfId="3150" xr:uid="{00000000-0005-0000-0000-0000B4190000}"/>
    <cellStyle name="Normal 5 3 3 2 4 2 2" xfId="7372" xr:uid="{00000000-0005-0000-0000-0000B5190000}"/>
    <cellStyle name="Normal 5 3 3 2 4 2 2 2" xfId="24263" xr:uid="{17FCE9D0-BBEF-4548-A559-4B75E3317D06}"/>
    <cellStyle name="Normal 5 3 3 2 4 2 2 3" xfId="15822" xr:uid="{6CAA90BB-C8C0-40F1-89E2-68EDBC4C43B7}"/>
    <cellStyle name="Normal 5 3 3 2 4 2 3" xfId="20045" xr:uid="{B3F2B9AA-35CF-457E-80C8-9F751D251368}"/>
    <cellStyle name="Normal 5 3 3 2 4 2 4" xfId="11604" xr:uid="{A014F3A2-6A2F-4776-94AE-0D3FDFBDB2B2}"/>
    <cellStyle name="Normal 5 3 3 2 4 3" xfId="5227" xr:uid="{00000000-0005-0000-0000-0000B6190000}"/>
    <cellStyle name="Normal 5 3 3 2 4 3 2" xfId="22118" xr:uid="{0938B50F-F996-42EF-A0AC-D2775E6EF005}"/>
    <cellStyle name="Normal 5 3 3 2 4 3 3" xfId="13677" xr:uid="{C0575164-2FEE-4493-9016-2D8DDC08B4F2}"/>
    <cellStyle name="Normal 5 3 3 2 4 4" xfId="17900" xr:uid="{2DA04014-BB66-4B53-A590-DB0CC0603242}"/>
    <cellStyle name="Normal 5 3 3 2 4 5" xfId="9459" xr:uid="{3992EE25-7AB3-4178-8CFB-DA11296E1575}"/>
    <cellStyle name="Normal 5 3 3 2 5" xfId="1333" xr:uid="{00000000-0005-0000-0000-0000B7190000}"/>
    <cellStyle name="Normal 5 3 3 2 5 2" xfId="3563" xr:uid="{00000000-0005-0000-0000-0000B8190000}"/>
    <cellStyle name="Normal 5 3 3 2 5 2 2" xfId="7785" xr:uid="{00000000-0005-0000-0000-0000B9190000}"/>
    <cellStyle name="Normal 5 3 3 2 5 2 2 2" xfId="24676" xr:uid="{1802777D-AED0-4CBA-B605-0989B9FB05F2}"/>
    <cellStyle name="Normal 5 3 3 2 5 2 2 3" xfId="16235" xr:uid="{CCBEFDCE-E454-4391-9B03-3D2CE34F0A67}"/>
    <cellStyle name="Normal 5 3 3 2 5 2 3" xfId="20458" xr:uid="{D064CB91-8477-4253-A0A0-B1D57F841A49}"/>
    <cellStyle name="Normal 5 3 3 2 5 2 4" xfId="12017" xr:uid="{07EA6013-6E14-45C7-B1E7-717830279378}"/>
    <cellStyle name="Normal 5 3 3 2 5 3" xfId="5640" xr:uid="{00000000-0005-0000-0000-0000BA190000}"/>
    <cellStyle name="Normal 5 3 3 2 5 3 2" xfId="22531" xr:uid="{0FB99BF0-3312-413E-954F-E604DCFDFC0E}"/>
    <cellStyle name="Normal 5 3 3 2 5 3 3" xfId="14090" xr:uid="{94F08C71-34E1-4F8C-8834-1C44C29086A4}"/>
    <cellStyle name="Normal 5 3 3 2 5 4" xfId="18313" xr:uid="{5C23EED9-DA63-4C7D-B6E9-34928A3A87EF}"/>
    <cellStyle name="Normal 5 3 3 2 5 5" xfId="9872" xr:uid="{2985EDEF-15B9-40A7-92A8-62F9D6CC1CBD}"/>
    <cellStyle name="Normal 5 3 3 2 6" xfId="1746" xr:uid="{00000000-0005-0000-0000-0000BB190000}"/>
    <cellStyle name="Normal 5 3 3 2 6 2" xfId="3976" xr:uid="{00000000-0005-0000-0000-0000BC190000}"/>
    <cellStyle name="Normal 5 3 3 2 6 2 2" xfId="8198" xr:uid="{00000000-0005-0000-0000-0000BD190000}"/>
    <cellStyle name="Normal 5 3 3 2 6 2 2 2" xfId="25089" xr:uid="{500A1242-3A59-44C8-930A-9EB603B741EF}"/>
    <cellStyle name="Normal 5 3 3 2 6 2 2 3" xfId="16648" xr:uid="{E26989D5-59FD-405B-97B1-6166FFD98CB4}"/>
    <cellStyle name="Normal 5 3 3 2 6 2 3" xfId="20871" xr:uid="{1F03B148-DC17-4EAC-BDC9-1CEA15175458}"/>
    <cellStyle name="Normal 5 3 3 2 6 2 4" xfId="12430" xr:uid="{118F6399-B081-4D36-AB73-8CDB0F64490B}"/>
    <cellStyle name="Normal 5 3 3 2 6 3" xfId="6053" xr:uid="{00000000-0005-0000-0000-0000BE190000}"/>
    <cellStyle name="Normal 5 3 3 2 6 3 2" xfId="22944" xr:uid="{5F0259E0-8419-42D2-8613-21B9AEE11713}"/>
    <cellStyle name="Normal 5 3 3 2 6 3 3" xfId="14503" xr:uid="{B5DFC15E-1A14-4948-AD2D-52EB123498C4}"/>
    <cellStyle name="Normal 5 3 3 2 6 4" xfId="18726" xr:uid="{65D71396-7D5D-4AC2-9F21-5A74BA5788C4}"/>
    <cellStyle name="Normal 5 3 3 2 6 5" xfId="10285" xr:uid="{2C1910E1-0A26-40EC-AC26-77A68F904667}"/>
    <cellStyle name="Normal 5 3 3 2 7" xfId="2160" xr:uid="{00000000-0005-0000-0000-0000BF190000}"/>
    <cellStyle name="Normal 5 3 3 2 7 2" xfId="4389" xr:uid="{00000000-0005-0000-0000-0000C0190000}"/>
    <cellStyle name="Normal 5 3 3 2 7 2 2" xfId="8611" xr:uid="{00000000-0005-0000-0000-0000C1190000}"/>
    <cellStyle name="Normal 5 3 3 2 7 2 2 2" xfId="25502" xr:uid="{0781CE5A-87FF-48BF-B1FD-692DE9319F56}"/>
    <cellStyle name="Normal 5 3 3 2 7 2 2 3" xfId="17061" xr:uid="{42D489CA-63A0-4638-B84F-0AB012E788DE}"/>
    <cellStyle name="Normal 5 3 3 2 7 2 3" xfId="21284" xr:uid="{8CC7B6E9-0062-4D6C-901B-5121A7FB1BBC}"/>
    <cellStyle name="Normal 5 3 3 2 7 2 4" xfId="12843" xr:uid="{8EB8557E-69AD-467B-B065-B71DF9333E72}"/>
    <cellStyle name="Normal 5 3 3 2 7 3" xfId="6466" xr:uid="{00000000-0005-0000-0000-0000C2190000}"/>
    <cellStyle name="Normal 5 3 3 2 7 3 2" xfId="23357" xr:uid="{84A2D01E-9A08-4E53-943C-6AAD44DF8E00}"/>
    <cellStyle name="Normal 5 3 3 2 7 3 3" xfId="14916" xr:uid="{E1625372-D8D8-4250-AFB0-7B1E5271EBC9}"/>
    <cellStyle name="Normal 5 3 3 2 7 4" xfId="19139" xr:uid="{40BACBDB-5F96-43AF-A2D9-1E3E3CD4B498}"/>
    <cellStyle name="Normal 5 3 3 2 7 5" xfId="10698" xr:uid="{D46329CE-BB06-43F2-B138-6C734A9E5C61}"/>
    <cellStyle name="Normal 5 3 3 2 8" xfId="2596" xr:uid="{00000000-0005-0000-0000-0000C3190000}"/>
    <cellStyle name="Normal 5 3 3 2 8 2" xfId="6879" xr:uid="{00000000-0005-0000-0000-0000C4190000}"/>
    <cellStyle name="Normal 5 3 3 2 8 2 2" xfId="23770" xr:uid="{78F40864-3F73-4FBA-91AB-51E018DD78D9}"/>
    <cellStyle name="Normal 5 3 3 2 8 2 3" xfId="15329" xr:uid="{8B23F354-E065-4F4C-8E93-81EFCE5242A5}"/>
    <cellStyle name="Normal 5 3 3 2 8 3" xfId="19552" xr:uid="{EC2310D6-D34E-4EAA-8168-C5C9F2714ACA}"/>
    <cellStyle name="Normal 5 3 3 2 8 4" xfId="11111" xr:uid="{54026608-76A3-496F-8AE5-D1213AE65E97}"/>
    <cellStyle name="Normal 5 3 3 2 9" xfId="4814" xr:uid="{00000000-0005-0000-0000-0000C5190000}"/>
    <cellStyle name="Normal 5 3 3 2 9 2" xfId="21705" xr:uid="{ACE3416E-EBE6-4450-B9AF-BF14AD5E0506}"/>
    <cellStyle name="Normal 5 3 3 2 9 3" xfId="13264" xr:uid="{0A52D071-B5F6-4770-83C4-DEB7F37C2A9C}"/>
    <cellStyle name="Normal 5 3 3 3" xfId="446" xr:uid="{00000000-0005-0000-0000-0000C6190000}"/>
    <cellStyle name="Normal 5 3 3 3 10" xfId="9050" xr:uid="{AEE15DAA-8459-4C2A-8AD4-F32128E4AFA1}"/>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2 2 2" xfId="24268" xr:uid="{AAA93979-7622-4F72-BD3E-B7D5A7116077}"/>
    <cellStyle name="Normal 5 3 3 3 2 2 2 2 3" xfId="15827" xr:uid="{89B3530C-45FC-4189-B6E1-7080A3D36435}"/>
    <cellStyle name="Normal 5 3 3 3 2 2 2 3" xfId="20050" xr:uid="{8EFE54F2-8672-4100-B677-5392CE31B6BE}"/>
    <cellStyle name="Normal 5 3 3 3 2 2 2 4" xfId="11609" xr:uid="{24960443-3411-4DD7-A729-551282ECD1C5}"/>
    <cellStyle name="Normal 5 3 3 3 2 2 3" xfId="5232" xr:uid="{00000000-0005-0000-0000-0000CB190000}"/>
    <cellStyle name="Normal 5 3 3 3 2 2 3 2" xfId="22123" xr:uid="{B85DAFC4-07F1-4AA5-9D50-D4AC67E4B142}"/>
    <cellStyle name="Normal 5 3 3 3 2 2 3 3" xfId="13682" xr:uid="{AF2AD85F-81E3-498B-BDC3-CEE13D60398A}"/>
    <cellStyle name="Normal 5 3 3 3 2 2 4" xfId="17905" xr:uid="{DE267CFF-2F23-490B-9205-AA60A2BF4FE3}"/>
    <cellStyle name="Normal 5 3 3 3 2 2 5" xfId="9464" xr:uid="{1EA28D1D-9114-4F8A-8931-227A352A3B9B}"/>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2 2 2" xfId="24681" xr:uid="{18BE86C8-6C79-48C1-9964-4F42FE66EC32}"/>
    <cellStyle name="Normal 5 3 3 3 2 3 2 2 3" xfId="16240" xr:uid="{C9BC7B99-7B2C-4765-8790-CB1A735291B4}"/>
    <cellStyle name="Normal 5 3 3 3 2 3 2 3" xfId="20463" xr:uid="{8CF7C586-E8C3-44B8-9D8C-860B67EBAC99}"/>
    <cellStyle name="Normal 5 3 3 3 2 3 2 4" xfId="12022" xr:uid="{4555BDBA-1FB8-45D4-B6AB-F682C25D2991}"/>
    <cellStyle name="Normal 5 3 3 3 2 3 3" xfId="5645" xr:uid="{00000000-0005-0000-0000-0000CF190000}"/>
    <cellStyle name="Normal 5 3 3 3 2 3 3 2" xfId="22536" xr:uid="{9127C7D9-7A3A-41DE-9D7B-A0B5C4812321}"/>
    <cellStyle name="Normal 5 3 3 3 2 3 3 3" xfId="14095" xr:uid="{2D308AD3-C5E0-4CBD-8E71-93A6D6622803}"/>
    <cellStyle name="Normal 5 3 3 3 2 3 4" xfId="18318" xr:uid="{D6582E10-3CCF-4FD7-BB18-97F04F48CECE}"/>
    <cellStyle name="Normal 5 3 3 3 2 3 5" xfId="9877" xr:uid="{26376CDE-00B4-4A9C-BAC1-5BD02096A552}"/>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2 2 2" xfId="25094" xr:uid="{B847E89B-B7D7-4989-89C3-7CF410454459}"/>
    <cellStyle name="Normal 5 3 3 3 2 4 2 2 3" xfId="16653" xr:uid="{7EDFEA5E-1C88-4CE2-88E1-77EDA3A65BE4}"/>
    <cellStyle name="Normal 5 3 3 3 2 4 2 3" xfId="20876" xr:uid="{AD0FADE8-CD77-4540-AC23-8AFBBF61D669}"/>
    <cellStyle name="Normal 5 3 3 3 2 4 2 4" xfId="12435" xr:uid="{7EAEABFE-0F8B-4066-8DE6-2B7030EC6A72}"/>
    <cellStyle name="Normal 5 3 3 3 2 4 3" xfId="6058" xr:uid="{00000000-0005-0000-0000-0000D3190000}"/>
    <cellStyle name="Normal 5 3 3 3 2 4 3 2" xfId="22949" xr:uid="{10C8F5C8-4EDE-4DB6-8ACC-25274CCBC1F7}"/>
    <cellStyle name="Normal 5 3 3 3 2 4 3 3" xfId="14508" xr:uid="{14A2AEB9-8CD3-4924-AA21-9E3398D400EF}"/>
    <cellStyle name="Normal 5 3 3 3 2 4 4" xfId="18731" xr:uid="{3A995E9C-7C8A-4FBA-B1A7-FF2A904AB9BF}"/>
    <cellStyle name="Normal 5 3 3 3 2 4 5" xfId="10290" xr:uid="{85893C5B-2E82-4BE9-A0EF-627AE76148B3}"/>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2 2 2" xfId="25507" xr:uid="{9A2F025D-8E6B-4F46-AFC3-64B6621E8215}"/>
    <cellStyle name="Normal 5 3 3 3 2 5 2 2 3" xfId="17066" xr:uid="{5DFA460D-9EFD-49E3-9936-9183B221A2E1}"/>
    <cellStyle name="Normal 5 3 3 3 2 5 2 3" xfId="21289" xr:uid="{281DBC03-9617-4AD2-8CBB-16EB03F4318A}"/>
    <cellStyle name="Normal 5 3 3 3 2 5 2 4" xfId="12848" xr:uid="{3B754412-47FF-47CE-AC28-BE6F66420DC2}"/>
    <cellStyle name="Normal 5 3 3 3 2 5 3" xfId="6471" xr:uid="{00000000-0005-0000-0000-0000D7190000}"/>
    <cellStyle name="Normal 5 3 3 3 2 5 3 2" xfId="23362" xr:uid="{06386D15-914E-4773-801D-E60A8C8A56B9}"/>
    <cellStyle name="Normal 5 3 3 3 2 5 3 3" xfId="14921" xr:uid="{ECC56676-4E22-4117-8ED2-CB9397CD9DC6}"/>
    <cellStyle name="Normal 5 3 3 3 2 5 4" xfId="19144" xr:uid="{890D0DF9-ABB4-41F4-AD6F-2B3301407DE7}"/>
    <cellStyle name="Normal 5 3 3 3 2 5 5" xfId="10703" xr:uid="{4679CB40-4821-4E55-9C60-39FF30BA0BF7}"/>
    <cellStyle name="Normal 5 3 3 3 2 6" xfId="2601" xr:uid="{00000000-0005-0000-0000-0000D8190000}"/>
    <cellStyle name="Normal 5 3 3 3 2 6 2" xfId="6884" xr:uid="{00000000-0005-0000-0000-0000D9190000}"/>
    <cellStyle name="Normal 5 3 3 3 2 6 2 2" xfId="23775" xr:uid="{C15471B4-DE10-459C-8230-C0FF5E6F8607}"/>
    <cellStyle name="Normal 5 3 3 3 2 6 2 3" xfId="15334" xr:uid="{E8F6ACED-5057-4EDA-90A6-2429D239AD74}"/>
    <cellStyle name="Normal 5 3 3 3 2 6 3" xfId="19557" xr:uid="{02D7B930-1E7C-4068-AEFD-56B61F89741E}"/>
    <cellStyle name="Normal 5 3 3 3 2 6 4" xfId="11116" xr:uid="{C877AC1D-7ABF-4097-AE4F-8F865BB5AD1C}"/>
    <cellStyle name="Normal 5 3 3 3 2 7" xfId="4819" xr:uid="{00000000-0005-0000-0000-0000DA190000}"/>
    <cellStyle name="Normal 5 3 3 3 2 7 2" xfId="21710" xr:uid="{F41D9509-3EC8-4E09-A1DA-113E6C952BC1}"/>
    <cellStyle name="Normal 5 3 3 3 2 7 3" xfId="13269" xr:uid="{45BC72EA-DFCF-45E9-A1B5-95C227C02C83}"/>
    <cellStyle name="Normal 5 3 3 3 2 8" xfId="17492" xr:uid="{57366425-EFCE-47FD-8DA6-6B0FCF75E3FC}"/>
    <cellStyle name="Normal 5 3 3 3 2 9" xfId="9051" xr:uid="{B38B004D-C45B-475E-B6EB-6906EAAB2B4F}"/>
    <cellStyle name="Normal 5 3 3 3 3" xfId="920" xr:uid="{00000000-0005-0000-0000-0000DB190000}"/>
    <cellStyle name="Normal 5 3 3 3 3 2" xfId="3154" xr:uid="{00000000-0005-0000-0000-0000DC190000}"/>
    <cellStyle name="Normal 5 3 3 3 3 2 2" xfId="7376" xr:uid="{00000000-0005-0000-0000-0000DD190000}"/>
    <cellStyle name="Normal 5 3 3 3 3 2 2 2" xfId="24267" xr:uid="{5ED8858F-D52C-4C38-9E83-30EBDD1D3CEB}"/>
    <cellStyle name="Normal 5 3 3 3 3 2 2 3" xfId="15826" xr:uid="{BED98390-41F6-4890-BE35-3FEB71B04B8B}"/>
    <cellStyle name="Normal 5 3 3 3 3 2 3" xfId="20049" xr:uid="{F6BB34D1-38A9-45C7-912E-EFC91055A172}"/>
    <cellStyle name="Normal 5 3 3 3 3 2 4" xfId="11608" xr:uid="{1B2F6693-818C-4941-AC74-71B05C6F3E9F}"/>
    <cellStyle name="Normal 5 3 3 3 3 3" xfId="5231" xr:uid="{00000000-0005-0000-0000-0000DE190000}"/>
    <cellStyle name="Normal 5 3 3 3 3 3 2" xfId="22122" xr:uid="{AE65C23B-4E4C-46DF-999D-8D4B57B0C75C}"/>
    <cellStyle name="Normal 5 3 3 3 3 3 3" xfId="13681" xr:uid="{77D7F893-DBA2-4AE9-ACBD-56C03F3EA53E}"/>
    <cellStyle name="Normal 5 3 3 3 3 4" xfId="17904" xr:uid="{0865F41D-9B80-45E8-BFEA-EE157CCE0F00}"/>
    <cellStyle name="Normal 5 3 3 3 3 5" xfId="9463" xr:uid="{2177E66A-17AB-44E2-9917-EC4BDD8572AF}"/>
    <cellStyle name="Normal 5 3 3 3 4" xfId="1337" xr:uid="{00000000-0005-0000-0000-0000DF190000}"/>
    <cellStyle name="Normal 5 3 3 3 4 2" xfId="3567" xr:uid="{00000000-0005-0000-0000-0000E0190000}"/>
    <cellStyle name="Normal 5 3 3 3 4 2 2" xfId="7789" xr:uid="{00000000-0005-0000-0000-0000E1190000}"/>
    <cellStyle name="Normal 5 3 3 3 4 2 2 2" xfId="24680" xr:uid="{4B4094CE-89F0-4D36-9503-64F776707267}"/>
    <cellStyle name="Normal 5 3 3 3 4 2 2 3" xfId="16239" xr:uid="{7BF66931-4715-42FF-985A-3B6EAF003CC8}"/>
    <cellStyle name="Normal 5 3 3 3 4 2 3" xfId="20462" xr:uid="{8D7D3719-964D-45A5-8E6B-A891381670E8}"/>
    <cellStyle name="Normal 5 3 3 3 4 2 4" xfId="12021" xr:uid="{680D6474-0607-4D07-B23F-B31AA3CD4598}"/>
    <cellStyle name="Normal 5 3 3 3 4 3" xfId="5644" xr:uid="{00000000-0005-0000-0000-0000E2190000}"/>
    <cellStyle name="Normal 5 3 3 3 4 3 2" xfId="22535" xr:uid="{FE5E6662-C1B3-4362-9C8E-A02556630A0A}"/>
    <cellStyle name="Normal 5 3 3 3 4 3 3" xfId="14094" xr:uid="{6BCBA82B-D373-4C1B-A666-0BB4615EFE35}"/>
    <cellStyle name="Normal 5 3 3 3 4 4" xfId="18317" xr:uid="{C48C5D2D-778C-4B0E-A331-803D40BFB5BC}"/>
    <cellStyle name="Normal 5 3 3 3 4 5" xfId="9876" xr:uid="{5893ABE6-B3CF-44B7-BADA-E88908D04619}"/>
    <cellStyle name="Normal 5 3 3 3 5" xfId="1750" xr:uid="{00000000-0005-0000-0000-0000E3190000}"/>
    <cellStyle name="Normal 5 3 3 3 5 2" xfId="3980" xr:uid="{00000000-0005-0000-0000-0000E4190000}"/>
    <cellStyle name="Normal 5 3 3 3 5 2 2" xfId="8202" xr:uid="{00000000-0005-0000-0000-0000E5190000}"/>
    <cellStyle name="Normal 5 3 3 3 5 2 2 2" xfId="25093" xr:uid="{4D572CE1-B660-4C28-92D9-F2F132815B73}"/>
    <cellStyle name="Normal 5 3 3 3 5 2 2 3" xfId="16652" xr:uid="{847D6069-DE28-4AA9-887A-12D728E8E73E}"/>
    <cellStyle name="Normal 5 3 3 3 5 2 3" xfId="20875" xr:uid="{35113F21-2F3C-453B-B3E3-04CE7EFB2138}"/>
    <cellStyle name="Normal 5 3 3 3 5 2 4" xfId="12434" xr:uid="{59F911FD-B31D-4AD4-AE80-EEF377566005}"/>
    <cellStyle name="Normal 5 3 3 3 5 3" xfId="6057" xr:uid="{00000000-0005-0000-0000-0000E6190000}"/>
    <cellStyle name="Normal 5 3 3 3 5 3 2" xfId="22948" xr:uid="{96CC7C9E-004D-4794-97DF-EAABE093BD40}"/>
    <cellStyle name="Normal 5 3 3 3 5 3 3" xfId="14507" xr:uid="{9C025E14-41E8-41C2-88A3-40A13B64499D}"/>
    <cellStyle name="Normal 5 3 3 3 5 4" xfId="18730" xr:uid="{146ED22B-FBBC-4A95-985F-5DE7724CF559}"/>
    <cellStyle name="Normal 5 3 3 3 5 5" xfId="10289" xr:uid="{8B50B716-C91E-4806-98CB-58C000BC059F}"/>
    <cellStyle name="Normal 5 3 3 3 6" xfId="2164" xr:uid="{00000000-0005-0000-0000-0000E7190000}"/>
    <cellStyle name="Normal 5 3 3 3 6 2" xfId="4393" xr:uid="{00000000-0005-0000-0000-0000E8190000}"/>
    <cellStyle name="Normal 5 3 3 3 6 2 2" xfId="8615" xr:uid="{00000000-0005-0000-0000-0000E9190000}"/>
    <cellStyle name="Normal 5 3 3 3 6 2 2 2" xfId="25506" xr:uid="{D1BDA1EA-0589-42A7-A016-D01AB59D5AF6}"/>
    <cellStyle name="Normal 5 3 3 3 6 2 2 3" xfId="17065" xr:uid="{A9CFEFBE-AEAC-40AB-AAE4-6628A515C20B}"/>
    <cellStyle name="Normal 5 3 3 3 6 2 3" xfId="21288" xr:uid="{35827739-B8C8-4B53-B0D1-BA5B0E95D1AA}"/>
    <cellStyle name="Normal 5 3 3 3 6 2 4" xfId="12847" xr:uid="{959B6912-D1CA-49DD-967F-88320ECE3789}"/>
    <cellStyle name="Normal 5 3 3 3 6 3" xfId="6470" xr:uid="{00000000-0005-0000-0000-0000EA190000}"/>
    <cellStyle name="Normal 5 3 3 3 6 3 2" xfId="23361" xr:uid="{5C7297F7-FD35-4D74-8CF1-B0E4B19B8568}"/>
    <cellStyle name="Normal 5 3 3 3 6 3 3" xfId="14920" xr:uid="{AD4EBD44-A844-4092-AA2A-EC9C7947F5DB}"/>
    <cellStyle name="Normal 5 3 3 3 6 4" xfId="19143" xr:uid="{A877BABE-5282-41FE-8573-C163971716CF}"/>
    <cellStyle name="Normal 5 3 3 3 6 5" xfId="10702" xr:uid="{547F61DF-FF12-4DA5-98EC-F74E5329D3CD}"/>
    <cellStyle name="Normal 5 3 3 3 7" xfId="2600" xr:uid="{00000000-0005-0000-0000-0000EB190000}"/>
    <cellStyle name="Normal 5 3 3 3 7 2" xfId="6883" xr:uid="{00000000-0005-0000-0000-0000EC190000}"/>
    <cellStyle name="Normal 5 3 3 3 7 2 2" xfId="23774" xr:uid="{D83E82B6-5504-41E2-A876-F1432823A6AC}"/>
    <cellStyle name="Normal 5 3 3 3 7 2 3" xfId="15333" xr:uid="{4D8784CB-10AC-4FDB-80C7-EC68B903D619}"/>
    <cellStyle name="Normal 5 3 3 3 7 3" xfId="19556" xr:uid="{C1D0465F-4397-4467-A1EB-2DB1222F223B}"/>
    <cellStyle name="Normal 5 3 3 3 7 4" xfId="11115" xr:uid="{C5F9C370-0905-4B6D-B7B6-2060E8AB9A5B}"/>
    <cellStyle name="Normal 5 3 3 3 8" xfId="4818" xr:uid="{00000000-0005-0000-0000-0000ED190000}"/>
    <cellStyle name="Normal 5 3 3 3 8 2" xfId="21709" xr:uid="{8348316A-084E-42DC-8119-16314D8F7269}"/>
    <cellStyle name="Normal 5 3 3 3 8 3" xfId="13268" xr:uid="{458CF18E-3351-48D8-B2FE-9EDB2355D0C2}"/>
    <cellStyle name="Normal 5 3 3 3 9" xfId="17491" xr:uid="{3663EBC8-B257-4839-ADD8-2BAE3148C28D}"/>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2 2 2" xfId="24269" xr:uid="{0AE2EC41-04A1-4CC9-85DB-7868CDF52DCE}"/>
    <cellStyle name="Normal 5 3 3 4 2 2 2 3" xfId="15828" xr:uid="{FB9CF1DD-F9E6-401B-B3FB-FF4B8FCC6D36}"/>
    <cellStyle name="Normal 5 3 3 4 2 2 3" xfId="20051" xr:uid="{C99F4168-E5D2-4755-B1FE-3558FC29825C}"/>
    <cellStyle name="Normal 5 3 3 4 2 2 4" xfId="11610" xr:uid="{C9009ADA-DFDB-4878-A0F2-81A25BD69B1C}"/>
    <cellStyle name="Normal 5 3 3 4 2 3" xfId="5233" xr:uid="{00000000-0005-0000-0000-0000F2190000}"/>
    <cellStyle name="Normal 5 3 3 4 2 3 2" xfId="22124" xr:uid="{631BE862-3C63-4214-B395-8ECA82762EEE}"/>
    <cellStyle name="Normal 5 3 3 4 2 3 3" xfId="13683" xr:uid="{AEB07070-958D-4A8E-82A8-020780FD4BE2}"/>
    <cellStyle name="Normal 5 3 3 4 2 4" xfId="17906" xr:uid="{ADC91B09-8633-405D-A0FD-95BD8418404E}"/>
    <cellStyle name="Normal 5 3 3 4 2 5" xfId="9465" xr:uid="{AB03AD82-42D2-4EDF-A7B7-904F7D249B68}"/>
    <cellStyle name="Normal 5 3 3 4 3" xfId="1339" xr:uid="{00000000-0005-0000-0000-0000F3190000}"/>
    <cellStyle name="Normal 5 3 3 4 3 2" xfId="3569" xr:uid="{00000000-0005-0000-0000-0000F4190000}"/>
    <cellStyle name="Normal 5 3 3 4 3 2 2" xfId="7791" xr:uid="{00000000-0005-0000-0000-0000F5190000}"/>
    <cellStyle name="Normal 5 3 3 4 3 2 2 2" xfId="24682" xr:uid="{786DC2AA-FEEE-4D81-A6BC-81FD79BAD789}"/>
    <cellStyle name="Normal 5 3 3 4 3 2 2 3" xfId="16241" xr:uid="{F71AC433-F1E0-4413-8EC6-581DBD92F2CA}"/>
    <cellStyle name="Normal 5 3 3 4 3 2 3" xfId="20464" xr:uid="{7CA5BD0B-43EE-4FD4-8B83-BC4B2F9DCEE9}"/>
    <cellStyle name="Normal 5 3 3 4 3 2 4" xfId="12023" xr:uid="{81242493-7C41-40D5-94DB-D30EC162FEC2}"/>
    <cellStyle name="Normal 5 3 3 4 3 3" xfId="5646" xr:uid="{00000000-0005-0000-0000-0000F6190000}"/>
    <cellStyle name="Normal 5 3 3 4 3 3 2" xfId="22537" xr:uid="{5F40A9C7-0920-4B87-AB49-428B889518EB}"/>
    <cellStyle name="Normal 5 3 3 4 3 3 3" xfId="14096" xr:uid="{91D7830B-7DCF-4E48-A893-8F37F5FDCFAC}"/>
    <cellStyle name="Normal 5 3 3 4 3 4" xfId="18319" xr:uid="{E8ED6B4D-6316-4899-AE35-592B870745F8}"/>
    <cellStyle name="Normal 5 3 3 4 3 5" xfId="9878" xr:uid="{BF57DD2E-8BBB-467D-AF24-EF7B9FAD4F62}"/>
    <cellStyle name="Normal 5 3 3 4 4" xfId="1752" xr:uid="{00000000-0005-0000-0000-0000F7190000}"/>
    <cellStyle name="Normal 5 3 3 4 4 2" xfId="3982" xr:uid="{00000000-0005-0000-0000-0000F8190000}"/>
    <cellStyle name="Normal 5 3 3 4 4 2 2" xfId="8204" xr:uid="{00000000-0005-0000-0000-0000F9190000}"/>
    <cellStyle name="Normal 5 3 3 4 4 2 2 2" xfId="25095" xr:uid="{0A05EA44-7DBD-426D-A2F5-33CC6D56FAD6}"/>
    <cellStyle name="Normal 5 3 3 4 4 2 2 3" xfId="16654" xr:uid="{B0BB3A40-81B1-44BE-8AE9-EB90B3C4F200}"/>
    <cellStyle name="Normal 5 3 3 4 4 2 3" xfId="20877" xr:uid="{D9305B75-C489-426D-9E86-750F6F7850EE}"/>
    <cellStyle name="Normal 5 3 3 4 4 2 4" xfId="12436" xr:uid="{A2B847E4-6B93-484A-A1CF-9B50F8890271}"/>
    <cellStyle name="Normal 5 3 3 4 4 3" xfId="6059" xr:uid="{00000000-0005-0000-0000-0000FA190000}"/>
    <cellStyle name="Normal 5 3 3 4 4 3 2" xfId="22950" xr:uid="{7EE4FB76-3A3D-43B0-9E9D-B08EBCB396B6}"/>
    <cellStyle name="Normal 5 3 3 4 4 3 3" xfId="14509" xr:uid="{18FFCF3C-DBEA-459F-8B3C-4305BEBA9408}"/>
    <cellStyle name="Normal 5 3 3 4 4 4" xfId="18732" xr:uid="{0184EC02-C1A0-4631-BAB4-5731B381B8EE}"/>
    <cellStyle name="Normal 5 3 3 4 4 5" xfId="10291" xr:uid="{436AFDE9-819C-4485-851E-1F98EBDF6E4A}"/>
    <cellStyle name="Normal 5 3 3 4 5" xfId="2166" xr:uid="{00000000-0005-0000-0000-0000FB190000}"/>
    <cellStyle name="Normal 5 3 3 4 5 2" xfId="4395" xr:uid="{00000000-0005-0000-0000-0000FC190000}"/>
    <cellStyle name="Normal 5 3 3 4 5 2 2" xfId="8617" xr:uid="{00000000-0005-0000-0000-0000FD190000}"/>
    <cellStyle name="Normal 5 3 3 4 5 2 2 2" xfId="25508" xr:uid="{487E6FF8-4EF3-4D72-B817-C0FC0890516B}"/>
    <cellStyle name="Normal 5 3 3 4 5 2 2 3" xfId="17067" xr:uid="{E4E6AB49-E9EF-4CE0-A691-C77A68706F4F}"/>
    <cellStyle name="Normal 5 3 3 4 5 2 3" xfId="21290" xr:uid="{82BDAF7B-6C64-4EF1-B4B0-EC0595F3D9C3}"/>
    <cellStyle name="Normal 5 3 3 4 5 2 4" xfId="12849" xr:uid="{B2413D80-2AC8-41F3-80B1-AEAFBB4A6D6C}"/>
    <cellStyle name="Normal 5 3 3 4 5 3" xfId="6472" xr:uid="{00000000-0005-0000-0000-0000FE190000}"/>
    <cellStyle name="Normal 5 3 3 4 5 3 2" xfId="23363" xr:uid="{0E1B3AB3-83ED-47E3-98F1-1E4C00ED1DDB}"/>
    <cellStyle name="Normal 5 3 3 4 5 3 3" xfId="14922" xr:uid="{F45F4B66-5B01-41C0-9FD7-032C53E269BD}"/>
    <cellStyle name="Normal 5 3 3 4 5 4" xfId="19145" xr:uid="{4605BF9D-7614-4108-A02A-C2DB4B9D1F15}"/>
    <cellStyle name="Normal 5 3 3 4 5 5" xfId="10704" xr:uid="{7B33E4DD-E898-433C-AF05-9A251E199893}"/>
    <cellStyle name="Normal 5 3 3 4 6" xfId="2602" xr:uid="{00000000-0005-0000-0000-0000FF190000}"/>
    <cellStyle name="Normal 5 3 3 4 6 2" xfId="6885" xr:uid="{00000000-0005-0000-0000-0000001A0000}"/>
    <cellStyle name="Normal 5 3 3 4 6 2 2" xfId="23776" xr:uid="{1B374477-08BA-4C5D-8BE3-1B3FA929AF52}"/>
    <cellStyle name="Normal 5 3 3 4 6 2 3" xfId="15335" xr:uid="{74719CAA-D1F5-42C1-B151-6FD67BB50691}"/>
    <cellStyle name="Normal 5 3 3 4 6 3" xfId="19558" xr:uid="{93BE7EBB-4504-45E3-A80E-9DBCE53510B0}"/>
    <cellStyle name="Normal 5 3 3 4 6 4" xfId="11117" xr:uid="{3131F94D-44C3-4277-8656-0F24603DD00A}"/>
    <cellStyle name="Normal 5 3 3 4 7" xfId="4820" xr:uid="{00000000-0005-0000-0000-0000011A0000}"/>
    <cellStyle name="Normal 5 3 3 4 7 2" xfId="21711" xr:uid="{07936AB1-F347-4954-905D-D6438796D218}"/>
    <cellStyle name="Normal 5 3 3 4 7 3" xfId="13270" xr:uid="{C5FD408B-C60A-4D01-AB96-E3FE55B963BA}"/>
    <cellStyle name="Normal 5 3 3 4 8" xfId="17493" xr:uid="{978058C6-CBD6-40E1-9F22-5B55161B4ADC}"/>
    <cellStyle name="Normal 5 3 3 4 9" xfId="9052" xr:uid="{885C26D2-C51D-4CD7-A35E-46899512DE51}"/>
    <cellStyle name="Normal 5 3 3 5" xfId="915" xr:uid="{00000000-0005-0000-0000-0000021A0000}"/>
    <cellStyle name="Normal 5 3 3 5 2" xfId="3149" xr:uid="{00000000-0005-0000-0000-0000031A0000}"/>
    <cellStyle name="Normal 5 3 3 5 2 2" xfId="7371" xr:uid="{00000000-0005-0000-0000-0000041A0000}"/>
    <cellStyle name="Normal 5 3 3 5 2 2 2" xfId="24262" xr:uid="{77D55EB9-5A21-48DE-AFA5-32FF6C03C751}"/>
    <cellStyle name="Normal 5 3 3 5 2 2 3" xfId="15821" xr:uid="{514E4B2D-1AE9-4208-B2C9-0800CB9DDAE9}"/>
    <cellStyle name="Normal 5 3 3 5 2 3" xfId="20044" xr:uid="{055B017A-4FDB-4D9F-95A9-31D147B82787}"/>
    <cellStyle name="Normal 5 3 3 5 2 4" xfId="11603" xr:uid="{F84B948C-48DD-4A88-B297-DCF4735FC6F9}"/>
    <cellStyle name="Normal 5 3 3 5 3" xfId="5226" xr:uid="{00000000-0005-0000-0000-0000051A0000}"/>
    <cellStyle name="Normal 5 3 3 5 3 2" xfId="22117" xr:uid="{92CFE92B-EE6C-4BA4-9095-1DC863AFF02F}"/>
    <cellStyle name="Normal 5 3 3 5 3 3" xfId="13676" xr:uid="{882EBD72-C982-4EC0-AB5B-B83CDBAAE236}"/>
    <cellStyle name="Normal 5 3 3 5 4" xfId="17899" xr:uid="{85B9E1AC-3F9F-46A3-A713-86256C06884E}"/>
    <cellStyle name="Normal 5 3 3 5 5" xfId="9458" xr:uid="{F57EB574-93F7-4006-AD16-65E73619181E}"/>
    <cellStyle name="Normal 5 3 3 6" xfId="1332" xr:uid="{00000000-0005-0000-0000-0000061A0000}"/>
    <cellStyle name="Normal 5 3 3 6 2" xfId="3562" xr:uid="{00000000-0005-0000-0000-0000071A0000}"/>
    <cellStyle name="Normal 5 3 3 6 2 2" xfId="7784" xr:uid="{00000000-0005-0000-0000-0000081A0000}"/>
    <cellStyle name="Normal 5 3 3 6 2 2 2" xfId="24675" xr:uid="{0E850CA7-543C-4568-9980-D125CB2D489B}"/>
    <cellStyle name="Normal 5 3 3 6 2 2 3" xfId="16234" xr:uid="{AAD7157E-5A9A-41AF-888A-E3AED2060F85}"/>
    <cellStyle name="Normal 5 3 3 6 2 3" xfId="20457" xr:uid="{CA5CECF7-606F-429D-A45E-47140A8BABFC}"/>
    <cellStyle name="Normal 5 3 3 6 2 4" xfId="12016" xr:uid="{84F3984B-209F-465F-8E7C-1ABD696B62DA}"/>
    <cellStyle name="Normal 5 3 3 6 3" xfId="5639" xr:uid="{00000000-0005-0000-0000-0000091A0000}"/>
    <cellStyle name="Normal 5 3 3 6 3 2" xfId="22530" xr:uid="{7A28792D-D2C3-4E6C-A4EC-B9C45ABACD30}"/>
    <cellStyle name="Normal 5 3 3 6 3 3" xfId="14089" xr:uid="{DFBF6D82-05B9-43BE-9570-5ACDE843141F}"/>
    <cellStyle name="Normal 5 3 3 6 4" xfId="18312" xr:uid="{BBD1FDBC-32B0-448F-90D5-849817BB1BFC}"/>
    <cellStyle name="Normal 5 3 3 6 5" xfId="9871" xr:uid="{2B5B44D7-7218-4A4F-BE44-D1A90F335F61}"/>
    <cellStyle name="Normal 5 3 3 7" xfId="1745" xr:uid="{00000000-0005-0000-0000-00000A1A0000}"/>
    <cellStyle name="Normal 5 3 3 7 2" xfId="3975" xr:uid="{00000000-0005-0000-0000-00000B1A0000}"/>
    <cellStyle name="Normal 5 3 3 7 2 2" xfId="8197" xr:uid="{00000000-0005-0000-0000-00000C1A0000}"/>
    <cellStyle name="Normal 5 3 3 7 2 2 2" xfId="25088" xr:uid="{BB723FFA-EE31-443F-B04A-4AA23E31A418}"/>
    <cellStyle name="Normal 5 3 3 7 2 2 3" xfId="16647" xr:uid="{62049F34-9963-4282-8D6A-46C3A532DA49}"/>
    <cellStyle name="Normal 5 3 3 7 2 3" xfId="20870" xr:uid="{3ADBE0E4-E47A-44D0-B0C3-7CF747741CD7}"/>
    <cellStyle name="Normal 5 3 3 7 2 4" xfId="12429" xr:uid="{D9A83B49-2330-4253-954F-97D7D7050531}"/>
    <cellStyle name="Normal 5 3 3 7 3" xfId="6052" xr:uid="{00000000-0005-0000-0000-00000D1A0000}"/>
    <cellStyle name="Normal 5 3 3 7 3 2" xfId="22943" xr:uid="{3C379BDC-86F9-4251-94E9-09DF3E873699}"/>
    <cellStyle name="Normal 5 3 3 7 3 3" xfId="14502" xr:uid="{528312A2-1686-4BD1-A7B1-DC03152D5CC7}"/>
    <cellStyle name="Normal 5 3 3 7 4" xfId="18725" xr:uid="{7CBD6956-2C0C-448E-BC90-54A588CC0A9C}"/>
    <cellStyle name="Normal 5 3 3 7 5" xfId="10284" xr:uid="{9028AAAC-CEE7-41FA-BDC1-3F571FB85E0C}"/>
    <cellStyle name="Normal 5 3 3 8" xfId="2159" xr:uid="{00000000-0005-0000-0000-00000E1A0000}"/>
    <cellStyle name="Normal 5 3 3 8 2" xfId="4388" xr:uid="{00000000-0005-0000-0000-00000F1A0000}"/>
    <cellStyle name="Normal 5 3 3 8 2 2" xfId="8610" xr:uid="{00000000-0005-0000-0000-0000101A0000}"/>
    <cellStyle name="Normal 5 3 3 8 2 2 2" xfId="25501" xr:uid="{4A097B77-CFF7-421A-A234-D7EC2F422D3E}"/>
    <cellStyle name="Normal 5 3 3 8 2 2 3" xfId="17060" xr:uid="{CB09CF5C-2E42-45B2-849B-6CE0668BCC30}"/>
    <cellStyle name="Normal 5 3 3 8 2 3" xfId="21283" xr:uid="{A1684121-5341-43AC-B3B8-208A17BDD89C}"/>
    <cellStyle name="Normal 5 3 3 8 2 4" xfId="12842" xr:uid="{113A17A5-06B8-4ECC-925F-B2FAE26702FB}"/>
    <cellStyle name="Normal 5 3 3 8 3" xfId="6465" xr:uid="{00000000-0005-0000-0000-0000111A0000}"/>
    <cellStyle name="Normal 5 3 3 8 3 2" xfId="23356" xr:uid="{65F80C6E-C8C4-448A-B73E-8DBAE0A18B62}"/>
    <cellStyle name="Normal 5 3 3 8 3 3" xfId="14915" xr:uid="{6A1E0982-8F01-4FD7-A770-D358DFEE2E32}"/>
    <cellStyle name="Normal 5 3 3 8 4" xfId="19138" xr:uid="{A1E9E2DA-E861-48F6-9E76-C28743F71FD8}"/>
    <cellStyle name="Normal 5 3 3 8 5" xfId="10697" xr:uid="{B11FC816-EA63-41D0-BCC8-EE8E178BDC03}"/>
    <cellStyle name="Normal 5 3 3 9" xfId="2595" xr:uid="{00000000-0005-0000-0000-0000121A0000}"/>
    <cellStyle name="Normal 5 3 3 9 2" xfId="6878" xr:uid="{00000000-0005-0000-0000-0000131A0000}"/>
    <cellStyle name="Normal 5 3 3 9 2 2" xfId="23769" xr:uid="{18D244AF-7503-4AB3-B0D5-3C1B425488AB}"/>
    <cellStyle name="Normal 5 3 3 9 2 3" xfId="15328" xr:uid="{93A78E80-6489-45CB-AA7E-4157E7DE834E}"/>
    <cellStyle name="Normal 5 3 3 9 3" xfId="19551" xr:uid="{BD1017B0-A0B8-4274-BA22-21F8C8607611}"/>
    <cellStyle name="Normal 5 3 3 9 4" xfId="11110" xr:uid="{4D75BE15-EDD3-4FFC-ABC5-79AE50D601AE}"/>
    <cellStyle name="Normal 5 3 4" xfId="449" xr:uid="{00000000-0005-0000-0000-0000141A0000}"/>
    <cellStyle name="Normal 5 3 4 10" xfId="17494" xr:uid="{F91B78C0-1891-4BCF-B83E-42798079B747}"/>
    <cellStyle name="Normal 5 3 4 11" xfId="9053" xr:uid="{3087D8B0-A1BD-4975-92EE-9F18FE886A25}"/>
    <cellStyle name="Normal 5 3 4 2" xfId="450" xr:uid="{00000000-0005-0000-0000-0000151A0000}"/>
    <cellStyle name="Normal 5 3 4 2 10" xfId="9054" xr:uid="{0D900946-BF30-4FD7-A9CC-6BDA41DAAC4C}"/>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2 2 2" xfId="24272" xr:uid="{8F101D2F-B45B-418F-BE0B-A3028C97421F}"/>
    <cellStyle name="Normal 5 3 4 2 2 2 2 2 3" xfId="15831" xr:uid="{45483F61-98A8-467B-A1E7-9E9CAD67E594}"/>
    <cellStyle name="Normal 5 3 4 2 2 2 2 3" xfId="20054" xr:uid="{89688FFD-AC3E-4CA6-AEE2-FA3EF75C061D}"/>
    <cellStyle name="Normal 5 3 4 2 2 2 2 4" xfId="11613" xr:uid="{C2E70F7B-A3C4-40F2-9573-55D17E872060}"/>
    <cellStyle name="Normal 5 3 4 2 2 2 3" xfId="5236" xr:uid="{00000000-0005-0000-0000-00001A1A0000}"/>
    <cellStyle name="Normal 5 3 4 2 2 2 3 2" xfId="22127" xr:uid="{25EC65D7-454E-4032-A255-59E995F07E62}"/>
    <cellStyle name="Normal 5 3 4 2 2 2 3 3" xfId="13686" xr:uid="{A0E97402-3496-430A-BD80-F55B0A76BA22}"/>
    <cellStyle name="Normal 5 3 4 2 2 2 4" xfId="17909" xr:uid="{288D4288-2E9A-4F7D-9F17-E242721CC0CB}"/>
    <cellStyle name="Normal 5 3 4 2 2 2 5" xfId="9468" xr:uid="{CE003216-CEB3-4E96-9FC2-2E549F45A56B}"/>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2 2 2" xfId="24685" xr:uid="{32446C2E-AC0F-426A-8855-667869AFF948}"/>
    <cellStyle name="Normal 5 3 4 2 2 3 2 2 3" xfId="16244" xr:uid="{99B9274D-66CD-4B0D-B914-8CD5DEC499AA}"/>
    <cellStyle name="Normal 5 3 4 2 2 3 2 3" xfId="20467" xr:uid="{B5CE736A-E234-4E3F-99E8-06B1DBDBE4F4}"/>
    <cellStyle name="Normal 5 3 4 2 2 3 2 4" xfId="12026" xr:uid="{1D524D62-CFCC-46FF-ABFC-B9B20F7D30D8}"/>
    <cellStyle name="Normal 5 3 4 2 2 3 3" xfId="5649" xr:uid="{00000000-0005-0000-0000-00001E1A0000}"/>
    <cellStyle name="Normal 5 3 4 2 2 3 3 2" xfId="22540" xr:uid="{53DA82B0-7F5D-442D-AA52-299DD86E6DCB}"/>
    <cellStyle name="Normal 5 3 4 2 2 3 3 3" xfId="14099" xr:uid="{0A4FB5BD-FD42-466D-8DA1-D3A70614479F}"/>
    <cellStyle name="Normal 5 3 4 2 2 3 4" xfId="18322" xr:uid="{1CD8367E-4059-478B-984B-894C47414ED2}"/>
    <cellStyle name="Normal 5 3 4 2 2 3 5" xfId="9881" xr:uid="{3FE15FBF-FA31-4390-8A39-CA88EBCFE93A}"/>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2 2 2" xfId="25098" xr:uid="{53192E5A-CDD8-459F-AA3A-4F6D756C225E}"/>
    <cellStyle name="Normal 5 3 4 2 2 4 2 2 3" xfId="16657" xr:uid="{CDE996C6-19D0-4F79-91B6-0E41890BBF4D}"/>
    <cellStyle name="Normal 5 3 4 2 2 4 2 3" xfId="20880" xr:uid="{452F3434-70F2-4B9E-B1BD-2F1673C8B3FF}"/>
    <cellStyle name="Normal 5 3 4 2 2 4 2 4" xfId="12439" xr:uid="{C0C98394-2A01-433D-82F8-C3595E294D3A}"/>
    <cellStyle name="Normal 5 3 4 2 2 4 3" xfId="6062" xr:uid="{00000000-0005-0000-0000-0000221A0000}"/>
    <cellStyle name="Normal 5 3 4 2 2 4 3 2" xfId="22953" xr:uid="{2F5FC5E8-0AC5-4036-88BF-F289626EF0BB}"/>
    <cellStyle name="Normal 5 3 4 2 2 4 3 3" xfId="14512" xr:uid="{7D9F88B3-E47B-4E73-8C96-5CCC61A3E939}"/>
    <cellStyle name="Normal 5 3 4 2 2 4 4" xfId="18735" xr:uid="{2F413C88-615D-41C2-ABE7-74025A318571}"/>
    <cellStyle name="Normal 5 3 4 2 2 4 5" xfId="10294" xr:uid="{310E22A3-C239-4184-8FB3-999CA2AEE83D}"/>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2 2 2" xfId="25511" xr:uid="{5FC0672E-4CC5-479F-9A9C-C7ADEE5874F5}"/>
    <cellStyle name="Normal 5 3 4 2 2 5 2 2 3" xfId="17070" xr:uid="{05CB9923-10D3-4338-A47C-96CDE56D1F51}"/>
    <cellStyle name="Normal 5 3 4 2 2 5 2 3" xfId="21293" xr:uid="{ED71E521-7F26-444D-9CB2-0277A69FC5F4}"/>
    <cellStyle name="Normal 5 3 4 2 2 5 2 4" xfId="12852" xr:uid="{1FAC5E57-65FD-44C1-980D-CA7F66998FA1}"/>
    <cellStyle name="Normal 5 3 4 2 2 5 3" xfId="6475" xr:uid="{00000000-0005-0000-0000-0000261A0000}"/>
    <cellStyle name="Normal 5 3 4 2 2 5 3 2" xfId="23366" xr:uid="{52262408-9AB0-449C-9EE3-44A8BA316CC1}"/>
    <cellStyle name="Normal 5 3 4 2 2 5 3 3" xfId="14925" xr:uid="{881CB8C2-AC61-441D-8F5E-1C438B2342AB}"/>
    <cellStyle name="Normal 5 3 4 2 2 5 4" xfId="19148" xr:uid="{4FEAFD42-58D8-43D3-B1FA-F59DE1A83AAA}"/>
    <cellStyle name="Normal 5 3 4 2 2 5 5" xfId="10707" xr:uid="{502B5BD9-4887-4EB1-AE2B-9DD74BB5D907}"/>
    <cellStyle name="Normal 5 3 4 2 2 6" xfId="2605" xr:uid="{00000000-0005-0000-0000-0000271A0000}"/>
    <cellStyle name="Normal 5 3 4 2 2 6 2" xfId="6888" xr:uid="{00000000-0005-0000-0000-0000281A0000}"/>
    <cellStyle name="Normal 5 3 4 2 2 6 2 2" xfId="23779" xr:uid="{02509403-AB79-4665-A43E-62885C184C62}"/>
    <cellStyle name="Normal 5 3 4 2 2 6 2 3" xfId="15338" xr:uid="{404D8BD7-0B26-4E28-A12C-14E82BF5B3A3}"/>
    <cellStyle name="Normal 5 3 4 2 2 6 3" xfId="19561" xr:uid="{67D10DE0-1831-4AC0-81D2-D44FA0F2ABC3}"/>
    <cellStyle name="Normal 5 3 4 2 2 6 4" xfId="11120" xr:uid="{AA3935A0-7C41-45B2-8225-3B8CD73CACA6}"/>
    <cellStyle name="Normal 5 3 4 2 2 7" xfId="4823" xr:uid="{00000000-0005-0000-0000-0000291A0000}"/>
    <cellStyle name="Normal 5 3 4 2 2 7 2" xfId="21714" xr:uid="{C6CF7C9D-FB2C-425D-AD72-A78F38E2A0DE}"/>
    <cellStyle name="Normal 5 3 4 2 2 7 3" xfId="13273" xr:uid="{BBC2F8A9-3541-471D-A3F1-FAE31F31FD94}"/>
    <cellStyle name="Normal 5 3 4 2 2 8" xfId="17496" xr:uid="{F6508285-4FCC-4B49-AD63-97261C4AEC13}"/>
    <cellStyle name="Normal 5 3 4 2 2 9" xfId="9055" xr:uid="{5E27FF35-FA2F-427B-936F-561297229F6A}"/>
    <cellStyle name="Normal 5 3 4 2 3" xfId="924" xr:uid="{00000000-0005-0000-0000-00002A1A0000}"/>
    <cellStyle name="Normal 5 3 4 2 3 2" xfId="3158" xr:uid="{00000000-0005-0000-0000-00002B1A0000}"/>
    <cellStyle name="Normal 5 3 4 2 3 2 2" xfId="7380" xr:uid="{00000000-0005-0000-0000-00002C1A0000}"/>
    <cellStyle name="Normal 5 3 4 2 3 2 2 2" xfId="24271" xr:uid="{319B4B4D-DC66-4CBE-AA8D-58BC36E151B6}"/>
    <cellStyle name="Normal 5 3 4 2 3 2 2 3" xfId="15830" xr:uid="{E63397F5-F851-43EC-84E2-F0FF98261FFC}"/>
    <cellStyle name="Normal 5 3 4 2 3 2 3" xfId="20053" xr:uid="{535B12B2-CB86-4370-AC85-62FD8A4E99EC}"/>
    <cellStyle name="Normal 5 3 4 2 3 2 4" xfId="11612" xr:uid="{1C51AEA5-EC22-47E1-8CEC-92070EE4DB15}"/>
    <cellStyle name="Normal 5 3 4 2 3 3" xfId="5235" xr:uid="{00000000-0005-0000-0000-00002D1A0000}"/>
    <cellStyle name="Normal 5 3 4 2 3 3 2" xfId="22126" xr:uid="{761F1B29-4DC3-4EED-8389-406DF205E323}"/>
    <cellStyle name="Normal 5 3 4 2 3 3 3" xfId="13685" xr:uid="{1456F6D7-B028-4ABA-8508-D97FCEE0DB71}"/>
    <cellStyle name="Normal 5 3 4 2 3 4" xfId="17908" xr:uid="{2D67CA9A-5425-4361-9C9F-CEABA9FE82EF}"/>
    <cellStyle name="Normal 5 3 4 2 3 5" xfId="9467" xr:uid="{615CA743-FFB5-4B78-B25E-64C76A0F8F53}"/>
    <cellStyle name="Normal 5 3 4 2 4" xfId="1341" xr:uid="{00000000-0005-0000-0000-00002E1A0000}"/>
    <cellStyle name="Normal 5 3 4 2 4 2" xfId="3571" xr:uid="{00000000-0005-0000-0000-00002F1A0000}"/>
    <cellStyle name="Normal 5 3 4 2 4 2 2" xfId="7793" xr:uid="{00000000-0005-0000-0000-0000301A0000}"/>
    <cellStyle name="Normal 5 3 4 2 4 2 2 2" xfId="24684" xr:uid="{06BB52A4-1017-46AD-84CE-39C0B10B03F9}"/>
    <cellStyle name="Normal 5 3 4 2 4 2 2 3" xfId="16243" xr:uid="{7CD824F6-803C-4C06-9316-654E6490C92B}"/>
    <cellStyle name="Normal 5 3 4 2 4 2 3" xfId="20466" xr:uid="{6D2F056E-3234-4F1C-9D5C-016485D513A0}"/>
    <cellStyle name="Normal 5 3 4 2 4 2 4" xfId="12025" xr:uid="{336D0DD8-887C-4908-95BE-8662A672A025}"/>
    <cellStyle name="Normal 5 3 4 2 4 3" xfId="5648" xr:uid="{00000000-0005-0000-0000-0000311A0000}"/>
    <cellStyle name="Normal 5 3 4 2 4 3 2" xfId="22539" xr:uid="{53D177B9-79E1-4E4C-AF47-71BED7190712}"/>
    <cellStyle name="Normal 5 3 4 2 4 3 3" xfId="14098" xr:uid="{45CFC89D-4BA0-4894-90BC-10B6FE69283D}"/>
    <cellStyle name="Normal 5 3 4 2 4 4" xfId="18321" xr:uid="{79F36910-984E-4DB5-A8CE-F8ADF6CB3DF8}"/>
    <cellStyle name="Normal 5 3 4 2 4 5" xfId="9880" xr:uid="{6474A903-A73E-48AC-A6C7-3AC62ED4D3F8}"/>
    <cellStyle name="Normal 5 3 4 2 5" xfId="1754" xr:uid="{00000000-0005-0000-0000-0000321A0000}"/>
    <cellStyle name="Normal 5 3 4 2 5 2" xfId="3984" xr:uid="{00000000-0005-0000-0000-0000331A0000}"/>
    <cellStyle name="Normal 5 3 4 2 5 2 2" xfId="8206" xr:uid="{00000000-0005-0000-0000-0000341A0000}"/>
    <cellStyle name="Normal 5 3 4 2 5 2 2 2" xfId="25097" xr:uid="{FB30C690-B6BC-40DF-B1C3-F334EBA73979}"/>
    <cellStyle name="Normal 5 3 4 2 5 2 2 3" xfId="16656" xr:uid="{255A3085-9308-4BDA-BCE0-A67BEFE19A84}"/>
    <cellStyle name="Normal 5 3 4 2 5 2 3" xfId="20879" xr:uid="{0C675145-7138-4E26-AC94-869CED1C13F8}"/>
    <cellStyle name="Normal 5 3 4 2 5 2 4" xfId="12438" xr:uid="{A414175F-8DB0-4E19-98ED-39D5F711BD24}"/>
    <cellStyle name="Normal 5 3 4 2 5 3" xfId="6061" xr:uid="{00000000-0005-0000-0000-0000351A0000}"/>
    <cellStyle name="Normal 5 3 4 2 5 3 2" xfId="22952" xr:uid="{57516A25-3E17-4CCB-B556-A05BE8389E75}"/>
    <cellStyle name="Normal 5 3 4 2 5 3 3" xfId="14511" xr:uid="{7E3F38F5-B8FC-44CF-9562-D3E2F970C8AA}"/>
    <cellStyle name="Normal 5 3 4 2 5 4" xfId="18734" xr:uid="{C557C457-EF40-4CAE-BC2E-CD26B59BCC76}"/>
    <cellStyle name="Normal 5 3 4 2 5 5" xfId="10293" xr:uid="{915348BF-524D-4930-AC4B-AFA361F76456}"/>
    <cellStyle name="Normal 5 3 4 2 6" xfId="2168" xr:uid="{00000000-0005-0000-0000-0000361A0000}"/>
    <cellStyle name="Normal 5 3 4 2 6 2" xfId="4397" xr:uid="{00000000-0005-0000-0000-0000371A0000}"/>
    <cellStyle name="Normal 5 3 4 2 6 2 2" xfId="8619" xr:uid="{00000000-0005-0000-0000-0000381A0000}"/>
    <cellStyle name="Normal 5 3 4 2 6 2 2 2" xfId="25510" xr:uid="{C94CBAC2-E921-44B2-981B-968C497F8592}"/>
    <cellStyle name="Normal 5 3 4 2 6 2 2 3" xfId="17069" xr:uid="{5A4B3521-9973-4F90-89C3-66E061CEECFC}"/>
    <cellStyle name="Normal 5 3 4 2 6 2 3" xfId="21292" xr:uid="{F553B8D0-616F-4602-99F3-DE94760C8FB5}"/>
    <cellStyle name="Normal 5 3 4 2 6 2 4" xfId="12851" xr:uid="{8FEF50EE-5689-45E5-A043-EACF9F3F808A}"/>
    <cellStyle name="Normal 5 3 4 2 6 3" xfId="6474" xr:uid="{00000000-0005-0000-0000-0000391A0000}"/>
    <cellStyle name="Normal 5 3 4 2 6 3 2" xfId="23365" xr:uid="{E8249E33-0ADE-472E-B881-6BA1237BE7CF}"/>
    <cellStyle name="Normal 5 3 4 2 6 3 3" xfId="14924" xr:uid="{0B81D6D6-6C1B-420E-AA5B-32BB54756C53}"/>
    <cellStyle name="Normal 5 3 4 2 6 4" xfId="19147" xr:uid="{8813EE9C-B08E-4514-9155-06104161F154}"/>
    <cellStyle name="Normal 5 3 4 2 6 5" xfId="10706" xr:uid="{38C66AAA-5732-4D87-B192-9F3351D65075}"/>
    <cellStyle name="Normal 5 3 4 2 7" xfId="2604" xr:uid="{00000000-0005-0000-0000-00003A1A0000}"/>
    <cellStyle name="Normal 5 3 4 2 7 2" xfId="6887" xr:uid="{00000000-0005-0000-0000-00003B1A0000}"/>
    <cellStyle name="Normal 5 3 4 2 7 2 2" xfId="23778" xr:uid="{FF2373BE-E708-46FC-B725-CA81398BCE10}"/>
    <cellStyle name="Normal 5 3 4 2 7 2 3" xfId="15337" xr:uid="{4D00744B-3134-4DBC-A1BB-0F5DD1BDE8E1}"/>
    <cellStyle name="Normal 5 3 4 2 7 3" xfId="19560" xr:uid="{136414F4-5CC5-47A5-BB2F-4748729AF704}"/>
    <cellStyle name="Normal 5 3 4 2 7 4" xfId="11119" xr:uid="{26105CD6-03C3-4499-932B-490ADE0D8F89}"/>
    <cellStyle name="Normal 5 3 4 2 8" xfId="4822" xr:uid="{00000000-0005-0000-0000-00003C1A0000}"/>
    <cellStyle name="Normal 5 3 4 2 8 2" xfId="21713" xr:uid="{E06116BE-AB4C-4F0D-A84C-A947ECB7DD8F}"/>
    <cellStyle name="Normal 5 3 4 2 8 3" xfId="13272" xr:uid="{D430016F-2CB1-4A3A-AD74-AF95523D9663}"/>
    <cellStyle name="Normal 5 3 4 2 9" xfId="17495" xr:uid="{0FE00F85-C028-4E4C-B0F4-E1065C724FC5}"/>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2 2 2" xfId="24273" xr:uid="{99F01A58-BB7C-4B13-9354-C8393DE40946}"/>
    <cellStyle name="Normal 5 3 4 3 2 2 2 3" xfId="15832" xr:uid="{63892A1A-D390-468B-85FD-0FCB9BE6B077}"/>
    <cellStyle name="Normal 5 3 4 3 2 2 3" xfId="20055" xr:uid="{79973E94-81C6-4BE5-80EE-A3A901E3CE04}"/>
    <cellStyle name="Normal 5 3 4 3 2 2 4" xfId="11614" xr:uid="{524C5797-8917-46FC-8365-C39266B949B4}"/>
    <cellStyle name="Normal 5 3 4 3 2 3" xfId="5237" xr:uid="{00000000-0005-0000-0000-0000411A0000}"/>
    <cellStyle name="Normal 5 3 4 3 2 3 2" xfId="22128" xr:uid="{4BFF79BD-2E27-4EEF-84CF-14A195690B1E}"/>
    <cellStyle name="Normal 5 3 4 3 2 3 3" xfId="13687" xr:uid="{91A99B42-1480-4032-BD2B-0D744DC801F6}"/>
    <cellStyle name="Normal 5 3 4 3 2 4" xfId="17910" xr:uid="{BBC7D1BC-7287-45E2-8845-B6D1709156D5}"/>
    <cellStyle name="Normal 5 3 4 3 2 5" xfId="9469" xr:uid="{C5D99A22-E028-415E-B83A-B5D7FFBE195D}"/>
    <cellStyle name="Normal 5 3 4 3 3" xfId="1343" xr:uid="{00000000-0005-0000-0000-0000421A0000}"/>
    <cellStyle name="Normal 5 3 4 3 3 2" xfId="3573" xr:uid="{00000000-0005-0000-0000-0000431A0000}"/>
    <cellStyle name="Normal 5 3 4 3 3 2 2" xfId="7795" xr:uid="{00000000-0005-0000-0000-0000441A0000}"/>
    <cellStyle name="Normal 5 3 4 3 3 2 2 2" xfId="24686" xr:uid="{4287E9EC-1997-4AC8-84B1-7AE4CD398423}"/>
    <cellStyle name="Normal 5 3 4 3 3 2 2 3" xfId="16245" xr:uid="{340C1BC6-23BB-4B25-B1BA-B0DEA42178D4}"/>
    <cellStyle name="Normal 5 3 4 3 3 2 3" xfId="20468" xr:uid="{C8B50D6E-6197-4780-BF64-6EC4FE906D22}"/>
    <cellStyle name="Normal 5 3 4 3 3 2 4" xfId="12027" xr:uid="{1C89E55E-073D-4ED2-B83F-4E2245BF9A46}"/>
    <cellStyle name="Normal 5 3 4 3 3 3" xfId="5650" xr:uid="{00000000-0005-0000-0000-0000451A0000}"/>
    <cellStyle name="Normal 5 3 4 3 3 3 2" xfId="22541" xr:uid="{5CB889B1-8316-42CC-9F17-3508A42CA735}"/>
    <cellStyle name="Normal 5 3 4 3 3 3 3" xfId="14100" xr:uid="{FADF6598-A4DF-4A93-863B-114A1CBBA993}"/>
    <cellStyle name="Normal 5 3 4 3 3 4" xfId="18323" xr:uid="{A4AA486B-EC60-4789-BBE7-292CBFE2E0D5}"/>
    <cellStyle name="Normal 5 3 4 3 3 5" xfId="9882" xr:uid="{8C68B13D-D365-4A18-B863-1CBE6300E8D2}"/>
    <cellStyle name="Normal 5 3 4 3 4" xfId="1756" xr:uid="{00000000-0005-0000-0000-0000461A0000}"/>
    <cellStyle name="Normal 5 3 4 3 4 2" xfId="3986" xr:uid="{00000000-0005-0000-0000-0000471A0000}"/>
    <cellStyle name="Normal 5 3 4 3 4 2 2" xfId="8208" xr:uid="{00000000-0005-0000-0000-0000481A0000}"/>
    <cellStyle name="Normal 5 3 4 3 4 2 2 2" xfId="25099" xr:uid="{EFAB5745-174C-480E-91A3-F4D2844019D5}"/>
    <cellStyle name="Normal 5 3 4 3 4 2 2 3" xfId="16658" xr:uid="{2F3C2ACD-8A23-4486-AEFE-3417D59B1EB2}"/>
    <cellStyle name="Normal 5 3 4 3 4 2 3" xfId="20881" xr:uid="{06C0DD42-B2F1-45FD-9C62-AF0159FE48EC}"/>
    <cellStyle name="Normal 5 3 4 3 4 2 4" xfId="12440" xr:uid="{145B2B69-D15C-40E0-A18D-1AF41CBF0D6C}"/>
    <cellStyle name="Normal 5 3 4 3 4 3" xfId="6063" xr:uid="{00000000-0005-0000-0000-0000491A0000}"/>
    <cellStyle name="Normal 5 3 4 3 4 3 2" xfId="22954" xr:uid="{E5E925BF-D2C1-4C19-8A8B-9EC2A634DD0A}"/>
    <cellStyle name="Normal 5 3 4 3 4 3 3" xfId="14513" xr:uid="{3FD5AACD-9C22-4C4A-8438-CEEECB925151}"/>
    <cellStyle name="Normal 5 3 4 3 4 4" xfId="18736" xr:uid="{D685EC93-D3D1-45DB-889F-2D15CD4515DC}"/>
    <cellStyle name="Normal 5 3 4 3 4 5" xfId="10295" xr:uid="{D9153598-1B06-4883-A3C1-9D0FBB4F9988}"/>
    <cellStyle name="Normal 5 3 4 3 5" xfId="2170" xr:uid="{00000000-0005-0000-0000-00004A1A0000}"/>
    <cellStyle name="Normal 5 3 4 3 5 2" xfId="4399" xr:uid="{00000000-0005-0000-0000-00004B1A0000}"/>
    <cellStyle name="Normal 5 3 4 3 5 2 2" xfId="8621" xr:uid="{00000000-0005-0000-0000-00004C1A0000}"/>
    <cellStyle name="Normal 5 3 4 3 5 2 2 2" xfId="25512" xr:uid="{47F52FE8-318C-4143-9C90-A0F081D8F3C0}"/>
    <cellStyle name="Normal 5 3 4 3 5 2 2 3" xfId="17071" xr:uid="{9AC0FD51-F290-407B-ADBC-32066C1D112D}"/>
    <cellStyle name="Normal 5 3 4 3 5 2 3" xfId="21294" xr:uid="{46F109FB-F99A-462A-A176-E632CAFB1037}"/>
    <cellStyle name="Normal 5 3 4 3 5 2 4" xfId="12853" xr:uid="{CA6C9B52-2A70-4FD7-93CB-434B563C9EF4}"/>
    <cellStyle name="Normal 5 3 4 3 5 3" xfId="6476" xr:uid="{00000000-0005-0000-0000-00004D1A0000}"/>
    <cellStyle name="Normal 5 3 4 3 5 3 2" xfId="23367" xr:uid="{BB0D6AD7-1942-4B38-83AB-2D80B127F62C}"/>
    <cellStyle name="Normal 5 3 4 3 5 3 3" xfId="14926" xr:uid="{9EF0E81A-5FD3-47EC-968A-4A343F514194}"/>
    <cellStyle name="Normal 5 3 4 3 5 4" xfId="19149" xr:uid="{6A1BDE2B-58A2-4BB0-847F-AB00C5E2975F}"/>
    <cellStyle name="Normal 5 3 4 3 5 5" xfId="10708" xr:uid="{B3D98707-4151-4118-93F0-41EE9F32A72D}"/>
    <cellStyle name="Normal 5 3 4 3 6" xfId="2606" xr:uid="{00000000-0005-0000-0000-00004E1A0000}"/>
    <cellStyle name="Normal 5 3 4 3 6 2" xfId="6889" xr:uid="{00000000-0005-0000-0000-00004F1A0000}"/>
    <cellStyle name="Normal 5 3 4 3 6 2 2" xfId="23780" xr:uid="{71983038-D8A6-4603-A844-1CD15AC7DE4A}"/>
    <cellStyle name="Normal 5 3 4 3 6 2 3" xfId="15339" xr:uid="{D1C75A34-AAE7-4BAD-AD4C-F117E019C23F}"/>
    <cellStyle name="Normal 5 3 4 3 6 3" xfId="19562" xr:uid="{6FF2BA95-95B8-41B0-893E-6E9CAF799D3F}"/>
    <cellStyle name="Normal 5 3 4 3 6 4" xfId="11121" xr:uid="{C07CE46E-FAD0-43F7-A1B4-229A7F902071}"/>
    <cellStyle name="Normal 5 3 4 3 7" xfId="4824" xr:uid="{00000000-0005-0000-0000-0000501A0000}"/>
    <cellStyle name="Normal 5 3 4 3 7 2" xfId="21715" xr:uid="{84620894-2EF8-4469-B27F-7D81AC2BFA25}"/>
    <cellStyle name="Normal 5 3 4 3 7 3" xfId="13274" xr:uid="{CE715AFC-B162-4063-A092-1275E2F1A570}"/>
    <cellStyle name="Normal 5 3 4 3 8" xfId="17497" xr:uid="{8DA42DCE-50D4-43C4-A089-7D7B60B0C36B}"/>
    <cellStyle name="Normal 5 3 4 3 9" xfId="9056" xr:uid="{58CB0BB4-A50F-40D5-BD3E-D48087E880B2}"/>
    <cellStyle name="Normal 5 3 4 4" xfId="923" xr:uid="{00000000-0005-0000-0000-0000511A0000}"/>
    <cellStyle name="Normal 5 3 4 4 2" xfId="3157" xr:uid="{00000000-0005-0000-0000-0000521A0000}"/>
    <cellStyle name="Normal 5 3 4 4 2 2" xfId="7379" xr:uid="{00000000-0005-0000-0000-0000531A0000}"/>
    <cellStyle name="Normal 5 3 4 4 2 2 2" xfId="24270" xr:uid="{1D2E691B-2401-4158-96EE-D934E5B17150}"/>
    <cellStyle name="Normal 5 3 4 4 2 2 3" xfId="15829" xr:uid="{8A29AF7A-0CDE-4D12-BA8D-03EE0525765A}"/>
    <cellStyle name="Normal 5 3 4 4 2 3" xfId="20052" xr:uid="{F88175F9-E652-4902-9D93-80F532544353}"/>
    <cellStyle name="Normal 5 3 4 4 2 4" xfId="11611" xr:uid="{DFDC4CE6-9FCF-4C9B-BE5E-82BA8FC0A04E}"/>
    <cellStyle name="Normal 5 3 4 4 3" xfId="5234" xr:uid="{00000000-0005-0000-0000-0000541A0000}"/>
    <cellStyle name="Normal 5 3 4 4 3 2" xfId="22125" xr:uid="{1675FE7B-E98B-432B-9B4E-BC1C69E039C3}"/>
    <cellStyle name="Normal 5 3 4 4 3 3" xfId="13684" xr:uid="{B46A4765-1524-4189-9785-CD89EC670BE4}"/>
    <cellStyle name="Normal 5 3 4 4 4" xfId="17907" xr:uid="{62314BC5-9DFC-490D-B3FA-545E5322E3C9}"/>
    <cellStyle name="Normal 5 3 4 4 5" xfId="9466" xr:uid="{938E0101-396C-48B1-BE75-3631F4FBC313}"/>
    <cellStyle name="Normal 5 3 4 5" xfId="1340" xr:uid="{00000000-0005-0000-0000-0000551A0000}"/>
    <cellStyle name="Normal 5 3 4 5 2" xfId="3570" xr:uid="{00000000-0005-0000-0000-0000561A0000}"/>
    <cellStyle name="Normal 5 3 4 5 2 2" xfId="7792" xr:uid="{00000000-0005-0000-0000-0000571A0000}"/>
    <cellStyle name="Normal 5 3 4 5 2 2 2" xfId="24683" xr:uid="{D7278FFD-DBCE-4412-97B8-33C8381B7DFF}"/>
    <cellStyle name="Normal 5 3 4 5 2 2 3" xfId="16242" xr:uid="{C476DA7A-4AED-40F4-BB7D-045C5C32358F}"/>
    <cellStyle name="Normal 5 3 4 5 2 3" xfId="20465" xr:uid="{49D7480A-9CE4-441F-A908-F03CDFF4E0CC}"/>
    <cellStyle name="Normal 5 3 4 5 2 4" xfId="12024" xr:uid="{E8643ED0-DBA4-4B95-9B72-BDE95D0EF1E4}"/>
    <cellStyle name="Normal 5 3 4 5 3" xfId="5647" xr:uid="{00000000-0005-0000-0000-0000581A0000}"/>
    <cellStyle name="Normal 5 3 4 5 3 2" xfId="22538" xr:uid="{1BB96C75-73BD-4B73-B02D-DFF794E560F1}"/>
    <cellStyle name="Normal 5 3 4 5 3 3" xfId="14097" xr:uid="{A6A94A91-EF25-4F1C-9CC9-DDB9ECF1DA94}"/>
    <cellStyle name="Normal 5 3 4 5 4" xfId="18320" xr:uid="{CB5F571F-F22E-4923-BDA5-45DB7A85AEA6}"/>
    <cellStyle name="Normal 5 3 4 5 5" xfId="9879" xr:uid="{FC356E54-1A75-4DD8-83B6-7B55C0292227}"/>
    <cellStyle name="Normal 5 3 4 6" xfId="1753" xr:uid="{00000000-0005-0000-0000-0000591A0000}"/>
    <cellStyle name="Normal 5 3 4 6 2" xfId="3983" xr:uid="{00000000-0005-0000-0000-00005A1A0000}"/>
    <cellStyle name="Normal 5 3 4 6 2 2" xfId="8205" xr:uid="{00000000-0005-0000-0000-00005B1A0000}"/>
    <cellStyle name="Normal 5 3 4 6 2 2 2" xfId="25096" xr:uid="{254304DE-37AC-454E-ACDE-A21B3B6501A0}"/>
    <cellStyle name="Normal 5 3 4 6 2 2 3" xfId="16655" xr:uid="{BB75164C-C1DC-4600-9FF0-3136251BA420}"/>
    <cellStyle name="Normal 5 3 4 6 2 3" xfId="20878" xr:uid="{63CE8457-5A14-44DB-AA74-C29FB419AFD0}"/>
    <cellStyle name="Normal 5 3 4 6 2 4" xfId="12437" xr:uid="{05D647C7-0FC6-4F52-BBA5-F4400ADBF9E1}"/>
    <cellStyle name="Normal 5 3 4 6 3" xfId="6060" xr:uid="{00000000-0005-0000-0000-00005C1A0000}"/>
    <cellStyle name="Normal 5 3 4 6 3 2" xfId="22951" xr:uid="{862485AC-F65B-4C49-8509-0C83C6A8FA20}"/>
    <cellStyle name="Normal 5 3 4 6 3 3" xfId="14510" xr:uid="{97F52AFD-2E7A-431F-9938-D7D56D4E9CCB}"/>
    <cellStyle name="Normal 5 3 4 6 4" xfId="18733" xr:uid="{BBCD6B74-76AE-46FC-8433-23BA8C0C20BB}"/>
    <cellStyle name="Normal 5 3 4 6 5" xfId="10292" xr:uid="{0E1D383F-C830-48FF-A8B0-445712A014C4}"/>
    <cellStyle name="Normal 5 3 4 7" xfId="2167" xr:uid="{00000000-0005-0000-0000-00005D1A0000}"/>
    <cellStyle name="Normal 5 3 4 7 2" xfId="4396" xr:uid="{00000000-0005-0000-0000-00005E1A0000}"/>
    <cellStyle name="Normal 5 3 4 7 2 2" xfId="8618" xr:uid="{00000000-0005-0000-0000-00005F1A0000}"/>
    <cellStyle name="Normal 5 3 4 7 2 2 2" xfId="25509" xr:uid="{DB696F3B-3AE2-4136-973D-247E7D10A0CA}"/>
    <cellStyle name="Normal 5 3 4 7 2 2 3" xfId="17068" xr:uid="{49B63879-6BB5-4F0F-8CC4-ED7C397763BC}"/>
    <cellStyle name="Normal 5 3 4 7 2 3" xfId="21291" xr:uid="{38B84BA9-4ED2-4E5D-93BC-6145D11843D4}"/>
    <cellStyle name="Normal 5 3 4 7 2 4" xfId="12850" xr:uid="{3F61CD08-8BD0-4FB6-A7E8-E573A101F58F}"/>
    <cellStyle name="Normal 5 3 4 7 3" xfId="6473" xr:uid="{00000000-0005-0000-0000-0000601A0000}"/>
    <cellStyle name="Normal 5 3 4 7 3 2" xfId="23364" xr:uid="{4C78623D-0AEB-405B-ABE3-D12BA85536A0}"/>
    <cellStyle name="Normal 5 3 4 7 3 3" xfId="14923" xr:uid="{01F4A845-037B-4628-82D7-7A93A07F25E7}"/>
    <cellStyle name="Normal 5 3 4 7 4" xfId="19146" xr:uid="{B0FD76FD-89D6-4CB9-80E3-81244DE32FA0}"/>
    <cellStyle name="Normal 5 3 4 7 5" xfId="10705" xr:uid="{1552612E-B636-49B8-959B-B1FF6FB19D38}"/>
    <cellStyle name="Normal 5 3 4 8" xfId="2603" xr:uid="{00000000-0005-0000-0000-0000611A0000}"/>
    <cellStyle name="Normal 5 3 4 8 2" xfId="6886" xr:uid="{00000000-0005-0000-0000-0000621A0000}"/>
    <cellStyle name="Normal 5 3 4 8 2 2" xfId="23777" xr:uid="{9F40DEFB-7163-4F32-B903-F6F63F572F64}"/>
    <cellStyle name="Normal 5 3 4 8 2 3" xfId="15336" xr:uid="{89641203-0CE5-4BA9-A9BC-027054CA80FD}"/>
    <cellStyle name="Normal 5 3 4 8 3" xfId="19559" xr:uid="{809EFBA7-AB18-40B1-9AC7-8EC5989F3CAF}"/>
    <cellStyle name="Normal 5 3 4 8 4" xfId="11118" xr:uid="{9C220F53-606E-455F-A9F4-1F5A15132CB5}"/>
    <cellStyle name="Normal 5 3 4 9" xfId="4821" xr:uid="{00000000-0005-0000-0000-0000631A0000}"/>
    <cellStyle name="Normal 5 3 4 9 2" xfId="21712" xr:uid="{311CD5E5-BBC9-441C-BD4A-CA2B627D675F}"/>
    <cellStyle name="Normal 5 3 4 9 3" xfId="13271" xr:uid="{3269BEFC-E33C-4EF9-8A91-13E38A7FCFAC}"/>
    <cellStyle name="Normal 5 3 5" xfId="453" xr:uid="{00000000-0005-0000-0000-0000641A0000}"/>
    <cellStyle name="Normal 5 3 5 10" xfId="9057" xr:uid="{B4B7E70A-A94B-49D8-9059-2B18CD1E9FFF}"/>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2 2 2" xfId="24275" xr:uid="{36A6D4DC-E78E-497F-8B33-214A465E7A4B}"/>
    <cellStyle name="Normal 5 3 5 2 2 2 2 3" xfId="15834" xr:uid="{CFAD11F1-174F-4670-8FA8-D20ABDBC385E}"/>
    <cellStyle name="Normal 5 3 5 2 2 2 3" xfId="20057" xr:uid="{91CB0505-0513-40A4-9E7E-A840A7C5AAB0}"/>
    <cellStyle name="Normal 5 3 5 2 2 2 4" xfId="11616" xr:uid="{38C72BC4-CC85-4695-AC69-D9CFF5F551F6}"/>
    <cellStyle name="Normal 5 3 5 2 2 3" xfId="5239" xr:uid="{00000000-0005-0000-0000-0000691A0000}"/>
    <cellStyle name="Normal 5 3 5 2 2 3 2" xfId="22130" xr:uid="{1E1E2F1A-6F8B-48AC-A46A-B4CA37C7D981}"/>
    <cellStyle name="Normal 5 3 5 2 2 3 3" xfId="13689" xr:uid="{9CD2F793-3CCA-4595-A966-0994423F9336}"/>
    <cellStyle name="Normal 5 3 5 2 2 4" xfId="17912" xr:uid="{A33B03EA-7CFF-42BE-993E-23050D66DF5B}"/>
    <cellStyle name="Normal 5 3 5 2 2 5" xfId="9471" xr:uid="{BD9A176D-B5AC-46D5-B9FD-281298E4EE60}"/>
    <cellStyle name="Normal 5 3 5 2 3" xfId="1345" xr:uid="{00000000-0005-0000-0000-00006A1A0000}"/>
    <cellStyle name="Normal 5 3 5 2 3 2" xfId="3575" xr:uid="{00000000-0005-0000-0000-00006B1A0000}"/>
    <cellStyle name="Normal 5 3 5 2 3 2 2" xfId="7797" xr:uid="{00000000-0005-0000-0000-00006C1A0000}"/>
    <cellStyle name="Normal 5 3 5 2 3 2 2 2" xfId="24688" xr:uid="{1D9268CD-A147-4E38-B3FD-DC565D4EE420}"/>
    <cellStyle name="Normal 5 3 5 2 3 2 2 3" xfId="16247" xr:uid="{DCFDFF10-0044-4D82-BD36-0860D9C476C1}"/>
    <cellStyle name="Normal 5 3 5 2 3 2 3" xfId="20470" xr:uid="{131074BD-FF4A-4516-93CD-DE4E56A582CD}"/>
    <cellStyle name="Normal 5 3 5 2 3 2 4" xfId="12029" xr:uid="{CA001C53-41E7-447D-93DD-63296C1A70ED}"/>
    <cellStyle name="Normal 5 3 5 2 3 3" xfId="5652" xr:uid="{00000000-0005-0000-0000-00006D1A0000}"/>
    <cellStyle name="Normal 5 3 5 2 3 3 2" xfId="22543" xr:uid="{1EC7DDF5-FD26-4F1B-9988-656F0A4E7B19}"/>
    <cellStyle name="Normal 5 3 5 2 3 3 3" xfId="14102" xr:uid="{0A4CE151-B10E-4B79-BA50-14165A07099E}"/>
    <cellStyle name="Normal 5 3 5 2 3 4" xfId="18325" xr:uid="{B724D5CE-CC18-4FCC-97EF-239154723506}"/>
    <cellStyle name="Normal 5 3 5 2 3 5" xfId="9884" xr:uid="{DB635675-2EA7-421F-A0A5-43E0B4AF25C5}"/>
    <cellStyle name="Normal 5 3 5 2 4" xfId="1758" xr:uid="{00000000-0005-0000-0000-00006E1A0000}"/>
    <cellStyle name="Normal 5 3 5 2 4 2" xfId="3988" xr:uid="{00000000-0005-0000-0000-00006F1A0000}"/>
    <cellStyle name="Normal 5 3 5 2 4 2 2" xfId="8210" xr:uid="{00000000-0005-0000-0000-0000701A0000}"/>
    <cellStyle name="Normal 5 3 5 2 4 2 2 2" xfId="25101" xr:uid="{2F209337-7F62-44A6-992E-8A0AEB7F0624}"/>
    <cellStyle name="Normal 5 3 5 2 4 2 2 3" xfId="16660" xr:uid="{724F6B78-D591-492E-8472-60BB173CC9C3}"/>
    <cellStyle name="Normal 5 3 5 2 4 2 3" xfId="20883" xr:uid="{397ACE18-A2E7-430E-A151-C8954BBE4E26}"/>
    <cellStyle name="Normal 5 3 5 2 4 2 4" xfId="12442" xr:uid="{D224EB34-49F1-49CF-8349-B62E41586C73}"/>
    <cellStyle name="Normal 5 3 5 2 4 3" xfId="6065" xr:uid="{00000000-0005-0000-0000-0000711A0000}"/>
    <cellStyle name="Normal 5 3 5 2 4 3 2" xfId="22956" xr:uid="{31FC0908-C4AD-47ED-8D42-BF58F4B30615}"/>
    <cellStyle name="Normal 5 3 5 2 4 3 3" xfId="14515" xr:uid="{BA3B4D42-3D12-42E8-9BDB-243192254F41}"/>
    <cellStyle name="Normal 5 3 5 2 4 4" xfId="18738" xr:uid="{9B37E6EC-9BE0-49A5-BBC0-806A943ECBDC}"/>
    <cellStyle name="Normal 5 3 5 2 4 5" xfId="10297" xr:uid="{ED3A8029-3A14-4DD3-BA4D-7D6421C4409D}"/>
    <cellStyle name="Normal 5 3 5 2 5" xfId="2172" xr:uid="{00000000-0005-0000-0000-0000721A0000}"/>
    <cellStyle name="Normal 5 3 5 2 5 2" xfId="4401" xr:uid="{00000000-0005-0000-0000-0000731A0000}"/>
    <cellStyle name="Normal 5 3 5 2 5 2 2" xfId="8623" xr:uid="{00000000-0005-0000-0000-0000741A0000}"/>
    <cellStyle name="Normal 5 3 5 2 5 2 2 2" xfId="25514" xr:uid="{81188556-A633-4392-9F65-23434F293ECB}"/>
    <cellStyle name="Normal 5 3 5 2 5 2 2 3" xfId="17073" xr:uid="{5DA76F5F-A912-4190-A253-8909063D9357}"/>
    <cellStyle name="Normal 5 3 5 2 5 2 3" xfId="21296" xr:uid="{B1F008CA-646A-45A9-A5AD-6C95F0002D58}"/>
    <cellStyle name="Normal 5 3 5 2 5 2 4" xfId="12855" xr:uid="{9F173849-A1C6-43CE-B422-FF24A29F824C}"/>
    <cellStyle name="Normal 5 3 5 2 5 3" xfId="6478" xr:uid="{00000000-0005-0000-0000-0000751A0000}"/>
    <cellStyle name="Normal 5 3 5 2 5 3 2" xfId="23369" xr:uid="{30E1DE7B-3574-4088-8376-718CFA438043}"/>
    <cellStyle name="Normal 5 3 5 2 5 3 3" xfId="14928" xr:uid="{FDC2D730-C0BB-4C3B-B0B5-3997061A15A0}"/>
    <cellStyle name="Normal 5 3 5 2 5 4" xfId="19151" xr:uid="{F07969F0-0FFC-4634-8A61-A546879CFCE3}"/>
    <cellStyle name="Normal 5 3 5 2 5 5" xfId="10710" xr:uid="{8782169E-A2BB-4C22-BBE9-817BE0EF165A}"/>
    <cellStyle name="Normal 5 3 5 2 6" xfId="2608" xr:uid="{00000000-0005-0000-0000-0000761A0000}"/>
    <cellStyle name="Normal 5 3 5 2 6 2" xfId="6891" xr:uid="{00000000-0005-0000-0000-0000771A0000}"/>
    <cellStyle name="Normal 5 3 5 2 6 2 2" xfId="23782" xr:uid="{0EB10F00-63F5-43B9-978D-570E6D2578E4}"/>
    <cellStyle name="Normal 5 3 5 2 6 2 3" xfId="15341" xr:uid="{F2356952-B7EE-4C70-A31D-F485920392CC}"/>
    <cellStyle name="Normal 5 3 5 2 6 3" xfId="19564" xr:uid="{4FF7CEA3-B274-4FEC-A098-DFACE8B3A963}"/>
    <cellStyle name="Normal 5 3 5 2 6 4" xfId="11123" xr:uid="{577A6121-FF35-4778-8D6C-4DE00899DA80}"/>
    <cellStyle name="Normal 5 3 5 2 7" xfId="4826" xr:uid="{00000000-0005-0000-0000-0000781A0000}"/>
    <cellStyle name="Normal 5 3 5 2 7 2" xfId="21717" xr:uid="{B50E404A-D37F-4AB5-8B76-170ACB735A29}"/>
    <cellStyle name="Normal 5 3 5 2 7 3" xfId="13276" xr:uid="{261246AE-8478-4B96-8376-01AC55797978}"/>
    <cellStyle name="Normal 5 3 5 2 8" xfId="17499" xr:uid="{FC03822B-3271-4151-9CA3-436F0A4DA971}"/>
    <cellStyle name="Normal 5 3 5 2 9" xfId="9058" xr:uid="{DDB301A9-3154-4CFF-A544-ABC717483818}"/>
    <cellStyle name="Normal 5 3 5 3" xfId="927" xr:uid="{00000000-0005-0000-0000-0000791A0000}"/>
    <cellStyle name="Normal 5 3 5 3 2" xfId="3161" xr:uid="{00000000-0005-0000-0000-00007A1A0000}"/>
    <cellStyle name="Normal 5 3 5 3 2 2" xfId="7383" xr:uid="{00000000-0005-0000-0000-00007B1A0000}"/>
    <cellStyle name="Normal 5 3 5 3 2 2 2" xfId="24274" xr:uid="{2E83BC1D-B8AD-4F79-9581-83A29604B979}"/>
    <cellStyle name="Normal 5 3 5 3 2 2 3" xfId="15833" xr:uid="{FB483003-0197-43EE-BE4B-57DE605DB9C7}"/>
    <cellStyle name="Normal 5 3 5 3 2 3" xfId="20056" xr:uid="{0EDDEC68-7FFB-4D4D-B413-FEEEEE43EDCE}"/>
    <cellStyle name="Normal 5 3 5 3 2 4" xfId="11615" xr:uid="{1D39A4E8-F393-4BC7-BB3F-3FE4BE0B53F6}"/>
    <cellStyle name="Normal 5 3 5 3 3" xfId="5238" xr:uid="{00000000-0005-0000-0000-00007C1A0000}"/>
    <cellStyle name="Normal 5 3 5 3 3 2" xfId="22129" xr:uid="{11591C5E-D31E-4A63-B59B-AB2579D22832}"/>
    <cellStyle name="Normal 5 3 5 3 3 3" xfId="13688" xr:uid="{31FAE600-8472-4514-91BC-D88B3CAAA660}"/>
    <cellStyle name="Normal 5 3 5 3 4" xfId="17911" xr:uid="{C8D6ADAB-DB8B-4F84-99D4-21007A5EAF1A}"/>
    <cellStyle name="Normal 5 3 5 3 5" xfId="9470" xr:uid="{D1C1479B-C98B-4C33-A285-3CF78B50DF57}"/>
    <cellStyle name="Normal 5 3 5 4" xfId="1344" xr:uid="{00000000-0005-0000-0000-00007D1A0000}"/>
    <cellStyle name="Normal 5 3 5 4 2" xfId="3574" xr:uid="{00000000-0005-0000-0000-00007E1A0000}"/>
    <cellStyle name="Normal 5 3 5 4 2 2" xfId="7796" xr:uid="{00000000-0005-0000-0000-00007F1A0000}"/>
    <cellStyle name="Normal 5 3 5 4 2 2 2" xfId="24687" xr:uid="{4B60882B-8D3F-4039-83D0-D85A6E85D72B}"/>
    <cellStyle name="Normal 5 3 5 4 2 2 3" xfId="16246" xr:uid="{BC3465D2-BE76-4493-B910-64F1042A322E}"/>
    <cellStyle name="Normal 5 3 5 4 2 3" xfId="20469" xr:uid="{E743E3AA-579D-407B-8AA8-C258AEFE1C16}"/>
    <cellStyle name="Normal 5 3 5 4 2 4" xfId="12028" xr:uid="{61D33A1C-DC72-46C0-B130-FC6FE4FCF899}"/>
    <cellStyle name="Normal 5 3 5 4 3" xfId="5651" xr:uid="{00000000-0005-0000-0000-0000801A0000}"/>
    <cellStyle name="Normal 5 3 5 4 3 2" xfId="22542" xr:uid="{763A6058-DE14-4BC5-BEA0-04414950FA5A}"/>
    <cellStyle name="Normal 5 3 5 4 3 3" xfId="14101" xr:uid="{09B3AA2F-06F6-4E2C-9FAA-11BA0F195093}"/>
    <cellStyle name="Normal 5 3 5 4 4" xfId="18324" xr:uid="{8F88DFDA-8342-4EF1-B5DF-DBD8FC65F376}"/>
    <cellStyle name="Normal 5 3 5 4 5" xfId="9883" xr:uid="{CB6E2E46-7F60-4908-95F5-F77B21F83466}"/>
    <cellStyle name="Normal 5 3 5 5" xfId="1757" xr:uid="{00000000-0005-0000-0000-0000811A0000}"/>
    <cellStyle name="Normal 5 3 5 5 2" xfId="3987" xr:uid="{00000000-0005-0000-0000-0000821A0000}"/>
    <cellStyle name="Normal 5 3 5 5 2 2" xfId="8209" xr:uid="{00000000-0005-0000-0000-0000831A0000}"/>
    <cellStyle name="Normal 5 3 5 5 2 2 2" xfId="25100" xr:uid="{679E5039-C848-4FCB-BDE6-A6F37719BAE3}"/>
    <cellStyle name="Normal 5 3 5 5 2 2 3" xfId="16659" xr:uid="{D62E6959-A425-4CC8-B318-6D1990A0E265}"/>
    <cellStyle name="Normal 5 3 5 5 2 3" xfId="20882" xr:uid="{37F58BD7-A919-486A-81D7-F3918F8784C0}"/>
    <cellStyle name="Normal 5 3 5 5 2 4" xfId="12441" xr:uid="{C7927AE1-C210-4837-82A6-2BA60D071D45}"/>
    <cellStyle name="Normal 5 3 5 5 3" xfId="6064" xr:uid="{00000000-0005-0000-0000-0000841A0000}"/>
    <cellStyle name="Normal 5 3 5 5 3 2" xfId="22955" xr:uid="{FB0B73C7-6913-4C6C-8D21-D0DA9A76A139}"/>
    <cellStyle name="Normal 5 3 5 5 3 3" xfId="14514" xr:uid="{5B0BB5AE-480F-40A7-BB4C-7BA66A4F427E}"/>
    <cellStyle name="Normal 5 3 5 5 4" xfId="18737" xr:uid="{32EC5A50-C14D-4E75-A991-6215D895BA30}"/>
    <cellStyle name="Normal 5 3 5 5 5" xfId="10296" xr:uid="{6D6FD9F0-D5BA-4944-9578-E781333939E3}"/>
    <cellStyle name="Normal 5 3 5 6" xfId="2171" xr:uid="{00000000-0005-0000-0000-0000851A0000}"/>
    <cellStyle name="Normal 5 3 5 6 2" xfId="4400" xr:uid="{00000000-0005-0000-0000-0000861A0000}"/>
    <cellStyle name="Normal 5 3 5 6 2 2" xfId="8622" xr:uid="{00000000-0005-0000-0000-0000871A0000}"/>
    <cellStyle name="Normal 5 3 5 6 2 2 2" xfId="25513" xr:uid="{35CF0923-ABE9-4914-B168-226B2DDCDC0E}"/>
    <cellStyle name="Normal 5 3 5 6 2 2 3" xfId="17072" xr:uid="{ED09CD9F-DB89-4123-A250-064A176098CB}"/>
    <cellStyle name="Normal 5 3 5 6 2 3" xfId="21295" xr:uid="{E1A75664-5DAD-41BB-9D3D-2DB84B8224C6}"/>
    <cellStyle name="Normal 5 3 5 6 2 4" xfId="12854" xr:uid="{AC4C8A24-998B-44AB-B9BE-E487DFB7413B}"/>
    <cellStyle name="Normal 5 3 5 6 3" xfId="6477" xr:uid="{00000000-0005-0000-0000-0000881A0000}"/>
    <cellStyle name="Normal 5 3 5 6 3 2" xfId="23368" xr:uid="{98B875A3-0429-4938-A79A-1BB10BA1E485}"/>
    <cellStyle name="Normal 5 3 5 6 3 3" xfId="14927" xr:uid="{24CD8848-73AC-462B-950C-DCB187A3A66B}"/>
    <cellStyle name="Normal 5 3 5 6 4" xfId="19150" xr:uid="{2115118E-32C8-493B-B3CF-25987118CBB3}"/>
    <cellStyle name="Normal 5 3 5 6 5" xfId="10709" xr:uid="{8809440D-1B91-4553-9CB6-F3277E0162AC}"/>
    <cellStyle name="Normal 5 3 5 7" xfId="2607" xr:uid="{00000000-0005-0000-0000-0000891A0000}"/>
    <cellStyle name="Normal 5 3 5 7 2" xfId="6890" xr:uid="{00000000-0005-0000-0000-00008A1A0000}"/>
    <cellStyle name="Normal 5 3 5 7 2 2" xfId="23781" xr:uid="{E09A3262-8F2D-4052-8410-5FBF50590D27}"/>
    <cellStyle name="Normal 5 3 5 7 2 3" xfId="15340" xr:uid="{D6D2B84E-0E8B-4C34-ABB8-5B17CB84C9F2}"/>
    <cellStyle name="Normal 5 3 5 7 3" xfId="19563" xr:uid="{667F30E6-CF06-45C3-983E-9059D7AB1A3E}"/>
    <cellStyle name="Normal 5 3 5 7 4" xfId="11122" xr:uid="{F8A510B0-F551-4877-8B71-6216646EBD96}"/>
    <cellStyle name="Normal 5 3 5 8" xfId="4825" xr:uid="{00000000-0005-0000-0000-00008B1A0000}"/>
    <cellStyle name="Normal 5 3 5 8 2" xfId="21716" xr:uid="{8D2A7C33-A2EC-4319-AFFA-461426EE4A66}"/>
    <cellStyle name="Normal 5 3 5 8 3" xfId="13275" xr:uid="{4CA446C0-B3CE-4F52-8C9B-80A088218D65}"/>
    <cellStyle name="Normal 5 3 5 9" xfId="17498" xr:uid="{265E7F90-758B-4CCA-A3CE-32CDDA0FA64F}"/>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2 2 2" xfId="24276" xr:uid="{CB9B9E6A-CA5F-449D-9B55-1D7F49910676}"/>
    <cellStyle name="Normal 5 3 6 2 2 2 3" xfId="15835" xr:uid="{89A3EBDF-EAB4-4FE6-A177-79A2914F7D5B}"/>
    <cellStyle name="Normal 5 3 6 2 2 3" xfId="20058" xr:uid="{325F3C4F-CCD6-47BE-BD18-F201306EF664}"/>
    <cellStyle name="Normal 5 3 6 2 2 4" xfId="11617" xr:uid="{42ECFFEC-1BDD-4127-A87C-470AD785674A}"/>
    <cellStyle name="Normal 5 3 6 2 3" xfId="5240" xr:uid="{00000000-0005-0000-0000-0000901A0000}"/>
    <cellStyle name="Normal 5 3 6 2 3 2" xfId="22131" xr:uid="{7C930907-D83C-4BE4-A6BA-DA696E3A5B12}"/>
    <cellStyle name="Normal 5 3 6 2 3 3" xfId="13690" xr:uid="{AC23F253-8108-4A70-85A4-CF61DD553982}"/>
    <cellStyle name="Normal 5 3 6 2 4" xfId="17913" xr:uid="{8C0308BD-2853-4B30-B766-3596B26C42BA}"/>
    <cellStyle name="Normal 5 3 6 2 5" xfId="9472" xr:uid="{DB6A1118-195D-42F2-9679-DD941FAAF3C8}"/>
    <cellStyle name="Normal 5 3 6 3" xfId="1346" xr:uid="{00000000-0005-0000-0000-0000911A0000}"/>
    <cellStyle name="Normal 5 3 6 3 2" xfId="3576" xr:uid="{00000000-0005-0000-0000-0000921A0000}"/>
    <cellStyle name="Normal 5 3 6 3 2 2" xfId="7798" xr:uid="{00000000-0005-0000-0000-0000931A0000}"/>
    <cellStyle name="Normal 5 3 6 3 2 2 2" xfId="24689" xr:uid="{43C6D2B3-153F-4BF7-85CA-B3F58E5F0D13}"/>
    <cellStyle name="Normal 5 3 6 3 2 2 3" xfId="16248" xr:uid="{EFA6D833-2314-4B00-9047-48E1364A2B06}"/>
    <cellStyle name="Normal 5 3 6 3 2 3" xfId="20471" xr:uid="{6E74B746-03CA-4D96-A30E-D852361BD908}"/>
    <cellStyle name="Normal 5 3 6 3 2 4" xfId="12030" xr:uid="{EEA9BB92-89DE-459B-A520-74FFC48F0D1C}"/>
    <cellStyle name="Normal 5 3 6 3 3" xfId="5653" xr:uid="{00000000-0005-0000-0000-0000941A0000}"/>
    <cellStyle name="Normal 5 3 6 3 3 2" xfId="22544" xr:uid="{8019F518-B64F-4407-A7DC-31B072CB7728}"/>
    <cellStyle name="Normal 5 3 6 3 3 3" xfId="14103" xr:uid="{2C1A5846-0BCD-4967-82E7-51B7CE971632}"/>
    <cellStyle name="Normal 5 3 6 3 4" xfId="18326" xr:uid="{45CF218E-5207-406E-ACFE-8CFC3C73B828}"/>
    <cellStyle name="Normal 5 3 6 3 5" xfId="9885" xr:uid="{B000580D-5A61-4037-9201-6F1016B3B455}"/>
    <cellStyle name="Normal 5 3 6 4" xfId="1759" xr:uid="{00000000-0005-0000-0000-0000951A0000}"/>
    <cellStyle name="Normal 5 3 6 4 2" xfId="3989" xr:uid="{00000000-0005-0000-0000-0000961A0000}"/>
    <cellStyle name="Normal 5 3 6 4 2 2" xfId="8211" xr:uid="{00000000-0005-0000-0000-0000971A0000}"/>
    <cellStyle name="Normal 5 3 6 4 2 2 2" xfId="25102" xr:uid="{F4266A30-BB78-4BCB-8E54-18009A282A9C}"/>
    <cellStyle name="Normal 5 3 6 4 2 2 3" xfId="16661" xr:uid="{D89780C5-4BB3-4DAB-B04F-7ACF6FEDA173}"/>
    <cellStyle name="Normal 5 3 6 4 2 3" xfId="20884" xr:uid="{6376BFDB-C31B-4636-A4D2-BC7C52F912D8}"/>
    <cellStyle name="Normal 5 3 6 4 2 4" xfId="12443" xr:uid="{1C6624DF-3411-4B00-8A12-ABBF90E88BA0}"/>
    <cellStyle name="Normal 5 3 6 4 3" xfId="6066" xr:uid="{00000000-0005-0000-0000-0000981A0000}"/>
    <cellStyle name="Normal 5 3 6 4 3 2" xfId="22957" xr:uid="{BBAF2DEB-C84A-41D4-A378-70F4E0600895}"/>
    <cellStyle name="Normal 5 3 6 4 3 3" xfId="14516" xr:uid="{C24C0038-00A3-4B09-AAEC-B7BFF166E5FE}"/>
    <cellStyle name="Normal 5 3 6 4 4" xfId="18739" xr:uid="{86DCBDAF-BABB-4F78-999C-C512B9688C03}"/>
    <cellStyle name="Normal 5 3 6 4 5" xfId="10298" xr:uid="{89656EA1-C430-42FB-BE1B-9978F9E2A358}"/>
    <cellStyle name="Normal 5 3 6 5" xfId="2173" xr:uid="{00000000-0005-0000-0000-0000991A0000}"/>
    <cellStyle name="Normal 5 3 6 5 2" xfId="4402" xr:uid="{00000000-0005-0000-0000-00009A1A0000}"/>
    <cellStyle name="Normal 5 3 6 5 2 2" xfId="8624" xr:uid="{00000000-0005-0000-0000-00009B1A0000}"/>
    <cellStyle name="Normal 5 3 6 5 2 2 2" xfId="25515" xr:uid="{500B4BA0-25CE-4565-9CE1-765364B4F82D}"/>
    <cellStyle name="Normal 5 3 6 5 2 2 3" xfId="17074" xr:uid="{FF119539-62A4-4C00-9256-585B6BF0C01F}"/>
    <cellStyle name="Normal 5 3 6 5 2 3" xfId="21297" xr:uid="{170AD5E8-3DCB-4AFD-AB57-98995673D293}"/>
    <cellStyle name="Normal 5 3 6 5 2 4" xfId="12856" xr:uid="{3EB36430-FB7B-4C00-B6DD-9F9676B4916A}"/>
    <cellStyle name="Normal 5 3 6 5 3" xfId="6479" xr:uid="{00000000-0005-0000-0000-00009C1A0000}"/>
    <cellStyle name="Normal 5 3 6 5 3 2" xfId="23370" xr:uid="{D48FAC1C-A96B-45E1-8485-504DD9955B4D}"/>
    <cellStyle name="Normal 5 3 6 5 3 3" xfId="14929" xr:uid="{7B0660AE-FCEE-4D09-BB55-9732B2B4E016}"/>
    <cellStyle name="Normal 5 3 6 5 4" xfId="19152" xr:uid="{B75F66DB-4F2A-4AF9-9D60-F23C3D0467C1}"/>
    <cellStyle name="Normal 5 3 6 5 5" xfId="10711" xr:uid="{CBB35645-9F93-417F-BDB7-CC7DCC614B6B}"/>
    <cellStyle name="Normal 5 3 6 6" xfId="2609" xr:uid="{00000000-0005-0000-0000-00009D1A0000}"/>
    <cellStyle name="Normal 5 3 6 6 2" xfId="6892" xr:uid="{00000000-0005-0000-0000-00009E1A0000}"/>
    <cellStyle name="Normal 5 3 6 6 2 2" xfId="23783" xr:uid="{F72DDBB6-EC7F-4394-AB1C-5DC5F326AB7C}"/>
    <cellStyle name="Normal 5 3 6 6 2 3" xfId="15342" xr:uid="{96572500-B694-4FA3-88A1-55F799B69CE0}"/>
    <cellStyle name="Normal 5 3 6 6 3" xfId="19565" xr:uid="{B7A556A5-B133-46AB-8EC6-D1C5B0EB463A}"/>
    <cellStyle name="Normal 5 3 6 6 4" xfId="11124" xr:uid="{0E077308-18FC-4BAA-B61A-D47BE5AD92C0}"/>
    <cellStyle name="Normal 5 3 6 7" xfId="4827" xr:uid="{00000000-0005-0000-0000-00009F1A0000}"/>
    <cellStyle name="Normal 5 3 6 7 2" xfId="21718" xr:uid="{200D75E3-0137-4EC9-BC4F-BE3E82615D5D}"/>
    <cellStyle name="Normal 5 3 6 7 3" xfId="13277" xr:uid="{A8F29A91-DB7D-42E1-B5A5-ABECD959E26C}"/>
    <cellStyle name="Normal 5 3 6 8" xfId="17500" xr:uid="{5CDBF77D-14D4-43DA-9B60-1306E614E058}"/>
    <cellStyle name="Normal 5 3 6 9" xfId="9059" xr:uid="{40DFDE27-A001-4E1F-88AE-7D8BCCE78A6F}"/>
    <cellStyle name="Normal 5 3 7" xfId="913" xr:uid="{00000000-0005-0000-0000-0000A01A0000}"/>
    <cellStyle name="Normal 5 3 7 2" xfId="3148" xr:uid="{00000000-0005-0000-0000-0000A11A0000}"/>
    <cellStyle name="Normal 5 3 7 2 2" xfId="7370" xr:uid="{00000000-0005-0000-0000-0000A21A0000}"/>
    <cellStyle name="Normal 5 3 7 2 2 2" xfId="24261" xr:uid="{AD364DE7-9924-4237-9774-4AC5E5B156F7}"/>
    <cellStyle name="Normal 5 3 7 2 2 3" xfId="15820" xr:uid="{38F22000-29DF-4B35-9FE3-48BB443565A9}"/>
    <cellStyle name="Normal 5 3 7 2 3" xfId="20043" xr:uid="{8259431D-C906-4D21-B147-EAF7D556441A}"/>
    <cellStyle name="Normal 5 3 7 2 4" xfId="11602" xr:uid="{B8C6D3C0-BD79-4AD9-BF5E-1DB5A5C61452}"/>
    <cellStyle name="Normal 5 3 7 3" xfId="5225" xr:uid="{00000000-0005-0000-0000-0000A31A0000}"/>
    <cellStyle name="Normal 5 3 7 3 2" xfId="22116" xr:uid="{0AEA3DA2-C04B-46DC-9A17-1E0DF4D360F9}"/>
    <cellStyle name="Normal 5 3 7 3 3" xfId="13675" xr:uid="{43416A6E-BD72-4ED5-9DE0-FC99AB585F13}"/>
    <cellStyle name="Normal 5 3 7 4" xfId="17898" xr:uid="{4A8961EA-DCD2-4DF3-9A51-6F90D49C6263}"/>
    <cellStyle name="Normal 5 3 7 5" xfId="9457" xr:uid="{D5D90367-8820-4002-8185-A89D2AC48C94}"/>
    <cellStyle name="Normal 5 3 8" xfId="1331" xr:uid="{00000000-0005-0000-0000-0000A41A0000}"/>
    <cellStyle name="Normal 5 3 8 2" xfId="3561" xr:uid="{00000000-0005-0000-0000-0000A51A0000}"/>
    <cellStyle name="Normal 5 3 8 2 2" xfId="7783" xr:uid="{00000000-0005-0000-0000-0000A61A0000}"/>
    <cellStyle name="Normal 5 3 8 2 2 2" xfId="24674" xr:uid="{65EAFD04-3203-45E7-B65F-E14018CA2B13}"/>
    <cellStyle name="Normal 5 3 8 2 2 3" xfId="16233" xr:uid="{BA74231B-38F3-4DAF-AFDB-B96B1F0D02D9}"/>
    <cellStyle name="Normal 5 3 8 2 3" xfId="20456" xr:uid="{F2AB22F6-D098-499D-8992-3868D15D4BD8}"/>
    <cellStyle name="Normal 5 3 8 2 4" xfId="12015" xr:uid="{21C6056F-C3F3-4FA4-8F76-9D895BB5F0E0}"/>
    <cellStyle name="Normal 5 3 8 3" xfId="5638" xr:uid="{00000000-0005-0000-0000-0000A71A0000}"/>
    <cellStyle name="Normal 5 3 8 3 2" xfId="22529" xr:uid="{D45BEF56-4D62-4759-BC35-E5D9E387DF80}"/>
    <cellStyle name="Normal 5 3 8 3 3" xfId="14088" xr:uid="{727C62E6-D3B8-46E8-96BF-83E02329EBCD}"/>
    <cellStyle name="Normal 5 3 8 4" xfId="18311" xr:uid="{7C45E3EF-F58B-4C37-8E69-2FAE3610450A}"/>
    <cellStyle name="Normal 5 3 8 5" xfId="9870" xr:uid="{BCA04437-0E54-4FC7-94EF-2EBC2CED0353}"/>
    <cellStyle name="Normal 5 3 9" xfId="1744" xr:uid="{00000000-0005-0000-0000-0000A81A0000}"/>
    <cellStyle name="Normal 5 3 9 2" xfId="3974" xr:uid="{00000000-0005-0000-0000-0000A91A0000}"/>
    <cellStyle name="Normal 5 3 9 2 2" xfId="8196" xr:uid="{00000000-0005-0000-0000-0000AA1A0000}"/>
    <cellStyle name="Normal 5 3 9 2 2 2" xfId="25087" xr:uid="{913C772C-F003-424D-B55A-75609B57F0B7}"/>
    <cellStyle name="Normal 5 3 9 2 2 3" xfId="16646" xr:uid="{0DD2B4B5-5F1F-4663-9146-AD17AE33BE91}"/>
    <cellStyle name="Normal 5 3 9 2 3" xfId="20869" xr:uid="{708EA290-F007-41CD-8FC8-2F0E0A146699}"/>
    <cellStyle name="Normal 5 3 9 2 4" xfId="12428" xr:uid="{64CCFE14-660F-4BE7-BC7D-9F5386B7C41B}"/>
    <cellStyle name="Normal 5 3 9 3" xfId="6051" xr:uid="{00000000-0005-0000-0000-0000AB1A0000}"/>
    <cellStyle name="Normal 5 3 9 3 2" xfId="22942" xr:uid="{867A3CEE-E46E-45B5-9C25-C4DFEAA3939F}"/>
    <cellStyle name="Normal 5 3 9 3 3" xfId="14501" xr:uid="{6F4149F1-C8DF-4A28-AC98-F9F36258B3D4}"/>
    <cellStyle name="Normal 5 3 9 4" xfId="18724" xr:uid="{600DD94B-536B-493D-A248-C65FE01735E1}"/>
    <cellStyle name="Normal 5 3 9 5" xfId="10283" xr:uid="{9BD05EB0-BB34-4354-AD86-883DBE7E3295}"/>
    <cellStyle name="Normal 5 4" xfId="456" xr:uid="{00000000-0005-0000-0000-0000AC1A0000}"/>
    <cellStyle name="Normal 5 4 10" xfId="4828" xr:uid="{00000000-0005-0000-0000-0000AD1A0000}"/>
    <cellStyle name="Normal 5 4 10 2" xfId="21719" xr:uid="{0C2F2F92-779F-455D-9E92-C37DB10A9D4B}"/>
    <cellStyle name="Normal 5 4 10 3" xfId="13278" xr:uid="{399355E1-151D-485B-B1A7-D59C35DC43BC}"/>
    <cellStyle name="Normal 5 4 11" xfId="17501" xr:uid="{0148AE13-436F-43D3-A4F0-C37FF1F5C1FA}"/>
    <cellStyle name="Normal 5 4 12" xfId="9060" xr:uid="{48736177-2B76-4125-9B0E-C8C0B4FD8FE3}"/>
    <cellStyle name="Normal 5 4 2" xfId="457" xr:uid="{00000000-0005-0000-0000-0000AE1A0000}"/>
    <cellStyle name="Normal 5 4 2 10" xfId="17502" xr:uid="{0AA3B7A1-5309-44CA-9BF7-9C157D6BAC22}"/>
    <cellStyle name="Normal 5 4 2 11" xfId="9061" xr:uid="{1AC80B02-F2D1-44F4-BBD8-F5F7576CC89C}"/>
    <cellStyle name="Normal 5 4 2 2" xfId="458" xr:uid="{00000000-0005-0000-0000-0000AF1A0000}"/>
    <cellStyle name="Normal 5 4 2 2 10" xfId="9062" xr:uid="{2965CA22-F718-4E0B-AD2A-7F961D19465A}"/>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2 2 2" xfId="24280" xr:uid="{A4CA5027-4B55-4822-A3EC-2835D2F28026}"/>
    <cellStyle name="Normal 5 4 2 2 2 2 2 2 3" xfId="15839" xr:uid="{877D5507-7D95-4AA3-8F61-9296845D31A8}"/>
    <cellStyle name="Normal 5 4 2 2 2 2 2 3" xfId="20062" xr:uid="{4FB56A92-CB6A-4F07-85EE-986B2AD47FB1}"/>
    <cellStyle name="Normal 5 4 2 2 2 2 2 4" xfId="11621" xr:uid="{4C7F544C-B6BB-4C22-99E5-373932B56178}"/>
    <cellStyle name="Normal 5 4 2 2 2 2 3" xfId="5244" xr:uid="{00000000-0005-0000-0000-0000B41A0000}"/>
    <cellStyle name="Normal 5 4 2 2 2 2 3 2" xfId="22135" xr:uid="{C2FCED2D-8963-40DB-B5B7-A2871FE4FB84}"/>
    <cellStyle name="Normal 5 4 2 2 2 2 3 3" xfId="13694" xr:uid="{F59431C2-2248-4A1F-BEEF-B4AD94C99215}"/>
    <cellStyle name="Normal 5 4 2 2 2 2 4" xfId="17917" xr:uid="{5DA7D7EE-F2F7-4DB6-A9B2-8EA32C60520A}"/>
    <cellStyle name="Normal 5 4 2 2 2 2 5" xfId="9476" xr:uid="{F4DC8587-2D53-4C3C-82C8-409D146B4899}"/>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2 2 2" xfId="24693" xr:uid="{F3C415CF-B280-4335-8F74-66A62AC78B29}"/>
    <cellStyle name="Normal 5 4 2 2 2 3 2 2 3" xfId="16252" xr:uid="{31F8F89A-790B-45A5-9A78-F446799E281B}"/>
    <cellStyle name="Normal 5 4 2 2 2 3 2 3" xfId="20475" xr:uid="{8F9F3491-FDE6-49A8-9394-8E0CEB951DFD}"/>
    <cellStyle name="Normal 5 4 2 2 2 3 2 4" xfId="12034" xr:uid="{93ADBB81-D927-42BB-B244-502206493348}"/>
    <cellStyle name="Normal 5 4 2 2 2 3 3" xfId="5657" xr:uid="{00000000-0005-0000-0000-0000B81A0000}"/>
    <cellStyle name="Normal 5 4 2 2 2 3 3 2" xfId="22548" xr:uid="{301BA8B9-0952-465D-95CE-5A4A8114542F}"/>
    <cellStyle name="Normal 5 4 2 2 2 3 3 3" xfId="14107" xr:uid="{63FD7F57-253A-42A4-B807-2B3845B22E67}"/>
    <cellStyle name="Normal 5 4 2 2 2 3 4" xfId="18330" xr:uid="{29DA351F-F285-4DFF-BF09-86C99F47F45D}"/>
    <cellStyle name="Normal 5 4 2 2 2 3 5" xfId="9889" xr:uid="{FC8C8921-5EA3-4AF5-8E7F-A8C7D4D44A0A}"/>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2 2 2" xfId="25106" xr:uid="{8D04D6B0-893A-40FE-B9E0-6278A3A2D5D7}"/>
    <cellStyle name="Normal 5 4 2 2 2 4 2 2 3" xfId="16665" xr:uid="{1C64B14A-7158-4683-81E5-FB864B381F1D}"/>
    <cellStyle name="Normal 5 4 2 2 2 4 2 3" xfId="20888" xr:uid="{2A5AEE00-14A8-4903-887F-938351B898EB}"/>
    <cellStyle name="Normal 5 4 2 2 2 4 2 4" xfId="12447" xr:uid="{6A20E21D-91E3-45FD-B36D-3EC90F8524AF}"/>
    <cellStyle name="Normal 5 4 2 2 2 4 3" xfId="6070" xr:uid="{00000000-0005-0000-0000-0000BC1A0000}"/>
    <cellStyle name="Normal 5 4 2 2 2 4 3 2" xfId="22961" xr:uid="{EB7F5E38-D2B9-4AA5-ADE3-5FC06753F4CE}"/>
    <cellStyle name="Normal 5 4 2 2 2 4 3 3" xfId="14520" xr:uid="{51656C14-C8AB-448E-A954-2043054ED1DF}"/>
    <cellStyle name="Normal 5 4 2 2 2 4 4" xfId="18743" xr:uid="{5643379B-C644-404C-96A9-7968F302AD74}"/>
    <cellStyle name="Normal 5 4 2 2 2 4 5" xfId="10302" xr:uid="{FAE7C880-C1AE-425A-8AF9-B5088121D817}"/>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2 2 2" xfId="25519" xr:uid="{C0793CF8-1E00-4AD5-A5F0-E671C5FEC9B3}"/>
    <cellStyle name="Normal 5 4 2 2 2 5 2 2 3" xfId="17078" xr:uid="{CDF4C104-1724-42CF-AF1D-1F803A354097}"/>
    <cellStyle name="Normal 5 4 2 2 2 5 2 3" xfId="21301" xr:uid="{5DBA8736-9D63-49E9-B30E-53EDF299904E}"/>
    <cellStyle name="Normal 5 4 2 2 2 5 2 4" xfId="12860" xr:uid="{7AAF53BC-AE33-4D5C-92EA-6565C0AC25CB}"/>
    <cellStyle name="Normal 5 4 2 2 2 5 3" xfId="6483" xr:uid="{00000000-0005-0000-0000-0000C01A0000}"/>
    <cellStyle name="Normal 5 4 2 2 2 5 3 2" xfId="23374" xr:uid="{5FCF6308-BD18-435D-A736-AFCB136A4330}"/>
    <cellStyle name="Normal 5 4 2 2 2 5 3 3" xfId="14933" xr:uid="{83538A3C-B250-4617-89DC-9BDA64EF44B3}"/>
    <cellStyle name="Normal 5 4 2 2 2 5 4" xfId="19156" xr:uid="{A6563C51-4A89-49D5-A37B-65E263BCCBA3}"/>
    <cellStyle name="Normal 5 4 2 2 2 5 5" xfId="10715" xr:uid="{3BCE6361-6DC2-4814-9FA3-307800ADC3A8}"/>
    <cellStyle name="Normal 5 4 2 2 2 6" xfId="2613" xr:uid="{00000000-0005-0000-0000-0000C11A0000}"/>
    <cellStyle name="Normal 5 4 2 2 2 6 2" xfId="6896" xr:uid="{00000000-0005-0000-0000-0000C21A0000}"/>
    <cellStyle name="Normal 5 4 2 2 2 6 2 2" xfId="23787" xr:uid="{9B251E71-C0E6-48BD-9079-DA5045A95876}"/>
    <cellStyle name="Normal 5 4 2 2 2 6 2 3" xfId="15346" xr:uid="{90CEACD5-2315-4A0B-A3C1-3DF076D03912}"/>
    <cellStyle name="Normal 5 4 2 2 2 6 3" xfId="19569" xr:uid="{02BE97F2-F66D-4089-81DA-E990B0D0327E}"/>
    <cellStyle name="Normal 5 4 2 2 2 6 4" xfId="11128" xr:uid="{2FEED4A3-CC0B-42D0-9538-D2FF215A2D9D}"/>
    <cellStyle name="Normal 5 4 2 2 2 7" xfId="4831" xr:uid="{00000000-0005-0000-0000-0000C31A0000}"/>
    <cellStyle name="Normal 5 4 2 2 2 7 2" xfId="21722" xr:uid="{7E121A52-E1C7-42E4-8033-BA91B3833414}"/>
    <cellStyle name="Normal 5 4 2 2 2 7 3" xfId="13281" xr:uid="{D0C31107-CECC-4077-9BA2-60374F5C20F3}"/>
    <cellStyle name="Normal 5 4 2 2 2 8" xfId="17504" xr:uid="{35DF9F4B-343B-4FE7-B9BE-D0B36381B1B0}"/>
    <cellStyle name="Normal 5 4 2 2 2 9" xfId="9063" xr:uid="{4DCDBD75-31AB-42C8-B4D0-2E0BB18855ED}"/>
    <cellStyle name="Normal 5 4 2 2 3" xfId="932" xr:uid="{00000000-0005-0000-0000-0000C41A0000}"/>
    <cellStyle name="Normal 5 4 2 2 3 2" xfId="3166" xr:uid="{00000000-0005-0000-0000-0000C51A0000}"/>
    <cellStyle name="Normal 5 4 2 2 3 2 2" xfId="7388" xr:uid="{00000000-0005-0000-0000-0000C61A0000}"/>
    <cellStyle name="Normal 5 4 2 2 3 2 2 2" xfId="24279" xr:uid="{05C99F9F-6C16-4DD8-98BF-1C24CB8045EE}"/>
    <cellStyle name="Normal 5 4 2 2 3 2 2 3" xfId="15838" xr:uid="{752FFE3A-7D23-4E8B-A720-79008A7B3248}"/>
    <cellStyle name="Normal 5 4 2 2 3 2 3" xfId="20061" xr:uid="{1F836C56-6DF4-41F2-A6C8-C27EA1073499}"/>
    <cellStyle name="Normal 5 4 2 2 3 2 4" xfId="11620" xr:uid="{9F6EC400-EF82-4DC5-B703-EB2944D3D521}"/>
    <cellStyle name="Normal 5 4 2 2 3 3" xfId="5243" xr:uid="{00000000-0005-0000-0000-0000C71A0000}"/>
    <cellStyle name="Normal 5 4 2 2 3 3 2" xfId="22134" xr:uid="{5000FA79-E549-413A-A425-50ADE6E53A59}"/>
    <cellStyle name="Normal 5 4 2 2 3 3 3" xfId="13693" xr:uid="{A1148497-4B26-4F4F-AEE5-41220D4B187D}"/>
    <cellStyle name="Normal 5 4 2 2 3 4" xfId="17916" xr:uid="{D1E2C45E-FE91-4EB9-A383-0A5C338262BB}"/>
    <cellStyle name="Normal 5 4 2 2 3 5" xfId="9475" xr:uid="{C819EFCB-4E7E-4912-8A2F-E24DD869CE0C}"/>
    <cellStyle name="Normal 5 4 2 2 4" xfId="1349" xr:uid="{00000000-0005-0000-0000-0000C81A0000}"/>
    <cellStyle name="Normal 5 4 2 2 4 2" xfId="3579" xr:uid="{00000000-0005-0000-0000-0000C91A0000}"/>
    <cellStyle name="Normal 5 4 2 2 4 2 2" xfId="7801" xr:uid="{00000000-0005-0000-0000-0000CA1A0000}"/>
    <cellStyle name="Normal 5 4 2 2 4 2 2 2" xfId="24692" xr:uid="{8B0077AF-21B2-4166-8E38-314FF355D0AD}"/>
    <cellStyle name="Normal 5 4 2 2 4 2 2 3" xfId="16251" xr:uid="{0EDA0CBD-B05E-447D-940C-034B9A6F9DA5}"/>
    <cellStyle name="Normal 5 4 2 2 4 2 3" xfId="20474" xr:uid="{DC065F74-B25F-499C-80B1-2143EAD83DC2}"/>
    <cellStyle name="Normal 5 4 2 2 4 2 4" xfId="12033" xr:uid="{BF22B743-10EC-4329-9B28-FB6DCE2DF7F6}"/>
    <cellStyle name="Normal 5 4 2 2 4 3" xfId="5656" xr:uid="{00000000-0005-0000-0000-0000CB1A0000}"/>
    <cellStyle name="Normal 5 4 2 2 4 3 2" xfId="22547" xr:uid="{E507FB3F-196C-4623-A16D-0881DBF73757}"/>
    <cellStyle name="Normal 5 4 2 2 4 3 3" xfId="14106" xr:uid="{8B75C505-C369-4308-88A0-FD8E72325842}"/>
    <cellStyle name="Normal 5 4 2 2 4 4" xfId="18329" xr:uid="{6BEF8866-2020-4F7A-9A15-0F34AF55F77A}"/>
    <cellStyle name="Normal 5 4 2 2 4 5" xfId="9888" xr:uid="{5E24CC1C-4F5B-46B0-AF50-E98D192EA448}"/>
    <cellStyle name="Normal 5 4 2 2 5" xfId="1762" xr:uid="{00000000-0005-0000-0000-0000CC1A0000}"/>
    <cellStyle name="Normal 5 4 2 2 5 2" xfId="3992" xr:uid="{00000000-0005-0000-0000-0000CD1A0000}"/>
    <cellStyle name="Normal 5 4 2 2 5 2 2" xfId="8214" xr:uid="{00000000-0005-0000-0000-0000CE1A0000}"/>
    <cellStyle name="Normal 5 4 2 2 5 2 2 2" xfId="25105" xr:uid="{6649AB44-562B-4C8A-9E10-DF8696CB9D3E}"/>
    <cellStyle name="Normal 5 4 2 2 5 2 2 3" xfId="16664" xr:uid="{1E52D396-9CB7-4B2D-917B-EFD559A83DA1}"/>
    <cellStyle name="Normal 5 4 2 2 5 2 3" xfId="20887" xr:uid="{850B1062-25A0-400A-AC42-162FB3EC7F2C}"/>
    <cellStyle name="Normal 5 4 2 2 5 2 4" xfId="12446" xr:uid="{E23E8671-37F8-48A2-A2B5-87BC9E8A2190}"/>
    <cellStyle name="Normal 5 4 2 2 5 3" xfId="6069" xr:uid="{00000000-0005-0000-0000-0000CF1A0000}"/>
    <cellStyle name="Normal 5 4 2 2 5 3 2" xfId="22960" xr:uid="{80CFF110-8034-49FB-9B80-3A560A7A751C}"/>
    <cellStyle name="Normal 5 4 2 2 5 3 3" xfId="14519" xr:uid="{24C5F3BA-2BE4-4759-9E0B-F9F871CD89CC}"/>
    <cellStyle name="Normal 5 4 2 2 5 4" xfId="18742" xr:uid="{6EC7744C-5238-4939-9A61-772D61FCC8BF}"/>
    <cellStyle name="Normal 5 4 2 2 5 5" xfId="10301" xr:uid="{C51317D2-3AAE-4E8B-80B3-E5B728B73344}"/>
    <cellStyle name="Normal 5 4 2 2 6" xfId="2176" xr:uid="{00000000-0005-0000-0000-0000D01A0000}"/>
    <cellStyle name="Normal 5 4 2 2 6 2" xfId="4405" xr:uid="{00000000-0005-0000-0000-0000D11A0000}"/>
    <cellStyle name="Normal 5 4 2 2 6 2 2" xfId="8627" xr:uid="{00000000-0005-0000-0000-0000D21A0000}"/>
    <cellStyle name="Normal 5 4 2 2 6 2 2 2" xfId="25518" xr:uid="{C13D22CE-505C-4B87-A9AD-A58946AD5A19}"/>
    <cellStyle name="Normal 5 4 2 2 6 2 2 3" xfId="17077" xr:uid="{1DC44A81-0CD5-4C50-8CD3-52BC5F3B017F}"/>
    <cellStyle name="Normal 5 4 2 2 6 2 3" xfId="21300" xr:uid="{19BFD9B7-637E-4919-B48D-061F1859D162}"/>
    <cellStyle name="Normal 5 4 2 2 6 2 4" xfId="12859" xr:uid="{24A2CD98-C1D2-4E3E-A5AC-76D41DFF2723}"/>
    <cellStyle name="Normal 5 4 2 2 6 3" xfId="6482" xr:uid="{00000000-0005-0000-0000-0000D31A0000}"/>
    <cellStyle name="Normal 5 4 2 2 6 3 2" xfId="23373" xr:uid="{9865C2DE-224A-49E6-9609-B469BE46A80D}"/>
    <cellStyle name="Normal 5 4 2 2 6 3 3" xfId="14932" xr:uid="{40E288A4-27C3-49F7-917E-710C4EB9D8C3}"/>
    <cellStyle name="Normal 5 4 2 2 6 4" xfId="19155" xr:uid="{484F62D0-FB14-4C8F-B805-57754CADF6D0}"/>
    <cellStyle name="Normal 5 4 2 2 6 5" xfId="10714" xr:uid="{4F3F628C-71ED-4EE3-9C15-ACE7530448F2}"/>
    <cellStyle name="Normal 5 4 2 2 7" xfId="2612" xr:uid="{00000000-0005-0000-0000-0000D41A0000}"/>
    <cellStyle name="Normal 5 4 2 2 7 2" xfId="6895" xr:uid="{00000000-0005-0000-0000-0000D51A0000}"/>
    <cellStyle name="Normal 5 4 2 2 7 2 2" xfId="23786" xr:uid="{0DF224F1-8EBF-4DC0-B5FC-FFD0FEF15BC7}"/>
    <cellStyle name="Normal 5 4 2 2 7 2 3" xfId="15345" xr:uid="{4479468A-E2C0-4F89-A741-5C752BAC5747}"/>
    <cellStyle name="Normal 5 4 2 2 7 3" xfId="19568" xr:uid="{77C2B3B3-BF7A-4D0B-8EFF-1FDEA6994F81}"/>
    <cellStyle name="Normal 5 4 2 2 7 4" xfId="11127" xr:uid="{929BD718-E2BF-4E12-A861-387B373497B9}"/>
    <cellStyle name="Normal 5 4 2 2 8" xfId="4830" xr:uid="{00000000-0005-0000-0000-0000D61A0000}"/>
    <cellStyle name="Normal 5 4 2 2 8 2" xfId="21721" xr:uid="{94001168-8F66-4544-9729-8F873ABFD30D}"/>
    <cellStyle name="Normal 5 4 2 2 8 3" xfId="13280" xr:uid="{4F7FD6AD-DB32-43C7-B8E7-D6B91CF60975}"/>
    <cellStyle name="Normal 5 4 2 2 9" xfId="17503" xr:uid="{4B46EB54-F3E0-4B21-BD10-5F20F10A63E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2 2 2" xfId="24281" xr:uid="{F67D483F-87F5-471B-A955-B9B21738DB3C}"/>
    <cellStyle name="Normal 5 4 2 3 2 2 2 3" xfId="15840" xr:uid="{089515F5-5447-4F8A-8610-A2DB3F5EC2DD}"/>
    <cellStyle name="Normal 5 4 2 3 2 2 3" xfId="20063" xr:uid="{C14CE777-8F62-4802-A338-09E431821B3E}"/>
    <cellStyle name="Normal 5 4 2 3 2 2 4" xfId="11622" xr:uid="{FA727EAD-0762-4948-9985-8E5AD3137716}"/>
    <cellStyle name="Normal 5 4 2 3 2 3" xfId="5245" xr:uid="{00000000-0005-0000-0000-0000DB1A0000}"/>
    <cellStyle name="Normal 5 4 2 3 2 3 2" xfId="22136" xr:uid="{352775DE-FD88-43D2-B9FA-7CA125D42374}"/>
    <cellStyle name="Normal 5 4 2 3 2 3 3" xfId="13695" xr:uid="{CF1D3C0A-0E44-4277-BE44-252F2DEBB462}"/>
    <cellStyle name="Normal 5 4 2 3 2 4" xfId="17918" xr:uid="{FBD802AF-2F3A-478D-9E8D-B9246C37E208}"/>
    <cellStyle name="Normal 5 4 2 3 2 5" xfId="9477" xr:uid="{4D7BA454-0550-4E34-BEC0-AFC93B3F1066}"/>
    <cellStyle name="Normal 5 4 2 3 3" xfId="1351" xr:uid="{00000000-0005-0000-0000-0000DC1A0000}"/>
    <cellStyle name="Normal 5 4 2 3 3 2" xfId="3581" xr:uid="{00000000-0005-0000-0000-0000DD1A0000}"/>
    <cellStyle name="Normal 5 4 2 3 3 2 2" xfId="7803" xr:uid="{00000000-0005-0000-0000-0000DE1A0000}"/>
    <cellStyle name="Normal 5 4 2 3 3 2 2 2" xfId="24694" xr:uid="{D03C5EF1-B1AF-48F1-81E6-25C13EB79C2E}"/>
    <cellStyle name="Normal 5 4 2 3 3 2 2 3" xfId="16253" xr:uid="{E1F3CFE9-F262-45AE-956A-D809E1741E4F}"/>
    <cellStyle name="Normal 5 4 2 3 3 2 3" xfId="20476" xr:uid="{CA7B3296-2DA4-4C67-950D-52543CA737E6}"/>
    <cellStyle name="Normal 5 4 2 3 3 2 4" xfId="12035" xr:uid="{C576523A-D1F7-4000-A99F-9713C977B82A}"/>
    <cellStyle name="Normal 5 4 2 3 3 3" xfId="5658" xr:uid="{00000000-0005-0000-0000-0000DF1A0000}"/>
    <cellStyle name="Normal 5 4 2 3 3 3 2" xfId="22549" xr:uid="{47E98A02-E0E3-4F47-9A51-CF6F892C7D44}"/>
    <cellStyle name="Normal 5 4 2 3 3 3 3" xfId="14108" xr:uid="{8B296573-D1C5-4E8E-9597-3F693B044409}"/>
    <cellStyle name="Normal 5 4 2 3 3 4" xfId="18331" xr:uid="{9AC414F4-D2E3-4AAE-83A2-CD6973998C48}"/>
    <cellStyle name="Normal 5 4 2 3 3 5" xfId="9890" xr:uid="{D44AD073-C0A6-495F-BA4B-F2EC728B442D}"/>
    <cellStyle name="Normal 5 4 2 3 4" xfId="1764" xr:uid="{00000000-0005-0000-0000-0000E01A0000}"/>
    <cellStyle name="Normal 5 4 2 3 4 2" xfId="3994" xr:uid="{00000000-0005-0000-0000-0000E11A0000}"/>
    <cellStyle name="Normal 5 4 2 3 4 2 2" xfId="8216" xr:uid="{00000000-0005-0000-0000-0000E21A0000}"/>
    <cellStyle name="Normal 5 4 2 3 4 2 2 2" xfId="25107" xr:uid="{AC384511-C3C6-4C35-BE2C-E1F90022E08E}"/>
    <cellStyle name="Normal 5 4 2 3 4 2 2 3" xfId="16666" xr:uid="{DA2ABBFE-D43A-47CB-9A21-D2D912C03452}"/>
    <cellStyle name="Normal 5 4 2 3 4 2 3" xfId="20889" xr:uid="{3FB1067F-E43A-4EC4-987F-25CA6003AF74}"/>
    <cellStyle name="Normal 5 4 2 3 4 2 4" xfId="12448" xr:uid="{64DE12DA-35EF-487E-8D78-963ADF9A36BD}"/>
    <cellStyle name="Normal 5 4 2 3 4 3" xfId="6071" xr:uid="{00000000-0005-0000-0000-0000E31A0000}"/>
    <cellStyle name="Normal 5 4 2 3 4 3 2" xfId="22962" xr:uid="{16012BED-A8E8-49F7-B91D-39E3C430AB92}"/>
    <cellStyle name="Normal 5 4 2 3 4 3 3" xfId="14521" xr:uid="{EEB2D471-DCB1-47BE-8D76-9E4CAA3A47DA}"/>
    <cellStyle name="Normal 5 4 2 3 4 4" xfId="18744" xr:uid="{5579AB85-2BC9-4296-B2BD-8D25B37D9BA9}"/>
    <cellStyle name="Normal 5 4 2 3 4 5" xfId="10303" xr:uid="{0D03E80D-7011-4103-B61F-0C77AF026BC5}"/>
    <cellStyle name="Normal 5 4 2 3 5" xfId="2178" xr:uid="{00000000-0005-0000-0000-0000E41A0000}"/>
    <cellStyle name="Normal 5 4 2 3 5 2" xfId="4407" xr:uid="{00000000-0005-0000-0000-0000E51A0000}"/>
    <cellStyle name="Normal 5 4 2 3 5 2 2" xfId="8629" xr:uid="{00000000-0005-0000-0000-0000E61A0000}"/>
    <cellStyle name="Normal 5 4 2 3 5 2 2 2" xfId="25520" xr:uid="{593AB18A-1688-4C2C-A324-AC13C12CA1BD}"/>
    <cellStyle name="Normal 5 4 2 3 5 2 2 3" xfId="17079" xr:uid="{2CCE8AAD-F419-4488-A2DC-D5C2020AA866}"/>
    <cellStyle name="Normal 5 4 2 3 5 2 3" xfId="21302" xr:uid="{6E2FC90C-A655-4766-9B86-52BAEC14695A}"/>
    <cellStyle name="Normal 5 4 2 3 5 2 4" xfId="12861" xr:uid="{39E325EE-634F-40D1-8E7E-3C9FEF132305}"/>
    <cellStyle name="Normal 5 4 2 3 5 3" xfId="6484" xr:uid="{00000000-0005-0000-0000-0000E71A0000}"/>
    <cellStyle name="Normal 5 4 2 3 5 3 2" xfId="23375" xr:uid="{291402BB-4397-4B77-8B61-803DAA01591C}"/>
    <cellStyle name="Normal 5 4 2 3 5 3 3" xfId="14934" xr:uid="{2D305753-B20D-4848-938D-92B90B225539}"/>
    <cellStyle name="Normal 5 4 2 3 5 4" xfId="19157" xr:uid="{16E0DFBC-46EC-4695-937C-6B97E57B282F}"/>
    <cellStyle name="Normal 5 4 2 3 5 5" xfId="10716" xr:uid="{5D238843-5951-422A-8212-1C77A4AB7156}"/>
    <cellStyle name="Normal 5 4 2 3 6" xfId="2614" xr:uid="{00000000-0005-0000-0000-0000E81A0000}"/>
    <cellStyle name="Normal 5 4 2 3 6 2" xfId="6897" xr:uid="{00000000-0005-0000-0000-0000E91A0000}"/>
    <cellStyle name="Normal 5 4 2 3 6 2 2" xfId="23788" xr:uid="{BBC7467E-22AB-47A8-B3C8-E7FBA3414D04}"/>
    <cellStyle name="Normal 5 4 2 3 6 2 3" xfId="15347" xr:uid="{415CB28D-20AD-4410-9685-D4FD4F836FC4}"/>
    <cellStyle name="Normal 5 4 2 3 6 3" xfId="19570" xr:uid="{BB2A9C5C-8666-424F-98AD-B358EECA274F}"/>
    <cellStyle name="Normal 5 4 2 3 6 4" xfId="11129" xr:uid="{F1845BF3-B628-491F-B5B5-B10668A9C329}"/>
    <cellStyle name="Normal 5 4 2 3 7" xfId="4832" xr:uid="{00000000-0005-0000-0000-0000EA1A0000}"/>
    <cellStyle name="Normal 5 4 2 3 7 2" xfId="21723" xr:uid="{9CE42DD6-8653-4DE0-9EFD-FCC993506E45}"/>
    <cellStyle name="Normal 5 4 2 3 7 3" xfId="13282" xr:uid="{7C33DBDB-E248-44E3-9C6D-C08CB8A3343E}"/>
    <cellStyle name="Normal 5 4 2 3 8" xfId="17505" xr:uid="{6BD92106-09DE-4E0C-B13E-314ABDF6D8BC}"/>
    <cellStyle name="Normal 5 4 2 3 9" xfId="9064" xr:uid="{D0AC713E-D2C1-45F9-A5B5-8EFBDACCAAE5}"/>
    <cellStyle name="Normal 5 4 2 4" xfId="931" xr:uid="{00000000-0005-0000-0000-0000EB1A0000}"/>
    <cellStyle name="Normal 5 4 2 4 2" xfId="3165" xr:uid="{00000000-0005-0000-0000-0000EC1A0000}"/>
    <cellStyle name="Normal 5 4 2 4 2 2" xfId="7387" xr:uid="{00000000-0005-0000-0000-0000ED1A0000}"/>
    <cellStyle name="Normal 5 4 2 4 2 2 2" xfId="24278" xr:uid="{CD927C95-A6A7-43B7-AD07-F5AAF0B7F277}"/>
    <cellStyle name="Normal 5 4 2 4 2 2 3" xfId="15837" xr:uid="{84627209-D658-4E36-8629-E86FF5199243}"/>
    <cellStyle name="Normal 5 4 2 4 2 3" xfId="20060" xr:uid="{FD40E86D-F55D-471E-AEEA-50C05EBA7BA3}"/>
    <cellStyle name="Normal 5 4 2 4 2 4" xfId="11619" xr:uid="{CE2F09AC-F229-46AC-B57F-FB8CF00D3E70}"/>
    <cellStyle name="Normal 5 4 2 4 3" xfId="5242" xr:uid="{00000000-0005-0000-0000-0000EE1A0000}"/>
    <cellStyle name="Normal 5 4 2 4 3 2" xfId="22133" xr:uid="{18187D48-773D-4603-9B2E-98EF0A88BD43}"/>
    <cellStyle name="Normal 5 4 2 4 3 3" xfId="13692" xr:uid="{8FB42B5D-7C94-4855-98E4-89F68501DF5B}"/>
    <cellStyle name="Normal 5 4 2 4 4" xfId="17915" xr:uid="{8C7C8631-297A-48A5-A5A9-7BE724167055}"/>
    <cellStyle name="Normal 5 4 2 4 5" xfId="9474" xr:uid="{BAA4B891-760F-4909-AE3D-98C921B158FC}"/>
    <cellStyle name="Normal 5 4 2 5" xfId="1348" xr:uid="{00000000-0005-0000-0000-0000EF1A0000}"/>
    <cellStyle name="Normal 5 4 2 5 2" xfId="3578" xr:uid="{00000000-0005-0000-0000-0000F01A0000}"/>
    <cellStyle name="Normal 5 4 2 5 2 2" xfId="7800" xr:uid="{00000000-0005-0000-0000-0000F11A0000}"/>
    <cellStyle name="Normal 5 4 2 5 2 2 2" xfId="24691" xr:uid="{E810F802-76D2-4B59-B33A-7A5CEA3A20A5}"/>
    <cellStyle name="Normal 5 4 2 5 2 2 3" xfId="16250" xr:uid="{3099D2F3-85D8-42CE-BFA3-5A2979DAA4B9}"/>
    <cellStyle name="Normal 5 4 2 5 2 3" xfId="20473" xr:uid="{84B257DB-642D-4A76-B9F3-1C8EA3D296F2}"/>
    <cellStyle name="Normal 5 4 2 5 2 4" xfId="12032" xr:uid="{7762C7EE-67A2-450B-A09F-BD8B0C9A8A05}"/>
    <cellStyle name="Normal 5 4 2 5 3" xfId="5655" xr:uid="{00000000-0005-0000-0000-0000F21A0000}"/>
    <cellStyle name="Normal 5 4 2 5 3 2" xfId="22546" xr:uid="{1EB5CAB2-51EA-44BC-84EA-397F60C4FED0}"/>
    <cellStyle name="Normal 5 4 2 5 3 3" xfId="14105" xr:uid="{B07C308C-1BB1-4BFB-84D4-E797780C743D}"/>
    <cellStyle name="Normal 5 4 2 5 4" xfId="18328" xr:uid="{C9B762AB-6C71-429A-82BA-988313588E8B}"/>
    <cellStyle name="Normal 5 4 2 5 5" xfId="9887" xr:uid="{5562C12A-580A-4FA0-B748-742B4A12EEC8}"/>
    <cellStyle name="Normal 5 4 2 6" xfId="1761" xr:uid="{00000000-0005-0000-0000-0000F31A0000}"/>
    <cellStyle name="Normal 5 4 2 6 2" xfId="3991" xr:uid="{00000000-0005-0000-0000-0000F41A0000}"/>
    <cellStyle name="Normal 5 4 2 6 2 2" xfId="8213" xr:uid="{00000000-0005-0000-0000-0000F51A0000}"/>
    <cellStyle name="Normal 5 4 2 6 2 2 2" xfId="25104" xr:uid="{10275451-BF51-40AB-8713-66C64E277585}"/>
    <cellStyle name="Normal 5 4 2 6 2 2 3" xfId="16663" xr:uid="{D9E547CC-88A7-4B6B-A0B8-2CE5F933B419}"/>
    <cellStyle name="Normal 5 4 2 6 2 3" xfId="20886" xr:uid="{AF5342D7-85E9-4845-9C14-3BEB3EDD7D0C}"/>
    <cellStyle name="Normal 5 4 2 6 2 4" xfId="12445" xr:uid="{6548B9B1-306A-4197-8CA1-538B800BE4E3}"/>
    <cellStyle name="Normal 5 4 2 6 3" xfId="6068" xr:uid="{00000000-0005-0000-0000-0000F61A0000}"/>
    <cellStyle name="Normal 5 4 2 6 3 2" xfId="22959" xr:uid="{9BB0F37C-F094-4E19-8B88-891039D4EA39}"/>
    <cellStyle name="Normal 5 4 2 6 3 3" xfId="14518" xr:uid="{8B41D5EE-395C-4D7D-AE34-6481B62AF172}"/>
    <cellStyle name="Normal 5 4 2 6 4" xfId="18741" xr:uid="{DB3861D1-7735-4713-BDC2-62014429FB3C}"/>
    <cellStyle name="Normal 5 4 2 6 5" xfId="10300" xr:uid="{93F89ED7-21B5-4767-A58E-BFE4A392BC7F}"/>
    <cellStyle name="Normal 5 4 2 7" xfId="2175" xr:uid="{00000000-0005-0000-0000-0000F71A0000}"/>
    <cellStyle name="Normal 5 4 2 7 2" xfId="4404" xr:uid="{00000000-0005-0000-0000-0000F81A0000}"/>
    <cellStyle name="Normal 5 4 2 7 2 2" xfId="8626" xr:uid="{00000000-0005-0000-0000-0000F91A0000}"/>
    <cellStyle name="Normal 5 4 2 7 2 2 2" xfId="25517" xr:uid="{0F98D962-16E7-4936-832C-572F03563BD3}"/>
    <cellStyle name="Normal 5 4 2 7 2 2 3" xfId="17076" xr:uid="{C3EFF1D0-5441-4C24-BC7E-33C39CE50E57}"/>
    <cellStyle name="Normal 5 4 2 7 2 3" xfId="21299" xr:uid="{1AA5094A-35D9-4339-B64F-B1B1CE998DBC}"/>
    <cellStyle name="Normal 5 4 2 7 2 4" xfId="12858" xr:uid="{6EB1D3ED-7269-4FB4-9987-7B32428C9367}"/>
    <cellStyle name="Normal 5 4 2 7 3" xfId="6481" xr:uid="{00000000-0005-0000-0000-0000FA1A0000}"/>
    <cellStyle name="Normal 5 4 2 7 3 2" xfId="23372" xr:uid="{E8827189-9CC6-4689-8189-1C7ECEEC18B5}"/>
    <cellStyle name="Normal 5 4 2 7 3 3" xfId="14931" xr:uid="{B7FECA23-D9A9-44CA-AD4C-E8DAD137BE0B}"/>
    <cellStyle name="Normal 5 4 2 7 4" xfId="19154" xr:uid="{7261BD6D-9D9C-4145-A8B0-462B16FAF52A}"/>
    <cellStyle name="Normal 5 4 2 7 5" xfId="10713" xr:uid="{20886FA5-DC3B-4A26-9237-194EBF1D2EF8}"/>
    <cellStyle name="Normal 5 4 2 8" xfId="2611" xr:uid="{00000000-0005-0000-0000-0000FB1A0000}"/>
    <cellStyle name="Normal 5 4 2 8 2" xfId="6894" xr:uid="{00000000-0005-0000-0000-0000FC1A0000}"/>
    <cellStyle name="Normal 5 4 2 8 2 2" xfId="23785" xr:uid="{A44E5069-2985-44FC-B752-0256B2F5FA9F}"/>
    <cellStyle name="Normal 5 4 2 8 2 3" xfId="15344" xr:uid="{E52581AB-E32B-452A-B74B-462D15E036B1}"/>
    <cellStyle name="Normal 5 4 2 8 3" xfId="19567" xr:uid="{E9E9D3A2-186A-4722-9CB9-90849628702E}"/>
    <cellStyle name="Normal 5 4 2 8 4" xfId="11126" xr:uid="{BC633893-2442-498C-8412-74FBF4D2D541}"/>
    <cellStyle name="Normal 5 4 2 9" xfId="4829" xr:uid="{00000000-0005-0000-0000-0000FD1A0000}"/>
    <cellStyle name="Normal 5 4 2 9 2" xfId="21720" xr:uid="{395D382F-AE4F-4045-8F7E-E4338C4575D7}"/>
    <cellStyle name="Normal 5 4 2 9 3" xfId="13279" xr:uid="{10F33D6C-047A-46BB-8805-112D1DBB4F94}"/>
    <cellStyle name="Normal 5 4 3" xfId="461" xr:uid="{00000000-0005-0000-0000-0000FE1A0000}"/>
    <cellStyle name="Normal 5 4 3 10" xfId="9065" xr:uid="{9B652985-0DD8-447E-A3BE-320EAB23801B}"/>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2 2 2" xfId="24283" xr:uid="{EDC654B8-061C-4477-AC8C-E07E13B8CB44}"/>
    <cellStyle name="Normal 5 4 3 2 2 2 2 3" xfId="15842" xr:uid="{9B2BF2AD-10A5-40C1-BF57-C8FB4452E8CB}"/>
    <cellStyle name="Normal 5 4 3 2 2 2 3" xfId="20065" xr:uid="{28896A69-F60D-4673-B700-47EFB2EF9B28}"/>
    <cellStyle name="Normal 5 4 3 2 2 2 4" xfId="11624" xr:uid="{E8635E89-1AAE-4B82-A1BE-0DE72E245C07}"/>
    <cellStyle name="Normal 5 4 3 2 2 3" xfId="5247" xr:uid="{00000000-0005-0000-0000-0000031B0000}"/>
    <cellStyle name="Normal 5 4 3 2 2 3 2" xfId="22138" xr:uid="{D6DB4330-CF25-45F1-95A1-C9A6A29C12D4}"/>
    <cellStyle name="Normal 5 4 3 2 2 3 3" xfId="13697" xr:uid="{F4D40090-3F9F-4EF9-9069-F78886C23157}"/>
    <cellStyle name="Normal 5 4 3 2 2 4" xfId="17920" xr:uid="{2C9EB0B4-EE95-4043-BF9C-0B4B7C856EAD}"/>
    <cellStyle name="Normal 5 4 3 2 2 5" xfId="9479" xr:uid="{CDDBB7AC-2B01-4D77-9593-350BB74D8F2C}"/>
    <cellStyle name="Normal 5 4 3 2 3" xfId="1353" xr:uid="{00000000-0005-0000-0000-0000041B0000}"/>
    <cellStyle name="Normal 5 4 3 2 3 2" xfId="3583" xr:uid="{00000000-0005-0000-0000-0000051B0000}"/>
    <cellStyle name="Normal 5 4 3 2 3 2 2" xfId="7805" xr:uid="{00000000-0005-0000-0000-0000061B0000}"/>
    <cellStyle name="Normal 5 4 3 2 3 2 2 2" xfId="24696" xr:uid="{2DBFDE78-232C-4C79-91F1-06CD55C6F35A}"/>
    <cellStyle name="Normal 5 4 3 2 3 2 2 3" xfId="16255" xr:uid="{B4ABCE64-4D5A-4AAB-ACCC-0B254DF20953}"/>
    <cellStyle name="Normal 5 4 3 2 3 2 3" xfId="20478" xr:uid="{2187DEEA-E04A-42E8-925C-670E8EFDDFE1}"/>
    <cellStyle name="Normal 5 4 3 2 3 2 4" xfId="12037" xr:uid="{5BF5C697-C6AF-4532-AC8B-D952DD0F0A80}"/>
    <cellStyle name="Normal 5 4 3 2 3 3" xfId="5660" xr:uid="{00000000-0005-0000-0000-0000071B0000}"/>
    <cellStyle name="Normal 5 4 3 2 3 3 2" xfId="22551" xr:uid="{8A8C6B9C-C773-4058-BB27-4234D527DCCA}"/>
    <cellStyle name="Normal 5 4 3 2 3 3 3" xfId="14110" xr:uid="{19ADF27E-C884-4116-9968-F0A0114FA139}"/>
    <cellStyle name="Normal 5 4 3 2 3 4" xfId="18333" xr:uid="{CD613D2D-1FD7-4FF9-8E80-FA6CA88469DA}"/>
    <cellStyle name="Normal 5 4 3 2 3 5" xfId="9892" xr:uid="{207EADAD-6E5C-40E1-ADE0-704E5573FC7B}"/>
    <cellStyle name="Normal 5 4 3 2 4" xfId="1766" xr:uid="{00000000-0005-0000-0000-0000081B0000}"/>
    <cellStyle name="Normal 5 4 3 2 4 2" xfId="3996" xr:uid="{00000000-0005-0000-0000-0000091B0000}"/>
    <cellStyle name="Normal 5 4 3 2 4 2 2" xfId="8218" xr:uid="{00000000-0005-0000-0000-00000A1B0000}"/>
    <cellStyle name="Normal 5 4 3 2 4 2 2 2" xfId="25109" xr:uid="{9793355D-4962-4988-93F5-D562697AF4DA}"/>
    <cellStyle name="Normal 5 4 3 2 4 2 2 3" xfId="16668" xr:uid="{2A33DE39-5A20-44A9-A92E-99C212FA21B4}"/>
    <cellStyle name="Normal 5 4 3 2 4 2 3" xfId="20891" xr:uid="{1A2EA818-4464-4450-968B-3FCE69BB3BF0}"/>
    <cellStyle name="Normal 5 4 3 2 4 2 4" xfId="12450" xr:uid="{D4657938-2116-4018-B86F-55EEC0C117ED}"/>
    <cellStyle name="Normal 5 4 3 2 4 3" xfId="6073" xr:uid="{00000000-0005-0000-0000-00000B1B0000}"/>
    <cellStyle name="Normal 5 4 3 2 4 3 2" xfId="22964" xr:uid="{9F849C79-FC88-4F40-9E0C-D96A36770FA6}"/>
    <cellStyle name="Normal 5 4 3 2 4 3 3" xfId="14523" xr:uid="{C0C743AE-50EA-44A8-B69B-4C6715432ACD}"/>
    <cellStyle name="Normal 5 4 3 2 4 4" xfId="18746" xr:uid="{B8BB283D-E56A-4932-AD69-0DB924BE7208}"/>
    <cellStyle name="Normal 5 4 3 2 4 5" xfId="10305" xr:uid="{386BA2BD-1C65-495D-95A1-0BF734EDA370}"/>
    <cellStyle name="Normal 5 4 3 2 5" xfId="2180" xr:uid="{00000000-0005-0000-0000-00000C1B0000}"/>
    <cellStyle name="Normal 5 4 3 2 5 2" xfId="4409" xr:uid="{00000000-0005-0000-0000-00000D1B0000}"/>
    <cellStyle name="Normal 5 4 3 2 5 2 2" xfId="8631" xr:uid="{00000000-0005-0000-0000-00000E1B0000}"/>
    <cellStyle name="Normal 5 4 3 2 5 2 2 2" xfId="25522" xr:uid="{E9080C47-CCAB-4CC8-8A38-EAAB0BA8EE9F}"/>
    <cellStyle name="Normal 5 4 3 2 5 2 2 3" xfId="17081" xr:uid="{B926B4D0-2A85-4ACA-AFFE-1E4E2BA02844}"/>
    <cellStyle name="Normal 5 4 3 2 5 2 3" xfId="21304" xr:uid="{52D6F382-545A-44A2-BB20-F0EF3D1D0E35}"/>
    <cellStyle name="Normal 5 4 3 2 5 2 4" xfId="12863" xr:uid="{0FB45595-B93D-489B-8F53-8D85E7B7C8B5}"/>
    <cellStyle name="Normal 5 4 3 2 5 3" xfId="6486" xr:uid="{00000000-0005-0000-0000-00000F1B0000}"/>
    <cellStyle name="Normal 5 4 3 2 5 3 2" xfId="23377" xr:uid="{2DAE4AD0-FFE4-4422-B1D5-8C9E2B2ABC0D}"/>
    <cellStyle name="Normal 5 4 3 2 5 3 3" xfId="14936" xr:uid="{9FB28131-FD67-4911-809A-C18CC9406DE3}"/>
    <cellStyle name="Normal 5 4 3 2 5 4" xfId="19159" xr:uid="{B3521C76-23A6-45DE-AF90-77FC1C014186}"/>
    <cellStyle name="Normal 5 4 3 2 5 5" xfId="10718" xr:uid="{46E6D48E-EFE4-4D66-A0FC-585C832EDD68}"/>
    <cellStyle name="Normal 5 4 3 2 6" xfId="2616" xr:uid="{00000000-0005-0000-0000-0000101B0000}"/>
    <cellStyle name="Normal 5 4 3 2 6 2" xfId="6899" xr:uid="{00000000-0005-0000-0000-0000111B0000}"/>
    <cellStyle name="Normal 5 4 3 2 6 2 2" xfId="23790" xr:uid="{3BAA4FAF-08E7-488C-8FFB-4A61D16C26BC}"/>
    <cellStyle name="Normal 5 4 3 2 6 2 3" xfId="15349" xr:uid="{3F06C9EF-BA7E-4A47-BABB-5EB73ED975F5}"/>
    <cellStyle name="Normal 5 4 3 2 6 3" xfId="19572" xr:uid="{9171343E-5B9C-40F7-8F6D-E395F846A9F5}"/>
    <cellStyle name="Normal 5 4 3 2 6 4" xfId="11131" xr:uid="{0431CF18-D85B-4105-8BF3-20669AE825F9}"/>
    <cellStyle name="Normal 5 4 3 2 7" xfId="4834" xr:uid="{00000000-0005-0000-0000-0000121B0000}"/>
    <cellStyle name="Normal 5 4 3 2 7 2" xfId="21725" xr:uid="{3E225607-66B3-4BD7-B931-308B20A15794}"/>
    <cellStyle name="Normal 5 4 3 2 7 3" xfId="13284" xr:uid="{5094A842-0C1A-471E-B075-22099948E571}"/>
    <cellStyle name="Normal 5 4 3 2 8" xfId="17507" xr:uid="{F2EE4A2E-02DF-45B6-9449-E4AF107516ED}"/>
    <cellStyle name="Normal 5 4 3 2 9" xfId="9066" xr:uid="{504ED4FD-BF75-4F72-B3F5-BE1CC532B139}"/>
    <cellStyle name="Normal 5 4 3 3" xfId="935" xr:uid="{00000000-0005-0000-0000-0000131B0000}"/>
    <cellStyle name="Normal 5 4 3 3 2" xfId="3169" xr:uid="{00000000-0005-0000-0000-0000141B0000}"/>
    <cellStyle name="Normal 5 4 3 3 2 2" xfId="7391" xr:uid="{00000000-0005-0000-0000-0000151B0000}"/>
    <cellStyle name="Normal 5 4 3 3 2 2 2" xfId="24282" xr:uid="{CEFF9AE9-2CA7-4A3C-BBA9-A6E803EC69CF}"/>
    <cellStyle name="Normal 5 4 3 3 2 2 3" xfId="15841" xr:uid="{1A204403-0575-4F5B-8CB0-1A3CFE7FCDF3}"/>
    <cellStyle name="Normal 5 4 3 3 2 3" xfId="20064" xr:uid="{23174D50-D334-4EAD-A72C-5EB43A24874D}"/>
    <cellStyle name="Normal 5 4 3 3 2 4" xfId="11623" xr:uid="{967F93C6-6FE6-483C-BE08-0DA5A4E619FD}"/>
    <cellStyle name="Normal 5 4 3 3 3" xfId="5246" xr:uid="{00000000-0005-0000-0000-0000161B0000}"/>
    <cellStyle name="Normal 5 4 3 3 3 2" xfId="22137" xr:uid="{E34747EF-F53A-4ADC-9332-D7979411C3E2}"/>
    <cellStyle name="Normal 5 4 3 3 3 3" xfId="13696" xr:uid="{82DB76EA-ACA8-478A-9B88-691806314118}"/>
    <cellStyle name="Normal 5 4 3 3 4" xfId="17919" xr:uid="{5FE05EE8-C7B6-46D7-B500-75A29B01D222}"/>
    <cellStyle name="Normal 5 4 3 3 5" xfId="9478" xr:uid="{C66B9B03-56D1-4BA2-90AA-7DAEA081003E}"/>
    <cellStyle name="Normal 5 4 3 4" xfId="1352" xr:uid="{00000000-0005-0000-0000-0000171B0000}"/>
    <cellStyle name="Normal 5 4 3 4 2" xfId="3582" xr:uid="{00000000-0005-0000-0000-0000181B0000}"/>
    <cellStyle name="Normal 5 4 3 4 2 2" xfId="7804" xr:uid="{00000000-0005-0000-0000-0000191B0000}"/>
    <cellStyle name="Normal 5 4 3 4 2 2 2" xfId="24695" xr:uid="{8F78C337-2BD7-4161-8B09-47B2A3942900}"/>
    <cellStyle name="Normal 5 4 3 4 2 2 3" xfId="16254" xr:uid="{8F8AC8D9-F632-4B83-83BE-DF08C70C4C45}"/>
    <cellStyle name="Normal 5 4 3 4 2 3" xfId="20477" xr:uid="{4BE96AA4-EB06-4BFD-9B46-C728498F501C}"/>
    <cellStyle name="Normal 5 4 3 4 2 4" xfId="12036" xr:uid="{3866FEFA-7190-4A31-A1A7-6E0F9F717F5A}"/>
    <cellStyle name="Normal 5 4 3 4 3" xfId="5659" xr:uid="{00000000-0005-0000-0000-00001A1B0000}"/>
    <cellStyle name="Normal 5 4 3 4 3 2" xfId="22550" xr:uid="{A896CE0D-9DD7-41CD-A53B-350946DC3619}"/>
    <cellStyle name="Normal 5 4 3 4 3 3" xfId="14109" xr:uid="{F9033226-AB81-49A4-8D61-11820E435D1D}"/>
    <cellStyle name="Normal 5 4 3 4 4" xfId="18332" xr:uid="{AC5DFE02-C308-493E-AD9F-C68DE6F94B0D}"/>
    <cellStyle name="Normal 5 4 3 4 5" xfId="9891" xr:uid="{05305818-7201-461B-A229-B81F48738EC1}"/>
    <cellStyle name="Normal 5 4 3 5" xfId="1765" xr:uid="{00000000-0005-0000-0000-00001B1B0000}"/>
    <cellStyle name="Normal 5 4 3 5 2" xfId="3995" xr:uid="{00000000-0005-0000-0000-00001C1B0000}"/>
    <cellStyle name="Normal 5 4 3 5 2 2" xfId="8217" xr:uid="{00000000-0005-0000-0000-00001D1B0000}"/>
    <cellStyle name="Normal 5 4 3 5 2 2 2" xfId="25108" xr:uid="{12CB1FCC-972D-4FD0-8F35-87E3B697DB85}"/>
    <cellStyle name="Normal 5 4 3 5 2 2 3" xfId="16667" xr:uid="{DE74A6DB-5B07-4B55-ADDF-4AFCFF785840}"/>
    <cellStyle name="Normal 5 4 3 5 2 3" xfId="20890" xr:uid="{5EAF1698-4562-4955-B7DD-5F0DD1FD2487}"/>
    <cellStyle name="Normal 5 4 3 5 2 4" xfId="12449" xr:uid="{A14104A4-8911-4F5B-8A85-22B0178FAED3}"/>
    <cellStyle name="Normal 5 4 3 5 3" xfId="6072" xr:uid="{00000000-0005-0000-0000-00001E1B0000}"/>
    <cellStyle name="Normal 5 4 3 5 3 2" xfId="22963" xr:uid="{532272A8-8A47-470A-BE9F-1C38ED8B33FC}"/>
    <cellStyle name="Normal 5 4 3 5 3 3" xfId="14522" xr:uid="{6DEBED81-C262-4497-A4F7-C12BB28C9341}"/>
    <cellStyle name="Normal 5 4 3 5 4" xfId="18745" xr:uid="{9B851A32-FE3B-4B89-9A0B-6F9BA9EF9D3B}"/>
    <cellStyle name="Normal 5 4 3 5 5" xfId="10304" xr:uid="{C15B5E6F-78B1-498F-9D03-F67641A7BF6C}"/>
    <cellStyle name="Normal 5 4 3 6" xfId="2179" xr:uid="{00000000-0005-0000-0000-00001F1B0000}"/>
    <cellStyle name="Normal 5 4 3 6 2" xfId="4408" xr:uid="{00000000-0005-0000-0000-0000201B0000}"/>
    <cellStyle name="Normal 5 4 3 6 2 2" xfId="8630" xr:uid="{00000000-0005-0000-0000-0000211B0000}"/>
    <cellStyle name="Normal 5 4 3 6 2 2 2" xfId="25521" xr:uid="{01558327-CE39-4044-9912-2D948A0BAC07}"/>
    <cellStyle name="Normal 5 4 3 6 2 2 3" xfId="17080" xr:uid="{2AAF7E7F-697B-4A22-A895-ABF3C1A47044}"/>
    <cellStyle name="Normal 5 4 3 6 2 3" xfId="21303" xr:uid="{699939B9-5D1C-4BE9-A53A-B6AC633825CD}"/>
    <cellStyle name="Normal 5 4 3 6 2 4" xfId="12862" xr:uid="{0C9EE917-45D4-4F30-B6BB-CF362663ABB3}"/>
    <cellStyle name="Normal 5 4 3 6 3" xfId="6485" xr:uid="{00000000-0005-0000-0000-0000221B0000}"/>
    <cellStyle name="Normal 5 4 3 6 3 2" xfId="23376" xr:uid="{6FB30045-61FE-44DA-83FB-DF262226738A}"/>
    <cellStyle name="Normal 5 4 3 6 3 3" xfId="14935" xr:uid="{C8C36DA9-206D-412E-9C57-85C3FF7A6208}"/>
    <cellStyle name="Normal 5 4 3 6 4" xfId="19158" xr:uid="{A6E7CD69-5434-4B5A-904A-4CAC127645A3}"/>
    <cellStyle name="Normal 5 4 3 6 5" xfId="10717" xr:uid="{55925C27-7E1B-4CFF-A7A6-41B742E535F2}"/>
    <cellStyle name="Normal 5 4 3 7" xfId="2615" xr:uid="{00000000-0005-0000-0000-0000231B0000}"/>
    <cellStyle name="Normal 5 4 3 7 2" xfId="6898" xr:uid="{00000000-0005-0000-0000-0000241B0000}"/>
    <cellStyle name="Normal 5 4 3 7 2 2" xfId="23789" xr:uid="{0BEEFDB0-AA7C-4D97-8A47-08E274078916}"/>
    <cellStyle name="Normal 5 4 3 7 2 3" xfId="15348" xr:uid="{98629C5B-F5B9-4AD1-B672-F2EC218AD8B1}"/>
    <cellStyle name="Normal 5 4 3 7 3" xfId="19571" xr:uid="{135D95BB-3F35-4167-B907-7D24B5D0F931}"/>
    <cellStyle name="Normal 5 4 3 7 4" xfId="11130" xr:uid="{A595F074-8FAB-4E8E-A50B-C5B20AFC1F30}"/>
    <cellStyle name="Normal 5 4 3 8" xfId="4833" xr:uid="{00000000-0005-0000-0000-0000251B0000}"/>
    <cellStyle name="Normal 5 4 3 8 2" xfId="21724" xr:uid="{969CA833-D124-4444-B144-898369E7DF5B}"/>
    <cellStyle name="Normal 5 4 3 8 3" xfId="13283" xr:uid="{250FFEB9-CFE4-4599-BB8B-8F803A0822E6}"/>
    <cellStyle name="Normal 5 4 3 9" xfId="17506" xr:uid="{59943CE8-E9AE-4B77-944F-6BD2CAF1CEFB}"/>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2 2 2" xfId="24284" xr:uid="{367938EB-34A5-4862-ADDC-54EE2CC9975F}"/>
    <cellStyle name="Normal 5 4 4 2 2 2 3" xfId="15843" xr:uid="{46B811A1-7463-4ED4-9E8D-178995DC7A6F}"/>
    <cellStyle name="Normal 5 4 4 2 2 3" xfId="20066" xr:uid="{923F57DB-84F0-4538-A87E-3122FBB9BAA1}"/>
    <cellStyle name="Normal 5 4 4 2 2 4" xfId="11625" xr:uid="{E5E223B6-6A9D-4E89-B678-3D88134F9BAA}"/>
    <cellStyle name="Normal 5 4 4 2 3" xfId="5248" xr:uid="{00000000-0005-0000-0000-00002A1B0000}"/>
    <cellStyle name="Normal 5 4 4 2 3 2" xfId="22139" xr:uid="{97DC7B6F-1CF3-4B49-BD3B-D67F33C150B5}"/>
    <cellStyle name="Normal 5 4 4 2 3 3" xfId="13698" xr:uid="{8FE01ABE-2D6D-4030-BBCA-25CBC52EA013}"/>
    <cellStyle name="Normal 5 4 4 2 4" xfId="17921" xr:uid="{BB237581-D728-4267-83BA-B6B9A5C6E2CE}"/>
    <cellStyle name="Normal 5 4 4 2 5" xfId="9480" xr:uid="{F5B5A4E5-D549-4778-AC42-614790E3CA77}"/>
    <cellStyle name="Normal 5 4 4 3" xfId="1354" xr:uid="{00000000-0005-0000-0000-00002B1B0000}"/>
    <cellStyle name="Normal 5 4 4 3 2" xfId="3584" xr:uid="{00000000-0005-0000-0000-00002C1B0000}"/>
    <cellStyle name="Normal 5 4 4 3 2 2" xfId="7806" xr:uid="{00000000-0005-0000-0000-00002D1B0000}"/>
    <cellStyle name="Normal 5 4 4 3 2 2 2" xfId="24697" xr:uid="{6AD21A95-397D-4401-A1D6-FF7B4EC0768A}"/>
    <cellStyle name="Normal 5 4 4 3 2 2 3" xfId="16256" xr:uid="{D7AADE40-A626-47DE-9A98-470F14226010}"/>
    <cellStyle name="Normal 5 4 4 3 2 3" xfId="20479" xr:uid="{59154E5A-0BC1-486C-A919-C55E7B0CF934}"/>
    <cellStyle name="Normal 5 4 4 3 2 4" xfId="12038" xr:uid="{E27CD32C-EDA3-4899-814A-BE00A75C5E43}"/>
    <cellStyle name="Normal 5 4 4 3 3" xfId="5661" xr:uid="{00000000-0005-0000-0000-00002E1B0000}"/>
    <cellStyle name="Normal 5 4 4 3 3 2" xfId="22552" xr:uid="{E6F72037-0135-4D19-9534-B23497980FAE}"/>
    <cellStyle name="Normal 5 4 4 3 3 3" xfId="14111" xr:uid="{7A5532E1-BA6F-4AF4-914A-B830DDDAD705}"/>
    <cellStyle name="Normal 5 4 4 3 4" xfId="18334" xr:uid="{CF87E742-3990-4FEA-8714-AA7BA92AF8A9}"/>
    <cellStyle name="Normal 5 4 4 3 5" xfId="9893" xr:uid="{B967C46E-F362-489A-A3A0-284A55A026A0}"/>
    <cellStyle name="Normal 5 4 4 4" xfId="1767" xr:uid="{00000000-0005-0000-0000-00002F1B0000}"/>
    <cellStyle name="Normal 5 4 4 4 2" xfId="3997" xr:uid="{00000000-0005-0000-0000-0000301B0000}"/>
    <cellStyle name="Normal 5 4 4 4 2 2" xfId="8219" xr:uid="{00000000-0005-0000-0000-0000311B0000}"/>
    <cellStyle name="Normal 5 4 4 4 2 2 2" xfId="25110" xr:uid="{49DE5770-D26F-4520-B1F7-B9397AD1B2EB}"/>
    <cellStyle name="Normal 5 4 4 4 2 2 3" xfId="16669" xr:uid="{A038EBB1-9B28-4DF0-8BD4-0383E2C38CD9}"/>
    <cellStyle name="Normal 5 4 4 4 2 3" xfId="20892" xr:uid="{B4E89979-15AB-4CE5-86AB-231E1D786B8B}"/>
    <cellStyle name="Normal 5 4 4 4 2 4" xfId="12451" xr:uid="{3D1002FB-854E-4BAC-B8E7-093ECA62CA81}"/>
    <cellStyle name="Normal 5 4 4 4 3" xfId="6074" xr:uid="{00000000-0005-0000-0000-0000321B0000}"/>
    <cellStyle name="Normal 5 4 4 4 3 2" xfId="22965" xr:uid="{F24BC4B8-A4A3-4F95-AA43-313604922E6B}"/>
    <cellStyle name="Normal 5 4 4 4 3 3" xfId="14524" xr:uid="{9B201B4C-FE25-4CEA-9FA9-FA479E01FCBE}"/>
    <cellStyle name="Normal 5 4 4 4 4" xfId="18747" xr:uid="{BE488BF8-08B7-43DC-A875-95EDAEE4B2DB}"/>
    <cellStyle name="Normal 5 4 4 4 5" xfId="10306" xr:uid="{6FD5DA5B-9E67-47E6-940A-6005D2477C0B}"/>
    <cellStyle name="Normal 5 4 4 5" xfId="2181" xr:uid="{00000000-0005-0000-0000-0000331B0000}"/>
    <cellStyle name="Normal 5 4 4 5 2" xfId="4410" xr:uid="{00000000-0005-0000-0000-0000341B0000}"/>
    <cellStyle name="Normal 5 4 4 5 2 2" xfId="8632" xr:uid="{00000000-0005-0000-0000-0000351B0000}"/>
    <cellStyle name="Normal 5 4 4 5 2 2 2" xfId="25523" xr:uid="{9255B08D-CC39-4466-B6A7-8022854F173C}"/>
    <cellStyle name="Normal 5 4 4 5 2 2 3" xfId="17082" xr:uid="{ABCFC1F8-B162-4B7C-AF41-F0452C706DE6}"/>
    <cellStyle name="Normal 5 4 4 5 2 3" xfId="21305" xr:uid="{15E4D2BF-4F1D-4968-8818-A68F9DA9887F}"/>
    <cellStyle name="Normal 5 4 4 5 2 4" xfId="12864" xr:uid="{7661A0CC-0C33-4CCD-9CE5-413810DBEB33}"/>
    <cellStyle name="Normal 5 4 4 5 3" xfId="6487" xr:uid="{00000000-0005-0000-0000-0000361B0000}"/>
    <cellStyle name="Normal 5 4 4 5 3 2" xfId="23378" xr:uid="{BE24F142-A9A9-4AE7-A215-3F00816A6B81}"/>
    <cellStyle name="Normal 5 4 4 5 3 3" xfId="14937" xr:uid="{38602BE0-B4E0-4B2E-BD8E-1F5AAB4F9A9B}"/>
    <cellStyle name="Normal 5 4 4 5 4" xfId="19160" xr:uid="{A1134F72-2321-4F0D-89F0-73D0F111064B}"/>
    <cellStyle name="Normal 5 4 4 5 5" xfId="10719" xr:uid="{9CDDB5BD-A2DF-437A-A0E7-CE63B49E3399}"/>
    <cellStyle name="Normal 5 4 4 6" xfId="2617" xr:uid="{00000000-0005-0000-0000-0000371B0000}"/>
    <cellStyle name="Normal 5 4 4 6 2" xfId="6900" xr:uid="{00000000-0005-0000-0000-0000381B0000}"/>
    <cellStyle name="Normal 5 4 4 6 2 2" xfId="23791" xr:uid="{6E278539-6015-40C5-9B99-89D4509403B0}"/>
    <cellStyle name="Normal 5 4 4 6 2 3" xfId="15350" xr:uid="{C16FCBD8-3742-492C-B604-6872175AD663}"/>
    <cellStyle name="Normal 5 4 4 6 3" xfId="19573" xr:uid="{CE47242F-5F0D-4E87-92B4-6D4BE686BC67}"/>
    <cellStyle name="Normal 5 4 4 6 4" xfId="11132" xr:uid="{B2922FEE-384C-4F1D-A464-FDF45669A296}"/>
    <cellStyle name="Normal 5 4 4 7" xfId="4835" xr:uid="{00000000-0005-0000-0000-0000391B0000}"/>
    <cellStyle name="Normal 5 4 4 7 2" xfId="21726" xr:uid="{BB9E7DCD-1C3E-4708-9ED8-892BA87E5A05}"/>
    <cellStyle name="Normal 5 4 4 7 3" xfId="13285" xr:uid="{B6585917-191C-40DF-AF5B-75B2ED1C6008}"/>
    <cellStyle name="Normal 5 4 4 8" xfId="17508" xr:uid="{F76B71D1-36DD-47E7-9CF4-7C317BB5A0C9}"/>
    <cellStyle name="Normal 5 4 4 9" xfId="9067" xr:uid="{8842464C-5769-4979-AD3F-8D53B0190356}"/>
    <cellStyle name="Normal 5 4 5" xfId="930" xr:uid="{00000000-0005-0000-0000-00003A1B0000}"/>
    <cellStyle name="Normal 5 4 5 2" xfId="3164" xr:uid="{00000000-0005-0000-0000-00003B1B0000}"/>
    <cellStyle name="Normal 5 4 5 2 2" xfId="7386" xr:uid="{00000000-0005-0000-0000-00003C1B0000}"/>
    <cellStyle name="Normal 5 4 5 2 2 2" xfId="24277" xr:uid="{BA14AD6F-3B70-4D84-9AD2-3F769017A3C8}"/>
    <cellStyle name="Normal 5 4 5 2 2 3" xfId="15836" xr:uid="{C935D77B-B2AD-4756-99EA-E5FC1FCD720A}"/>
    <cellStyle name="Normal 5 4 5 2 3" xfId="20059" xr:uid="{36D6720F-B9E0-41EF-AB69-1BAC835981FD}"/>
    <cellStyle name="Normal 5 4 5 2 4" xfId="11618" xr:uid="{A5DA3300-269D-4BAF-850B-10A8117766D4}"/>
    <cellStyle name="Normal 5 4 5 3" xfId="5241" xr:uid="{00000000-0005-0000-0000-00003D1B0000}"/>
    <cellStyle name="Normal 5 4 5 3 2" xfId="22132" xr:uid="{5BB0D452-D57D-4C7B-AAFE-DA3C98FA683B}"/>
    <cellStyle name="Normal 5 4 5 3 3" xfId="13691" xr:uid="{B8BAF359-0CC4-4F82-82D2-03D0EA7E86C5}"/>
    <cellStyle name="Normal 5 4 5 4" xfId="17914" xr:uid="{1211A961-B5E7-4596-BCC2-C3CF5B7FF0C2}"/>
    <cellStyle name="Normal 5 4 5 5" xfId="9473" xr:uid="{69E54B48-2A02-40F6-B760-639205B615F3}"/>
    <cellStyle name="Normal 5 4 6" xfId="1347" xr:uid="{00000000-0005-0000-0000-00003E1B0000}"/>
    <cellStyle name="Normal 5 4 6 2" xfId="3577" xr:uid="{00000000-0005-0000-0000-00003F1B0000}"/>
    <cellStyle name="Normal 5 4 6 2 2" xfId="7799" xr:uid="{00000000-0005-0000-0000-0000401B0000}"/>
    <cellStyle name="Normal 5 4 6 2 2 2" xfId="24690" xr:uid="{B7C2797D-A4DD-431C-8E04-1262FFBB293C}"/>
    <cellStyle name="Normal 5 4 6 2 2 3" xfId="16249" xr:uid="{20DA64AC-2677-4FD1-8D94-37A060FAA969}"/>
    <cellStyle name="Normal 5 4 6 2 3" xfId="20472" xr:uid="{ED6C1AA3-C8D9-4E2C-B78A-97695EDFBA69}"/>
    <cellStyle name="Normal 5 4 6 2 4" xfId="12031" xr:uid="{768428CB-31A2-475A-84EE-EB4D1E6E24E4}"/>
    <cellStyle name="Normal 5 4 6 3" xfId="5654" xr:uid="{00000000-0005-0000-0000-0000411B0000}"/>
    <cellStyle name="Normal 5 4 6 3 2" xfId="22545" xr:uid="{2ED79D72-6500-4107-9EB4-AC86CEF5F62E}"/>
    <cellStyle name="Normal 5 4 6 3 3" xfId="14104" xr:uid="{43D2DD19-0F73-4C83-86AC-F54C9CE66644}"/>
    <cellStyle name="Normal 5 4 6 4" xfId="18327" xr:uid="{EAB6B0B7-BEAB-44AB-9365-DE5828AE43DB}"/>
    <cellStyle name="Normal 5 4 6 5" xfId="9886" xr:uid="{FB4FE040-ED10-4BFB-8019-0B79B21D2BB5}"/>
    <cellStyle name="Normal 5 4 7" xfId="1760" xr:uid="{00000000-0005-0000-0000-0000421B0000}"/>
    <cellStyle name="Normal 5 4 7 2" xfId="3990" xr:uid="{00000000-0005-0000-0000-0000431B0000}"/>
    <cellStyle name="Normal 5 4 7 2 2" xfId="8212" xr:uid="{00000000-0005-0000-0000-0000441B0000}"/>
    <cellStyle name="Normal 5 4 7 2 2 2" xfId="25103" xr:uid="{F0C2E966-F93B-4724-9DCE-6B236F0E40BC}"/>
    <cellStyle name="Normal 5 4 7 2 2 3" xfId="16662" xr:uid="{9B252836-47C8-4A7E-8946-77C00E43C9E1}"/>
    <cellStyle name="Normal 5 4 7 2 3" xfId="20885" xr:uid="{2119B495-6B39-42BE-BF33-05BBB94995C9}"/>
    <cellStyle name="Normal 5 4 7 2 4" xfId="12444" xr:uid="{DD1DBEA0-F704-4472-81A1-CA59A611F8FB}"/>
    <cellStyle name="Normal 5 4 7 3" xfId="6067" xr:uid="{00000000-0005-0000-0000-0000451B0000}"/>
    <cellStyle name="Normal 5 4 7 3 2" xfId="22958" xr:uid="{39048DA5-1F11-47C6-8861-2F781EB0E5DD}"/>
    <cellStyle name="Normal 5 4 7 3 3" xfId="14517" xr:uid="{DCCEBA21-256C-4AD7-B283-69FA3303FD10}"/>
    <cellStyle name="Normal 5 4 7 4" xfId="18740" xr:uid="{288A6451-275B-416D-AD46-605FC2B52B03}"/>
    <cellStyle name="Normal 5 4 7 5" xfId="10299" xr:uid="{AC1CB118-93A2-4AEF-9CBC-13F3A93895D4}"/>
    <cellStyle name="Normal 5 4 8" xfId="2174" xr:uid="{00000000-0005-0000-0000-0000461B0000}"/>
    <cellStyle name="Normal 5 4 8 2" xfId="4403" xr:uid="{00000000-0005-0000-0000-0000471B0000}"/>
    <cellStyle name="Normal 5 4 8 2 2" xfId="8625" xr:uid="{00000000-0005-0000-0000-0000481B0000}"/>
    <cellStyle name="Normal 5 4 8 2 2 2" xfId="25516" xr:uid="{FE257E5A-76C2-49F0-A7ED-81B677C61614}"/>
    <cellStyle name="Normal 5 4 8 2 2 3" xfId="17075" xr:uid="{51A8569F-07D4-4705-84A4-FFF0B8F526CF}"/>
    <cellStyle name="Normal 5 4 8 2 3" xfId="21298" xr:uid="{2D41E590-6722-4E2F-84CC-0EE8E383BA5B}"/>
    <cellStyle name="Normal 5 4 8 2 4" xfId="12857" xr:uid="{FC122FE0-71E4-4803-BC51-BA12E6282ADB}"/>
    <cellStyle name="Normal 5 4 8 3" xfId="6480" xr:uid="{00000000-0005-0000-0000-0000491B0000}"/>
    <cellStyle name="Normal 5 4 8 3 2" xfId="23371" xr:uid="{AEA19D8B-AC15-4FAF-BF63-048616CCB8F0}"/>
    <cellStyle name="Normal 5 4 8 3 3" xfId="14930" xr:uid="{1050C34E-BEB6-43B5-9DFB-A5D8607D94C1}"/>
    <cellStyle name="Normal 5 4 8 4" xfId="19153" xr:uid="{37FA8B2B-5DA8-4A9E-A665-DB2B65FABA2A}"/>
    <cellStyle name="Normal 5 4 8 5" xfId="10712" xr:uid="{6F3B5D6A-9830-492F-B4F3-A1DECB1239E2}"/>
    <cellStyle name="Normal 5 4 9" xfId="2610" xr:uid="{00000000-0005-0000-0000-00004A1B0000}"/>
    <cellStyle name="Normal 5 4 9 2" xfId="6893" xr:uid="{00000000-0005-0000-0000-00004B1B0000}"/>
    <cellStyle name="Normal 5 4 9 2 2" xfId="23784" xr:uid="{E9AC532E-5FC4-498A-ACD6-24D314FFBB5C}"/>
    <cellStyle name="Normal 5 4 9 2 3" xfId="15343" xr:uid="{A7457662-0889-4281-8927-BF49E68E6633}"/>
    <cellStyle name="Normal 5 4 9 3" xfId="19566" xr:uid="{0F6645C5-7873-40AB-A159-89759E55400B}"/>
    <cellStyle name="Normal 5 4 9 4" xfId="11125" xr:uid="{EAB9430B-C2B7-427E-9D1E-372551F66B78}"/>
    <cellStyle name="Normal 5 5" xfId="464" xr:uid="{00000000-0005-0000-0000-00004C1B0000}"/>
    <cellStyle name="Normal 5 5 10" xfId="17509" xr:uid="{8A9DCFE4-3E8E-4E61-B4F1-3F9BA9D7638C}"/>
    <cellStyle name="Normal 5 5 11" xfId="9068" xr:uid="{D0E6A38C-A339-4A33-AA56-617C6B47A2C6}"/>
    <cellStyle name="Normal 5 5 2" xfId="465" xr:uid="{00000000-0005-0000-0000-00004D1B0000}"/>
    <cellStyle name="Normal 5 5 2 10" xfId="9069" xr:uid="{011DB375-1617-4BE4-8E21-619A3AFD7B0E}"/>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2 2 2" xfId="24287" xr:uid="{91511014-D095-4EE4-8CB9-80ED47682850}"/>
    <cellStyle name="Normal 5 5 2 2 2 2 2 3" xfId="15846" xr:uid="{9174CAA1-DB25-4716-A6C9-19F13BBE4FED}"/>
    <cellStyle name="Normal 5 5 2 2 2 2 3" xfId="20069" xr:uid="{65FC28EA-728B-4C47-99FA-9B9AD73F448D}"/>
    <cellStyle name="Normal 5 5 2 2 2 2 4" xfId="11628" xr:uid="{9C957421-A00C-46B6-BFF2-4A74D607FF62}"/>
    <cellStyle name="Normal 5 5 2 2 2 3" xfId="5251" xr:uid="{00000000-0005-0000-0000-0000521B0000}"/>
    <cellStyle name="Normal 5 5 2 2 2 3 2" xfId="22142" xr:uid="{93268DCF-6070-4346-A0B1-5775AE5BD21E}"/>
    <cellStyle name="Normal 5 5 2 2 2 3 3" xfId="13701" xr:uid="{3044DB8E-92B8-4D39-867B-16DA62D9C634}"/>
    <cellStyle name="Normal 5 5 2 2 2 4" xfId="17924" xr:uid="{51660E6B-2393-4F9C-AB93-19D1241D4856}"/>
    <cellStyle name="Normal 5 5 2 2 2 5" xfId="9483" xr:uid="{E654E4C0-1E31-4D5E-9365-58175AD970A8}"/>
    <cellStyle name="Normal 5 5 2 2 3" xfId="1357" xr:uid="{00000000-0005-0000-0000-0000531B0000}"/>
    <cellStyle name="Normal 5 5 2 2 3 2" xfId="3587" xr:uid="{00000000-0005-0000-0000-0000541B0000}"/>
    <cellStyle name="Normal 5 5 2 2 3 2 2" xfId="7809" xr:uid="{00000000-0005-0000-0000-0000551B0000}"/>
    <cellStyle name="Normal 5 5 2 2 3 2 2 2" xfId="24700" xr:uid="{B5339F0A-88BC-44C8-ABF7-BEE1DB58ADA7}"/>
    <cellStyle name="Normal 5 5 2 2 3 2 2 3" xfId="16259" xr:uid="{3C0D2044-DC7D-4778-BB04-E8D3DCE780F5}"/>
    <cellStyle name="Normal 5 5 2 2 3 2 3" xfId="20482" xr:uid="{B05F714D-40B7-4EC5-B6F4-3D6580581073}"/>
    <cellStyle name="Normal 5 5 2 2 3 2 4" xfId="12041" xr:uid="{B62D223A-CDC9-4350-B843-2848F8204FD3}"/>
    <cellStyle name="Normal 5 5 2 2 3 3" xfId="5664" xr:uid="{00000000-0005-0000-0000-0000561B0000}"/>
    <cellStyle name="Normal 5 5 2 2 3 3 2" xfId="22555" xr:uid="{152CD928-CC2D-498A-A199-D144AFD66F8D}"/>
    <cellStyle name="Normal 5 5 2 2 3 3 3" xfId="14114" xr:uid="{0842A7B4-B348-4B9F-9335-FBCF384D21B9}"/>
    <cellStyle name="Normal 5 5 2 2 3 4" xfId="18337" xr:uid="{8592A252-59B2-43A5-8584-7552FBEB2650}"/>
    <cellStyle name="Normal 5 5 2 2 3 5" xfId="9896" xr:uid="{5DFD3DE9-7A00-404F-B6AF-AF664B9BC499}"/>
    <cellStyle name="Normal 5 5 2 2 4" xfId="1770" xr:uid="{00000000-0005-0000-0000-0000571B0000}"/>
    <cellStyle name="Normal 5 5 2 2 4 2" xfId="4000" xr:uid="{00000000-0005-0000-0000-0000581B0000}"/>
    <cellStyle name="Normal 5 5 2 2 4 2 2" xfId="8222" xr:uid="{00000000-0005-0000-0000-0000591B0000}"/>
    <cellStyle name="Normal 5 5 2 2 4 2 2 2" xfId="25113" xr:uid="{D7EBE0BF-7003-4B92-A25C-277E5839C0B9}"/>
    <cellStyle name="Normal 5 5 2 2 4 2 2 3" xfId="16672" xr:uid="{DBEEE715-97C3-4184-972B-3E6695891AF1}"/>
    <cellStyle name="Normal 5 5 2 2 4 2 3" xfId="20895" xr:uid="{38EBB141-C7C7-40CA-B654-2969AA84FDFD}"/>
    <cellStyle name="Normal 5 5 2 2 4 2 4" xfId="12454" xr:uid="{CAE022E1-D54C-4EF7-ADF7-891A9A1FCD2A}"/>
    <cellStyle name="Normal 5 5 2 2 4 3" xfId="6077" xr:uid="{00000000-0005-0000-0000-00005A1B0000}"/>
    <cellStyle name="Normal 5 5 2 2 4 3 2" xfId="22968" xr:uid="{668C6FB4-88E0-4CCB-A828-4498AF4E67F3}"/>
    <cellStyle name="Normal 5 5 2 2 4 3 3" xfId="14527" xr:uid="{A1B743B3-29F0-404E-BA4D-21F9B3B89C15}"/>
    <cellStyle name="Normal 5 5 2 2 4 4" xfId="18750" xr:uid="{2231018F-E3C5-49D7-8BD3-FEAE8AEE4C0B}"/>
    <cellStyle name="Normal 5 5 2 2 4 5" xfId="10309" xr:uid="{EBB291A8-3849-48C6-8131-378410AC8323}"/>
    <cellStyle name="Normal 5 5 2 2 5" xfId="2184" xr:uid="{00000000-0005-0000-0000-00005B1B0000}"/>
    <cellStyle name="Normal 5 5 2 2 5 2" xfId="4413" xr:uid="{00000000-0005-0000-0000-00005C1B0000}"/>
    <cellStyle name="Normal 5 5 2 2 5 2 2" xfId="8635" xr:uid="{00000000-0005-0000-0000-00005D1B0000}"/>
    <cellStyle name="Normal 5 5 2 2 5 2 2 2" xfId="25526" xr:uid="{3FE9D885-9AEB-48E3-BB4D-B15FF3F9928E}"/>
    <cellStyle name="Normal 5 5 2 2 5 2 2 3" xfId="17085" xr:uid="{7E666E99-9097-4E93-9536-227C0E27BD8E}"/>
    <cellStyle name="Normal 5 5 2 2 5 2 3" xfId="21308" xr:uid="{64366A2E-980D-436E-B7C5-83FA154C6EC3}"/>
    <cellStyle name="Normal 5 5 2 2 5 2 4" xfId="12867" xr:uid="{BC852215-C8D5-415A-AA44-56B4E70E2EF8}"/>
    <cellStyle name="Normal 5 5 2 2 5 3" xfId="6490" xr:uid="{00000000-0005-0000-0000-00005E1B0000}"/>
    <cellStyle name="Normal 5 5 2 2 5 3 2" xfId="23381" xr:uid="{D0361993-D329-4746-B376-7B354710B73E}"/>
    <cellStyle name="Normal 5 5 2 2 5 3 3" xfId="14940" xr:uid="{9D52880E-1F33-4DAE-972D-E553D7CBF877}"/>
    <cellStyle name="Normal 5 5 2 2 5 4" xfId="19163" xr:uid="{9768DA5D-A270-4804-91DA-FB0213859233}"/>
    <cellStyle name="Normal 5 5 2 2 5 5" xfId="10722" xr:uid="{28286F93-7952-46D7-955E-9B33619F3FB2}"/>
    <cellStyle name="Normal 5 5 2 2 6" xfId="2620" xr:uid="{00000000-0005-0000-0000-00005F1B0000}"/>
    <cellStyle name="Normal 5 5 2 2 6 2" xfId="6903" xr:uid="{00000000-0005-0000-0000-0000601B0000}"/>
    <cellStyle name="Normal 5 5 2 2 6 2 2" xfId="23794" xr:uid="{C9ECC581-3FDF-49C6-B9C9-8745BB515A40}"/>
    <cellStyle name="Normal 5 5 2 2 6 2 3" xfId="15353" xr:uid="{D9A8E360-9A9C-4C84-BE1D-144D78C8E1AA}"/>
    <cellStyle name="Normal 5 5 2 2 6 3" xfId="19576" xr:uid="{EF17BB63-BA5C-4EBE-940E-A7FD6C9259A3}"/>
    <cellStyle name="Normal 5 5 2 2 6 4" xfId="11135" xr:uid="{339FF046-D643-4883-9C2D-BEA56000B96D}"/>
    <cellStyle name="Normal 5 5 2 2 7" xfId="4838" xr:uid="{00000000-0005-0000-0000-0000611B0000}"/>
    <cellStyle name="Normal 5 5 2 2 7 2" xfId="21729" xr:uid="{5573ECE4-D202-45DC-91EC-7D0A5D6C57A4}"/>
    <cellStyle name="Normal 5 5 2 2 7 3" xfId="13288" xr:uid="{4462CE6B-0F03-4AD2-95DB-BB483B83C191}"/>
    <cellStyle name="Normal 5 5 2 2 8" xfId="17511" xr:uid="{FA2F4AEA-2F9A-4C6E-AB23-53745E4FB442}"/>
    <cellStyle name="Normal 5 5 2 2 9" xfId="9070" xr:uid="{A1088097-D85B-42A4-B837-242EE291BD05}"/>
    <cellStyle name="Normal 5 5 2 3" xfId="939" xr:uid="{00000000-0005-0000-0000-0000621B0000}"/>
    <cellStyle name="Normal 5 5 2 3 2" xfId="3173" xr:uid="{00000000-0005-0000-0000-0000631B0000}"/>
    <cellStyle name="Normal 5 5 2 3 2 2" xfId="7395" xr:uid="{00000000-0005-0000-0000-0000641B0000}"/>
    <cellStyle name="Normal 5 5 2 3 2 2 2" xfId="24286" xr:uid="{2F6F23C7-F7F5-4EA0-A4DF-42A3BE6D49BC}"/>
    <cellStyle name="Normal 5 5 2 3 2 2 3" xfId="15845" xr:uid="{1059207E-BECC-450F-9CC9-A080B8C28194}"/>
    <cellStyle name="Normal 5 5 2 3 2 3" xfId="20068" xr:uid="{8794ADAB-7CE3-427F-BC22-EB20530D6F2A}"/>
    <cellStyle name="Normal 5 5 2 3 2 4" xfId="11627" xr:uid="{C6D10D79-97A6-408F-929D-4DA87660EB57}"/>
    <cellStyle name="Normal 5 5 2 3 3" xfId="5250" xr:uid="{00000000-0005-0000-0000-0000651B0000}"/>
    <cellStyle name="Normal 5 5 2 3 3 2" xfId="22141" xr:uid="{AD95814A-8B19-4341-A6CD-2BF26BA7F4C4}"/>
    <cellStyle name="Normal 5 5 2 3 3 3" xfId="13700" xr:uid="{472394EB-929D-4AB4-B40E-A9BC34B72474}"/>
    <cellStyle name="Normal 5 5 2 3 4" xfId="17923" xr:uid="{80A10C8C-EA66-45C0-943B-52A7A9D474EC}"/>
    <cellStyle name="Normal 5 5 2 3 5" xfId="9482" xr:uid="{90ED8735-9DB0-4F01-B988-7C0085658DB6}"/>
    <cellStyle name="Normal 5 5 2 4" xfId="1356" xr:uid="{00000000-0005-0000-0000-0000661B0000}"/>
    <cellStyle name="Normal 5 5 2 4 2" xfId="3586" xr:uid="{00000000-0005-0000-0000-0000671B0000}"/>
    <cellStyle name="Normal 5 5 2 4 2 2" xfId="7808" xr:uid="{00000000-0005-0000-0000-0000681B0000}"/>
    <cellStyle name="Normal 5 5 2 4 2 2 2" xfId="24699" xr:uid="{DA4A3D1B-F0FA-40AE-94AA-E78FBAEEE09D}"/>
    <cellStyle name="Normal 5 5 2 4 2 2 3" xfId="16258" xr:uid="{91B78CEC-D1EC-4F0F-A856-C83DC34F2717}"/>
    <cellStyle name="Normal 5 5 2 4 2 3" xfId="20481" xr:uid="{2D0988C2-283E-43BB-AF8F-F7233A9F7022}"/>
    <cellStyle name="Normal 5 5 2 4 2 4" xfId="12040" xr:uid="{E7BA443E-B17C-4CCB-8A47-4E17AC696F39}"/>
    <cellStyle name="Normal 5 5 2 4 3" xfId="5663" xr:uid="{00000000-0005-0000-0000-0000691B0000}"/>
    <cellStyle name="Normal 5 5 2 4 3 2" xfId="22554" xr:uid="{2C8549C7-C513-4EB6-BB9B-32D31AA7D165}"/>
    <cellStyle name="Normal 5 5 2 4 3 3" xfId="14113" xr:uid="{F2185F41-2532-4892-A0E8-C0721A770B3D}"/>
    <cellStyle name="Normal 5 5 2 4 4" xfId="18336" xr:uid="{B0521C52-6CDB-47BB-8F93-CE4FB98AEA0F}"/>
    <cellStyle name="Normal 5 5 2 4 5" xfId="9895" xr:uid="{4BAD5047-EDDC-4B64-B497-F681CA719466}"/>
    <cellStyle name="Normal 5 5 2 5" xfId="1769" xr:uid="{00000000-0005-0000-0000-00006A1B0000}"/>
    <cellStyle name="Normal 5 5 2 5 2" xfId="3999" xr:uid="{00000000-0005-0000-0000-00006B1B0000}"/>
    <cellStyle name="Normal 5 5 2 5 2 2" xfId="8221" xr:uid="{00000000-0005-0000-0000-00006C1B0000}"/>
    <cellStyle name="Normal 5 5 2 5 2 2 2" xfId="25112" xr:uid="{4962C118-0AF6-4542-BD78-EED3A7F95149}"/>
    <cellStyle name="Normal 5 5 2 5 2 2 3" xfId="16671" xr:uid="{E5D9A959-5C62-48DA-82E7-84AE782AC9A3}"/>
    <cellStyle name="Normal 5 5 2 5 2 3" xfId="20894" xr:uid="{AC2B7C6D-CA77-4492-902F-EAF0AD5016FC}"/>
    <cellStyle name="Normal 5 5 2 5 2 4" xfId="12453" xr:uid="{A98E50D5-73E6-46E9-8A9E-91BD73D41502}"/>
    <cellStyle name="Normal 5 5 2 5 3" xfId="6076" xr:uid="{00000000-0005-0000-0000-00006D1B0000}"/>
    <cellStyle name="Normal 5 5 2 5 3 2" xfId="22967" xr:uid="{82969AF1-A23B-40B9-965C-8431A04B1E1D}"/>
    <cellStyle name="Normal 5 5 2 5 3 3" xfId="14526" xr:uid="{02528B53-1397-4D80-901D-1663011322F4}"/>
    <cellStyle name="Normal 5 5 2 5 4" xfId="18749" xr:uid="{B2529E35-1027-4710-A9D0-50BAC1584E5B}"/>
    <cellStyle name="Normal 5 5 2 5 5" xfId="10308" xr:uid="{DF592A03-C950-4BD3-8A2A-DAB6504B2975}"/>
    <cellStyle name="Normal 5 5 2 6" xfId="2183" xr:uid="{00000000-0005-0000-0000-00006E1B0000}"/>
    <cellStyle name="Normal 5 5 2 6 2" xfId="4412" xr:uid="{00000000-0005-0000-0000-00006F1B0000}"/>
    <cellStyle name="Normal 5 5 2 6 2 2" xfId="8634" xr:uid="{00000000-0005-0000-0000-0000701B0000}"/>
    <cellStyle name="Normal 5 5 2 6 2 2 2" xfId="25525" xr:uid="{AF6AAB67-5AB0-41EC-B425-24C573284807}"/>
    <cellStyle name="Normal 5 5 2 6 2 2 3" xfId="17084" xr:uid="{6E405E82-958E-4CBA-910C-8CA8490DA3A5}"/>
    <cellStyle name="Normal 5 5 2 6 2 3" xfId="21307" xr:uid="{4B6FC57F-EA0C-4F66-BDD3-3ED8D420B1FE}"/>
    <cellStyle name="Normal 5 5 2 6 2 4" xfId="12866" xr:uid="{74888882-1603-4E75-B20E-8D5369B199E6}"/>
    <cellStyle name="Normal 5 5 2 6 3" xfId="6489" xr:uid="{00000000-0005-0000-0000-0000711B0000}"/>
    <cellStyle name="Normal 5 5 2 6 3 2" xfId="23380" xr:uid="{E5568820-05CA-4758-901F-F334442CEDB8}"/>
    <cellStyle name="Normal 5 5 2 6 3 3" xfId="14939" xr:uid="{23BBDEBF-1C34-430F-BA86-4932AE89FC59}"/>
    <cellStyle name="Normal 5 5 2 6 4" xfId="19162" xr:uid="{C4D40281-FB97-4EAD-9A4C-DCC40CEBD205}"/>
    <cellStyle name="Normal 5 5 2 6 5" xfId="10721" xr:uid="{F9DC6C12-8AA4-408A-AFCD-DF83E63C19DA}"/>
    <cellStyle name="Normal 5 5 2 7" xfId="2619" xr:uid="{00000000-0005-0000-0000-0000721B0000}"/>
    <cellStyle name="Normal 5 5 2 7 2" xfId="6902" xr:uid="{00000000-0005-0000-0000-0000731B0000}"/>
    <cellStyle name="Normal 5 5 2 7 2 2" xfId="23793" xr:uid="{9C06B432-2237-4840-A505-B5836DFAEF08}"/>
    <cellStyle name="Normal 5 5 2 7 2 3" xfId="15352" xr:uid="{C7B2CAB7-EEB2-4D28-BF3F-7088B90764C8}"/>
    <cellStyle name="Normal 5 5 2 7 3" xfId="19575" xr:uid="{6F010D96-062B-4F4E-8C0B-B2C8131E5092}"/>
    <cellStyle name="Normal 5 5 2 7 4" xfId="11134" xr:uid="{113AD110-64C6-4440-A0EC-7188F5F0B92C}"/>
    <cellStyle name="Normal 5 5 2 8" xfId="4837" xr:uid="{00000000-0005-0000-0000-0000741B0000}"/>
    <cellStyle name="Normal 5 5 2 8 2" xfId="21728" xr:uid="{F3BD9ED2-0815-4BB2-B5C8-F53BB969AD12}"/>
    <cellStyle name="Normal 5 5 2 8 3" xfId="13287" xr:uid="{EBFB6A3C-AB7B-4AB5-9F7B-71BAE4284974}"/>
    <cellStyle name="Normal 5 5 2 9" xfId="17510" xr:uid="{6660CCC4-DEF2-477E-9613-64FAEF13D092}"/>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2 2 2" xfId="24288" xr:uid="{FA4AF4BE-0888-4537-AF99-07A08B32A4F7}"/>
    <cellStyle name="Normal 5 5 3 2 2 2 3" xfId="15847" xr:uid="{6ED015B2-DB03-4628-ACC6-6B822BFA7EEB}"/>
    <cellStyle name="Normal 5 5 3 2 2 3" xfId="20070" xr:uid="{600474A5-2200-40D8-B220-E68E1B396057}"/>
    <cellStyle name="Normal 5 5 3 2 2 4" xfId="11629" xr:uid="{33D3BD16-94F9-4076-A2E3-08FD8EBCC3A4}"/>
    <cellStyle name="Normal 5 5 3 2 3" xfId="5252" xr:uid="{00000000-0005-0000-0000-0000791B0000}"/>
    <cellStyle name="Normal 5 5 3 2 3 2" xfId="22143" xr:uid="{5D092E93-5059-4BF0-9C5B-99F8187BCFED}"/>
    <cellStyle name="Normal 5 5 3 2 3 3" xfId="13702" xr:uid="{A6311F88-5B5B-4E30-B122-2ABD58DFA88B}"/>
    <cellStyle name="Normal 5 5 3 2 4" xfId="17925" xr:uid="{DD364DD2-6F25-46C6-BA71-8B8B334257E7}"/>
    <cellStyle name="Normal 5 5 3 2 5" xfId="9484" xr:uid="{20DE21CA-F8C6-4585-A37E-887BCF675270}"/>
    <cellStyle name="Normal 5 5 3 3" xfId="1358" xr:uid="{00000000-0005-0000-0000-00007A1B0000}"/>
    <cellStyle name="Normal 5 5 3 3 2" xfId="3588" xr:uid="{00000000-0005-0000-0000-00007B1B0000}"/>
    <cellStyle name="Normal 5 5 3 3 2 2" xfId="7810" xr:uid="{00000000-0005-0000-0000-00007C1B0000}"/>
    <cellStyle name="Normal 5 5 3 3 2 2 2" xfId="24701" xr:uid="{0545B8D5-30C9-4A88-B6DA-F5FA32BA269B}"/>
    <cellStyle name="Normal 5 5 3 3 2 2 3" xfId="16260" xr:uid="{031866E3-BD26-4C01-B84B-E25C2DBDC226}"/>
    <cellStyle name="Normal 5 5 3 3 2 3" xfId="20483" xr:uid="{D654770F-0DE4-4462-8639-9E33A666195A}"/>
    <cellStyle name="Normal 5 5 3 3 2 4" xfId="12042" xr:uid="{CA4E7FAD-C9E5-4925-93D5-BA5BD967E715}"/>
    <cellStyle name="Normal 5 5 3 3 3" xfId="5665" xr:uid="{00000000-0005-0000-0000-00007D1B0000}"/>
    <cellStyle name="Normal 5 5 3 3 3 2" xfId="22556" xr:uid="{F50BD0B1-0B0C-4F04-8753-3300B49F313E}"/>
    <cellStyle name="Normal 5 5 3 3 3 3" xfId="14115" xr:uid="{81C933A0-B250-4A53-8680-0AD9AC068C3D}"/>
    <cellStyle name="Normal 5 5 3 3 4" xfId="18338" xr:uid="{F3F3EE51-5D87-4B45-BD80-D53E8560F2EA}"/>
    <cellStyle name="Normal 5 5 3 3 5" xfId="9897" xr:uid="{A571E8C7-00F1-4FA3-A42E-42BD33B96815}"/>
    <cellStyle name="Normal 5 5 3 4" xfId="1771" xr:uid="{00000000-0005-0000-0000-00007E1B0000}"/>
    <cellStyle name="Normal 5 5 3 4 2" xfId="4001" xr:uid="{00000000-0005-0000-0000-00007F1B0000}"/>
    <cellStyle name="Normal 5 5 3 4 2 2" xfId="8223" xr:uid="{00000000-0005-0000-0000-0000801B0000}"/>
    <cellStyle name="Normal 5 5 3 4 2 2 2" xfId="25114" xr:uid="{12F24A7D-C452-4030-8215-6C09B294181A}"/>
    <cellStyle name="Normal 5 5 3 4 2 2 3" xfId="16673" xr:uid="{CDF03307-77F5-4B1D-A826-0B55BCA76F28}"/>
    <cellStyle name="Normal 5 5 3 4 2 3" xfId="20896" xr:uid="{A52FE0DF-4D33-4461-9DD9-135858B68AA3}"/>
    <cellStyle name="Normal 5 5 3 4 2 4" xfId="12455" xr:uid="{CEC52232-48BB-4540-BCE5-97AC469A22F8}"/>
    <cellStyle name="Normal 5 5 3 4 3" xfId="6078" xr:uid="{00000000-0005-0000-0000-0000811B0000}"/>
    <cellStyle name="Normal 5 5 3 4 3 2" xfId="22969" xr:uid="{1B1BEA06-6FE1-4DAA-9D9D-AB20C5810CF2}"/>
    <cellStyle name="Normal 5 5 3 4 3 3" xfId="14528" xr:uid="{1139CD41-4220-4164-BD30-6571C00ECAA0}"/>
    <cellStyle name="Normal 5 5 3 4 4" xfId="18751" xr:uid="{B90AC37F-AC07-4F2F-BE26-1B39EF6E7931}"/>
    <cellStyle name="Normal 5 5 3 4 5" xfId="10310" xr:uid="{955BAE7F-5687-4A14-AFAD-FB9BBE5BA72E}"/>
    <cellStyle name="Normal 5 5 3 5" xfId="2185" xr:uid="{00000000-0005-0000-0000-0000821B0000}"/>
    <cellStyle name="Normal 5 5 3 5 2" xfId="4414" xr:uid="{00000000-0005-0000-0000-0000831B0000}"/>
    <cellStyle name="Normal 5 5 3 5 2 2" xfId="8636" xr:uid="{00000000-0005-0000-0000-0000841B0000}"/>
    <cellStyle name="Normal 5 5 3 5 2 2 2" xfId="25527" xr:uid="{1E3372E0-E96A-4135-BDDA-4E8684A81218}"/>
    <cellStyle name="Normal 5 5 3 5 2 2 3" xfId="17086" xr:uid="{5579357C-CD86-473D-8D26-90D6C24D8002}"/>
    <cellStyle name="Normal 5 5 3 5 2 3" xfId="21309" xr:uid="{A1AC5CBC-B391-4653-BE8D-CFBB85EA1D14}"/>
    <cellStyle name="Normal 5 5 3 5 2 4" xfId="12868" xr:uid="{052696B3-FEC4-4CDC-87CF-E3F6BC11631D}"/>
    <cellStyle name="Normal 5 5 3 5 3" xfId="6491" xr:uid="{00000000-0005-0000-0000-0000851B0000}"/>
    <cellStyle name="Normal 5 5 3 5 3 2" xfId="23382" xr:uid="{16B8082D-0DCE-4AA3-91DC-0D77D9D67E24}"/>
    <cellStyle name="Normal 5 5 3 5 3 3" xfId="14941" xr:uid="{9574E6B0-1B84-43EA-B1DB-0D45BE6AF07D}"/>
    <cellStyle name="Normal 5 5 3 5 4" xfId="19164" xr:uid="{90740860-291B-4577-872E-EA50E61628F4}"/>
    <cellStyle name="Normal 5 5 3 5 5" xfId="10723" xr:uid="{ADFDCC07-4609-46E0-B524-034C2D9889F6}"/>
    <cellStyle name="Normal 5 5 3 6" xfId="2621" xr:uid="{00000000-0005-0000-0000-0000861B0000}"/>
    <cellStyle name="Normal 5 5 3 6 2" xfId="6904" xr:uid="{00000000-0005-0000-0000-0000871B0000}"/>
    <cellStyle name="Normal 5 5 3 6 2 2" xfId="23795" xr:uid="{A0BA49FD-77AA-43ED-821D-1EBF0FD6E1F1}"/>
    <cellStyle name="Normal 5 5 3 6 2 3" xfId="15354" xr:uid="{5F19EEB1-0BFC-4B48-9393-CD1191DF9CF7}"/>
    <cellStyle name="Normal 5 5 3 6 3" xfId="19577" xr:uid="{273207C7-1DE9-4C8F-84EB-12D8CA758D94}"/>
    <cellStyle name="Normal 5 5 3 6 4" xfId="11136" xr:uid="{B3B54250-1D2B-47A6-95DB-513D28C706B2}"/>
    <cellStyle name="Normal 5 5 3 7" xfId="4839" xr:uid="{00000000-0005-0000-0000-0000881B0000}"/>
    <cellStyle name="Normal 5 5 3 7 2" xfId="21730" xr:uid="{ABF37A4A-85C8-469E-A9F2-41EE3B2EC409}"/>
    <cellStyle name="Normal 5 5 3 7 3" xfId="13289" xr:uid="{1ACE6CAA-AF11-49F7-BC70-48C766002DE2}"/>
    <cellStyle name="Normal 5 5 3 8" xfId="17512" xr:uid="{F964F5CF-BACB-46B7-A62A-F12FE5BD2FFC}"/>
    <cellStyle name="Normal 5 5 3 9" xfId="9071" xr:uid="{89895078-8CD5-4F7F-9B05-2D41DA4F70E6}"/>
    <cellStyle name="Normal 5 5 4" xfId="938" xr:uid="{00000000-0005-0000-0000-0000891B0000}"/>
    <cellStyle name="Normal 5 5 4 2" xfId="3172" xr:uid="{00000000-0005-0000-0000-00008A1B0000}"/>
    <cellStyle name="Normal 5 5 4 2 2" xfId="7394" xr:uid="{00000000-0005-0000-0000-00008B1B0000}"/>
    <cellStyle name="Normal 5 5 4 2 2 2" xfId="24285" xr:uid="{7050E4FF-4665-4F74-96EB-2EAE9C7EBC7C}"/>
    <cellStyle name="Normal 5 5 4 2 2 3" xfId="15844" xr:uid="{7A0349C3-CB9E-4C2B-B9CA-1A074CF44734}"/>
    <cellStyle name="Normal 5 5 4 2 3" xfId="20067" xr:uid="{ACBE2524-DBCC-4415-AAC5-5B87199DDAAA}"/>
    <cellStyle name="Normal 5 5 4 2 4" xfId="11626" xr:uid="{E3495E85-780C-439F-9180-5449890DD2AF}"/>
    <cellStyle name="Normal 5 5 4 3" xfId="5249" xr:uid="{00000000-0005-0000-0000-00008C1B0000}"/>
    <cellStyle name="Normal 5 5 4 3 2" xfId="22140" xr:uid="{15ADD687-2551-4483-B62B-E379225D15D3}"/>
    <cellStyle name="Normal 5 5 4 3 3" xfId="13699" xr:uid="{D79FFF26-8FF0-443E-81C7-888B6877A589}"/>
    <cellStyle name="Normal 5 5 4 4" xfId="17922" xr:uid="{AE897ADB-9B6B-4687-99A8-96207ABDD0C9}"/>
    <cellStyle name="Normal 5 5 4 5" xfId="9481" xr:uid="{5BEA165A-FF71-4524-B4CF-FA5A466DCF75}"/>
    <cellStyle name="Normal 5 5 5" xfId="1355" xr:uid="{00000000-0005-0000-0000-00008D1B0000}"/>
    <cellStyle name="Normal 5 5 5 2" xfId="3585" xr:uid="{00000000-0005-0000-0000-00008E1B0000}"/>
    <cellStyle name="Normal 5 5 5 2 2" xfId="7807" xr:uid="{00000000-0005-0000-0000-00008F1B0000}"/>
    <cellStyle name="Normal 5 5 5 2 2 2" xfId="24698" xr:uid="{BE51C3FD-6EE9-4D1B-9A5E-368AA3653DBC}"/>
    <cellStyle name="Normal 5 5 5 2 2 3" xfId="16257" xr:uid="{0B27473D-6A43-4FA0-8E20-473F396CFC59}"/>
    <cellStyle name="Normal 5 5 5 2 3" xfId="20480" xr:uid="{797D904D-3E6E-46D7-AFAE-25D2C4AD6A40}"/>
    <cellStyle name="Normal 5 5 5 2 4" xfId="12039" xr:uid="{BC839523-7D09-4CC8-84C8-71F9D5E541B6}"/>
    <cellStyle name="Normal 5 5 5 3" xfId="5662" xr:uid="{00000000-0005-0000-0000-0000901B0000}"/>
    <cellStyle name="Normal 5 5 5 3 2" xfId="22553" xr:uid="{BAE19FF6-E84F-43EC-A857-DD642654BA24}"/>
    <cellStyle name="Normal 5 5 5 3 3" xfId="14112" xr:uid="{D9B1E3FE-BC2B-49F3-A981-8F27C55467D3}"/>
    <cellStyle name="Normal 5 5 5 4" xfId="18335" xr:uid="{4EC5D2CC-1348-47E7-BE4F-80610D846896}"/>
    <cellStyle name="Normal 5 5 5 5" xfId="9894" xr:uid="{20F37D59-BAA3-436F-BCDA-C487EB0B5D62}"/>
    <cellStyle name="Normal 5 5 6" xfId="1768" xr:uid="{00000000-0005-0000-0000-0000911B0000}"/>
    <cellStyle name="Normal 5 5 6 2" xfId="3998" xr:uid="{00000000-0005-0000-0000-0000921B0000}"/>
    <cellStyle name="Normal 5 5 6 2 2" xfId="8220" xr:uid="{00000000-0005-0000-0000-0000931B0000}"/>
    <cellStyle name="Normal 5 5 6 2 2 2" xfId="25111" xr:uid="{511FB1F9-EED6-4022-B5C4-7275CE0A07CD}"/>
    <cellStyle name="Normal 5 5 6 2 2 3" xfId="16670" xr:uid="{2EB56E0F-CDC9-4FD6-BD25-5B7AE0132C49}"/>
    <cellStyle name="Normal 5 5 6 2 3" xfId="20893" xr:uid="{7CF32DDD-8482-4C3F-89F7-A5C33981F54E}"/>
    <cellStyle name="Normal 5 5 6 2 4" xfId="12452" xr:uid="{570D1466-3587-4692-ACC6-917F2D3A4F2A}"/>
    <cellStyle name="Normal 5 5 6 3" xfId="6075" xr:uid="{00000000-0005-0000-0000-0000941B0000}"/>
    <cellStyle name="Normal 5 5 6 3 2" xfId="22966" xr:uid="{6410C0E1-2563-4957-972C-3A2E9C2F9752}"/>
    <cellStyle name="Normal 5 5 6 3 3" xfId="14525" xr:uid="{F7AF9D3C-3343-4ECB-B3F1-DF80A112CB60}"/>
    <cellStyle name="Normal 5 5 6 4" xfId="18748" xr:uid="{F49DE978-52E4-4C46-A206-1412BFF42E47}"/>
    <cellStyle name="Normal 5 5 6 5" xfId="10307" xr:uid="{55C73A77-D1F8-44AD-9FCE-62B3E8D5CE7C}"/>
    <cellStyle name="Normal 5 5 7" xfId="2182" xr:uid="{00000000-0005-0000-0000-0000951B0000}"/>
    <cellStyle name="Normal 5 5 7 2" xfId="4411" xr:uid="{00000000-0005-0000-0000-0000961B0000}"/>
    <cellStyle name="Normal 5 5 7 2 2" xfId="8633" xr:uid="{00000000-0005-0000-0000-0000971B0000}"/>
    <cellStyle name="Normal 5 5 7 2 2 2" xfId="25524" xr:uid="{FC88E3A6-AA80-4DF2-A3F4-8EC512DC358E}"/>
    <cellStyle name="Normal 5 5 7 2 2 3" xfId="17083" xr:uid="{E407B2C6-4515-4C89-982E-7454B47036E4}"/>
    <cellStyle name="Normal 5 5 7 2 3" xfId="21306" xr:uid="{F30585F7-5102-4AD0-9782-AD7FCA778A7E}"/>
    <cellStyle name="Normal 5 5 7 2 4" xfId="12865" xr:uid="{BF91A62D-8CDD-4CEF-9A61-8221B16DE6AB}"/>
    <cellStyle name="Normal 5 5 7 3" xfId="6488" xr:uid="{00000000-0005-0000-0000-0000981B0000}"/>
    <cellStyle name="Normal 5 5 7 3 2" xfId="23379" xr:uid="{EAF27115-01DA-492A-8ED0-70D5601A04A7}"/>
    <cellStyle name="Normal 5 5 7 3 3" xfId="14938" xr:uid="{8C47A10E-F6EA-4A32-9BD8-A51813D57B92}"/>
    <cellStyle name="Normal 5 5 7 4" xfId="19161" xr:uid="{2F30D160-2794-4B12-88DB-93C89FC2700F}"/>
    <cellStyle name="Normal 5 5 7 5" xfId="10720" xr:uid="{54A1AEC9-530F-4EFE-9A32-98D925EDDD0B}"/>
    <cellStyle name="Normal 5 5 8" xfId="2618" xr:uid="{00000000-0005-0000-0000-0000991B0000}"/>
    <cellStyle name="Normal 5 5 8 2" xfId="6901" xr:uid="{00000000-0005-0000-0000-00009A1B0000}"/>
    <cellStyle name="Normal 5 5 8 2 2" xfId="23792" xr:uid="{5554BC0C-8437-4CDB-BA85-2AE18EF22F5E}"/>
    <cellStyle name="Normal 5 5 8 2 3" xfId="15351" xr:uid="{75A1F5C6-877D-48FD-9973-D5AF7E1CF0AB}"/>
    <cellStyle name="Normal 5 5 8 3" xfId="19574" xr:uid="{86E92D2E-577C-4025-98DB-855BDA8F28AB}"/>
    <cellStyle name="Normal 5 5 8 4" xfId="11133" xr:uid="{A6C1083D-51CB-4F91-8E14-E1399D256A8D}"/>
    <cellStyle name="Normal 5 5 9" xfId="4836" xr:uid="{00000000-0005-0000-0000-00009B1B0000}"/>
    <cellStyle name="Normal 5 5 9 2" xfId="21727" xr:uid="{77DD3298-1F02-4DE1-8938-A4C921411ABD}"/>
    <cellStyle name="Normal 5 5 9 3" xfId="13286" xr:uid="{C4C80BEE-7588-408F-A558-618ED0949AB8}"/>
    <cellStyle name="Normal 5 6" xfId="468" xr:uid="{00000000-0005-0000-0000-00009C1B0000}"/>
    <cellStyle name="Normal 5 6 10" xfId="9072" xr:uid="{1376C324-17CD-49A2-9266-D745A6A5711A}"/>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2 2 2" xfId="24290" xr:uid="{1B382106-3F68-4A25-997B-6678E43E69C7}"/>
    <cellStyle name="Normal 5 6 2 2 2 2 3" xfId="15849" xr:uid="{C1BDE03E-4862-4149-964A-D677F157D808}"/>
    <cellStyle name="Normal 5 6 2 2 2 3" xfId="20072" xr:uid="{3F788095-C226-40C4-A3DD-F4960CBDAC92}"/>
    <cellStyle name="Normal 5 6 2 2 2 4" xfId="11631" xr:uid="{4029127F-6932-47D9-91B5-8BD068276463}"/>
    <cellStyle name="Normal 5 6 2 2 3" xfId="5254" xr:uid="{00000000-0005-0000-0000-0000A11B0000}"/>
    <cellStyle name="Normal 5 6 2 2 3 2" xfId="22145" xr:uid="{ADD4FC5A-96B6-44F0-A3BD-6FD283FDF457}"/>
    <cellStyle name="Normal 5 6 2 2 3 3" xfId="13704" xr:uid="{A15FB2BD-C331-4E9F-9083-6B6EE551C678}"/>
    <cellStyle name="Normal 5 6 2 2 4" xfId="17927" xr:uid="{CB1FC2C3-F634-4B82-BEF3-B4171F53A134}"/>
    <cellStyle name="Normal 5 6 2 2 5" xfId="9486" xr:uid="{7FC3B54B-0181-4E53-BD32-5D96777CCC2E}"/>
    <cellStyle name="Normal 5 6 2 3" xfId="1360" xr:uid="{00000000-0005-0000-0000-0000A21B0000}"/>
    <cellStyle name="Normal 5 6 2 3 2" xfId="3590" xr:uid="{00000000-0005-0000-0000-0000A31B0000}"/>
    <cellStyle name="Normal 5 6 2 3 2 2" xfId="7812" xr:uid="{00000000-0005-0000-0000-0000A41B0000}"/>
    <cellStyle name="Normal 5 6 2 3 2 2 2" xfId="24703" xr:uid="{AC4C98FE-E29B-42C7-A84A-C404137D1F98}"/>
    <cellStyle name="Normal 5 6 2 3 2 2 3" xfId="16262" xr:uid="{27E7B367-CF61-452A-8E0D-AC9EF47EA082}"/>
    <cellStyle name="Normal 5 6 2 3 2 3" xfId="20485" xr:uid="{4EE88A14-9696-449C-9F33-80A690C429BE}"/>
    <cellStyle name="Normal 5 6 2 3 2 4" xfId="12044" xr:uid="{C3322E1F-FE71-489F-9C30-39C382F9F407}"/>
    <cellStyle name="Normal 5 6 2 3 3" xfId="5667" xr:uid="{00000000-0005-0000-0000-0000A51B0000}"/>
    <cellStyle name="Normal 5 6 2 3 3 2" xfId="22558" xr:uid="{18692B77-75A9-48F3-9177-64D3A2364215}"/>
    <cellStyle name="Normal 5 6 2 3 3 3" xfId="14117" xr:uid="{551C1BBE-C11E-41C4-A515-DE32AAC82DD5}"/>
    <cellStyle name="Normal 5 6 2 3 4" xfId="18340" xr:uid="{4DDEB5B2-F570-44F2-93DD-E533B9E2AA8F}"/>
    <cellStyle name="Normal 5 6 2 3 5" xfId="9899" xr:uid="{E8FF3720-F02A-42C7-99F2-ECA079865047}"/>
    <cellStyle name="Normal 5 6 2 4" xfId="1773" xr:uid="{00000000-0005-0000-0000-0000A61B0000}"/>
    <cellStyle name="Normal 5 6 2 4 2" xfId="4003" xr:uid="{00000000-0005-0000-0000-0000A71B0000}"/>
    <cellStyle name="Normal 5 6 2 4 2 2" xfId="8225" xr:uid="{00000000-0005-0000-0000-0000A81B0000}"/>
    <cellStyle name="Normal 5 6 2 4 2 2 2" xfId="25116" xr:uid="{6E8B8B7B-1D8F-4CE6-8431-866A28661A1E}"/>
    <cellStyle name="Normal 5 6 2 4 2 2 3" xfId="16675" xr:uid="{9592CCD0-7AEC-4078-A895-DCE521D06EA1}"/>
    <cellStyle name="Normal 5 6 2 4 2 3" xfId="20898" xr:uid="{E9257D5D-9052-41E4-95CF-F4B9A8EABE24}"/>
    <cellStyle name="Normal 5 6 2 4 2 4" xfId="12457" xr:uid="{08A683DE-1136-48C2-ADF0-48695C8973D5}"/>
    <cellStyle name="Normal 5 6 2 4 3" xfId="6080" xr:uid="{00000000-0005-0000-0000-0000A91B0000}"/>
    <cellStyle name="Normal 5 6 2 4 3 2" xfId="22971" xr:uid="{03693D29-F90D-4686-93A3-7FF109CB4A96}"/>
    <cellStyle name="Normal 5 6 2 4 3 3" xfId="14530" xr:uid="{D0EDF496-C00B-4F41-8E31-DC6DAD4DBD89}"/>
    <cellStyle name="Normal 5 6 2 4 4" xfId="18753" xr:uid="{0760C0D5-1033-43B6-B0D5-020B7C5ADE91}"/>
    <cellStyle name="Normal 5 6 2 4 5" xfId="10312" xr:uid="{6FA15032-FAC6-41D6-8F4B-6726CEB2E2FB}"/>
    <cellStyle name="Normal 5 6 2 5" xfId="2187" xr:uid="{00000000-0005-0000-0000-0000AA1B0000}"/>
    <cellStyle name="Normal 5 6 2 5 2" xfId="4416" xr:uid="{00000000-0005-0000-0000-0000AB1B0000}"/>
    <cellStyle name="Normal 5 6 2 5 2 2" xfId="8638" xr:uid="{00000000-0005-0000-0000-0000AC1B0000}"/>
    <cellStyle name="Normal 5 6 2 5 2 2 2" xfId="25529" xr:uid="{DD1E6AE6-2108-4926-861B-9814433A8F79}"/>
    <cellStyle name="Normal 5 6 2 5 2 2 3" xfId="17088" xr:uid="{7C6BE461-4059-4163-8AE5-4C5215B082CF}"/>
    <cellStyle name="Normal 5 6 2 5 2 3" xfId="21311" xr:uid="{B9693344-1DA1-4745-88A0-7EDA16E52816}"/>
    <cellStyle name="Normal 5 6 2 5 2 4" xfId="12870" xr:uid="{31030F16-1207-4EC9-847C-499D98981710}"/>
    <cellStyle name="Normal 5 6 2 5 3" xfId="6493" xr:uid="{00000000-0005-0000-0000-0000AD1B0000}"/>
    <cellStyle name="Normal 5 6 2 5 3 2" xfId="23384" xr:uid="{23343E20-20D7-448D-B653-D3276009DE1F}"/>
    <cellStyle name="Normal 5 6 2 5 3 3" xfId="14943" xr:uid="{018BF26F-8301-4F82-AE28-F5DEFB04B798}"/>
    <cellStyle name="Normal 5 6 2 5 4" xfId="19166" xr:uid="{F3A3DF57-9946-487C-B43A-27B1A76E64C8}"/>
    <cellStyle name="Normal 5 6 2 5 5" xfId="10725" xr:uid="{7299BEBF-C657-4986-8B4D-6A9B224CB239}"/>
    <cellStyle name="Normal 5 6 2 6" xfId="2623" xr:uid="{00000000-0005-0000-0000-0000AE1B0000}"/>
    <cellStyle name="Normal 5 6 2 6 2" xfId="6906" xr:uid="{00000000-0005-0000-0000-0000AF1B0000}"/>
    <cellStyle name="Normal 5 6 2 6 2 2" xfId="23797" xr:uid="{EE3B1DB0-B3ED-484D-918B-62945E409E8D}"/>
    <cellStyle name="Normal 5 6 2 6 2 3" xfId="15356" xr:uid="{B20B41A9-DA68-498F-9AD1-E22F466632E0}"/>
    <cellStyle name="Normal 5 6 2 6 3" xfId="19579" xr:uid="{F7EA0A9A-1553-4F47-B2B7-6C5F7D1919AF}"/>
    <cellStyle name="Normal 5 6 2 6 4" xfId="11138" xr:uid="{F31D403D-D094-4CCF-8E15-4D6646A26382}"/>
    <cellStyle name="Normal 5 6 2 7" xfId="4841" xr:uid="{00000000-0005-0000-0000-0000B01B0000}"/>
    <cellStyle name="Normal 5 6 2 7 2" xfId="21732" xr:uid="{09466225-F5AF-4AC3-98BB-DF43FEAB3A6F}"/>
    <cellStyle name="Normal 5 6 2 7 3" xfId="13291" xr:uid="{9C9E947F-84E4-4BFE-878F-D93D4D4A4F01}"/>
    <cellStyle name="Normal 5 6 2 8" xfId="17514" xr:uid="{5F11506A-E616-4855-BFB2-C4BC425E9EA1}"/>
    <cellStyle name="Normal 5 6 2 9" xfId="9073" xr:uid="{CB96CAF2-F4D6-436C-8A55-4D532591FA27}"/>
    <cellStyle name="Normal 5 6 3" xfId="942" xr:uid="{00000000-0005-0000-0000-0000B11B0000}"/>
    <cellStyle name="Normal 5 6 3 2" xfId="3176" xr:uid="{00000000-0005-0000-0000-0000B21B0000}"/>
    <cellStyle name="Normal 5 6 3 2 2" xfId="7398" xr:uid="{00000000-0005-0000-0000-0000B31B0000}"/>
    <cellStyle name="Normal 5 6 3 2 2 2" xfId="24289" xr:uid="{02AD766D-AA86-4974-9E28-D25560B9922A}"/>
    <cellStyle name="Normal 5 6 3 2 2 3" xfId="15848" xr:uid="{865E7CE8-0BCD-4DD1-BB64-E143F9AAA11D}"/>
    <cellStyle name="Normal 5 6 3 2 3" xfId="20071" xr:uid="{C225F679-B01A-43A1-AA5D-CA028CD740CC}"/>
    <cellStyle name="Normal 5 6 3 2 4" xfId="11630" xr:uid="{5C074893-713A-4CF2-A98E-F898FE0267EC}"/>
    <cellStyle name="Normal 5 6 3 3" xfId="5253" xr:uid="{00000000-0005-0000-0000-0000B41B0000}"/>
    <cellStyle name="Normal 5 6 3 3 2" xfId="22144" xr:uid="{BEAC7075-E686-4A06-BD8C-06FF71EAF551}"/>
    <cellStyle name="Normal 5 6 3 3 3" xfId="13703" xr:uid="{37EF4AB1-EB62-4D8D-8A11-5D038D97B20C}"/>
    <cellStyle name="Normal 5 6 3 4" xfId="17926" xr:uid="{D36AF02A-4B41-439F-BE52-F6C918577A84}"/>
    <cellStyle name="Normal 5 6 3 5" xfId="9485" xr:uid="{8CE1F14A-E232-4EDE-B254-18B57FA8413B}"/>
    <cellStyle name="Normal 5 6 4" xfId="1359" xr:uid="{00000000-0005-0000-0000-0000B51B0000}"/>
    <cellStyle name="Normal 5 6 4 2" xfId="3589" xr:uid="{00000000-0005-0000-0000-0000B61B0000}"/>
    <cellStyle name="Normal 5 6 4 2 2" xfId="7811" xr:uid="{00000000-0005-0000-0000-0000B71B0000}"/>
    <cellStyle name="Normal 5 6 4 2 2 2" xfId="24702" xr:uid="{F05D7AF2-C958-4F6C-9F37-9F302E5C56CF}"/>
    <cellStyle name="Normal 5 6 4 2 2 3" xfId="16261" xr:uid="{5650EF29-4123-40A8-89AF-18E376412195}"/>
    <cellStyle name="Normal 5 6 4 2 3" xfId="20484" xr:uid="{3EA5C106-85E6-4E10-B8F4-337E2C9EC4DA}"/>
    <cellStyle name="Normal 5 6 4 2 4" xfId="12043" xr:uid="{A9144573-3AB2-4B35-AB55-2A40A4F6F2A5}"/>
    <cellStyle name="Normal 5 6 4 3" xfId="5666" xr:uid="{00000000-0005-0000-0000-0000B81B0000}"/>
    <cellStyle name="Normal 5 6 4 3 2" xfId="22557" xr:uid="{3EE1AEF6-5317-46E5-B874-3E444935086D}"/>
    <cellStyle name="Normal 5 6 4 3 3" xfId="14116" xr:uid="{0AE87147-3211-4642-9FBC-795D6CD8689A}"/>
    <cellStyle name="Normal 5 6 4 4" xfId="18339" xr:uid="{F663A71F-EE59-4979-B541-E3795A4B207F}"/>
    <cellStyle name="Normal 5 6 4 5" xfId="9898" xr:uid="{666D4357-CA66-4A4D-9351-7535C50C188E}"/>
    <cellStyle name="Normal 5 6 5" xfId="1772" xr:uid="{00000000-0005-0000-0000-0000B91B0000}"/>
    <cellStyle name="Normal 5 6 5 2" xfId="4002" xr:uid="{00000000-0005-0000-0000-0000BA1B0000}"/>
    <cellStyle name="Normal 5 6 5 2 2" xfId="8224" xr:uid="{00000000-0005-0000-0000-0000BB1B0000}"/>
    <cellStyle name="Normal 5 6 5 2 2 2" xfId="25115" xr:uid="{04088574-66E7-4519-9F33-7901817EFAB0}"/>
    <cellStyle name="Normal 5 6 5 2 2 3" xfId="16674" xr:uid="{407DBC0B-59FD-4B92-B9AA-B5AEE3EB4668}"/>
    <cellStyle name="Normal 5 6 5 2 3" xfId="20897" xr:uid="{FFAC6E94-8FBA-46A2-B501-25100C182F77}"/>
    <cellStyle name="Normal 5 6 5 2 4" xfId="12456" xr:uid="{2922488E-6DEA-4B72-A16B-E0101662CFE1}"/>
    <cellStyle name="Normal 5 6 5 3" xfId="6079" xr:uid="{00000000-0005-0000-0000-0000BC1B0000}"/>
    <cellStyle name="Normal 5 6 5 3 2" xfId="22970" xr:uid="{A9598CB9-A230-4A16-BE54-A0207850A3C5}"/>
    <cellStyle name="Normal 5 6 5 3 3" xfId="14529" xr:uid="{24770C6C-894C-42C9-9CBB-01EF06A08C93}"/>
    <cellStyle name="Normal 5 6 5 4" xfId="18752" xr:uid="{493B56BD-15F7-4087-954F-C33BDBA0B14E}"/>
    <cellStyle name="Normal 5 6 5 5" xfId="10311" xr:uid="{2EE2DA5F-F6AE-4A34-9321-704586347CCA}"/>
    <cellStyle name="Normal 5 6 6" xfId="2186" xr:uid="{00000000-0005-0000-0000-0000BD1B0000}"/>
    <cellStyle name="Normal 5 6 6 2" xfId="4415" xr:uid="{00000000-0005-0000-0000-0000BE1B0000}"/>
    <cellStyle name="Normal 5 6 6 2 2" xfId="8637" xr:uid="{00000000-0005-0000-0000-0000BF1B0000}"/>
    <cellStyle name="Normal 5 6 6 2 2 2" xfId="25528" xr:uid="{80F41D61-58DA-4E6C-AEE8-A8F7B6703DD6}"/>
    <cellStyle name="Normal 5 6 6 2 2 3" xfId="17087" xr:uid="{4076E45F-8C27-49F0-9B86-ACD4BCA9FF24}"/>
    <cellStyle name="Normal 5 6 6 2 3" xfId="21310" xr:uid="{6AA4675C-8FC8-4087-B652-1A1655499477}"/>
    <cellStyle name="Normal 5 6 6 2 4" xfId="12869" xr:uid="{05306B60-F5CB-425E-B1E3-1FDB2D5A430B}"/>
    <cellStyle name="Normal 5 6 6 3" xfId="6492" xr:uid="{00000000-0005-0000-0000-0000C01B0000}"/>
    <cellStyle name="Normal 5 6 6 3 2" xfId="23383" xr:uid="{133BBE2F-2AB9-4603-8A73-36D7C7869DC6}"/>
    <cellStyle name="Normal 5 6 6 3 3" xfId="14942" xr:uid="{616F34BF-E11F-4BF4-A338-4DFD04E7B960}"/>
    <cellStyle name="Normal 5 6 6 4" xfId="19165" xr:uid="{8B953644-0CC2-42D6-811D-472A48F8888A}"/>
    <cellStyle name="Normal 5 6 6 5" xfId="10724" xr:uid="{B8D745B6-8175-4471-B588-F6D24CC48AD6}"/>
    <cellStyle name="Normal 5 6 7" xfId="2622" xr:uid="{00000000-0005-0000-0000-0000C11B0000}"/>
    <cellStyle name="Normal 5 6 7 2" xfId="6905" xr:uid="{00000000-0005-0000-0000-0000C21B0000}"/>
    <cellStyle name="Normal 5 6 7 2 2" xfId="23796" xr:uid="{8D88E162-DE33-498B-888F-315C849C5E15}"/>
    <cellStyle name="Normal 5 6 7 2 3" xfId="15355" xr:uid="{E9CDDC07-B249-4952-BEFC-57F4AED443A3}"/>
    <cellStyle name="Normal 5 6 7 3" xfId="19578" xr:uid="{D752D8C3-9CE5-48D7-8EA7-5F2E5FA3F3B5}"/>
    <cellStyle name="Normal 5 6 7 4" xfId="11137" xr:uid="{5E9E1CBD-361C-4DF5-B31C-9ABCC8B36D72}"/>
    <cellStyle name="Normal 5 6 8" xfId="4840" xr:uid="{00000000-0005-0000-0000-0000C31B0000}"/>
    <cellStyle name="Normal 5 6 8 2" xfId="21731" xr:uid="{3DF79015-1910-4C1B-B2EB-D1A246A48B0B}"/>
    <cellStyle name="Normal 5 6 8 3" xfId="13290" xr:uid="{537DD67F-2705-42AA-B8EA-18DCC592F6FD}"/>
    <cellStyle name="Normal 5 6 9" xfId="17513" xr:uid="{D7DC13C3-2183-4C12-AAFA-C03B45C3451E}"/>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2 2 2" xfId="24291" xr:uid="{EF61DCE7-B949-42F2-9B8E-80008633A7F0}"/>
    <cellStyle name="Normal 5 7 2 2 2 3" xfId="15850" xr:uid="{B421B6B8-75F6-414E-A8FD-8A7F797136D3}"/>
    <cellStyle name="Normal 5 7 2 2 3" xfId="20073" xr:uid="{7F19A606-F48A-43C5-9BC8-CB601099F734}"/>
    <cellStyle name="Normal 5 7 2 2 4" xfId="11632" xr:uid="{0D935637-6088-4659-8419-0D763964FA1A}"/>
    <cellStyle name="Normal 5 7 2 3" xfId="5255" xr:uid="{00000000-0005-0000-0000-0000C81B0000}"/>
    <cellStyle name="Normal 5 7 2 3 2" xfId="22146" xr:uid="{58B153F8-C407-4B47-9DBD-DB0C875D7D80}"/>
    <cellStyle name="Normal 5 7 2 3 3" xfId="13705" xr:uid="{EE82DB4A-E7C3-47DD-978D-F0FAAA9B2D36}"/>
    <cellStyle name="Normal 5 7 2 4" xfId="17928" xr:uid="{8B89CB71-9467-4EBB-B234-1A4E7D96D61B}"/>
    <cellStyle name="Normal 5 7 2 5" xfId="9487" xr:uid="{629226EF-04EA-4313-89BA-B7B8CA3E21FB}"/>
    <cellStyle name="Normal 5 7 3" xfId="1361" xr:uid="{00000000-0005-0000-0000-0000C91B0000}"/>
    <cellStyle name="Normal 5 7 3 2" xfId="3591" xr:uid="{00000000-0005-0000-0000-0000CA1B0000}"/>
    <cellStyle name="Normal 5 7 3 2 2" xfId="7813" xr:uid="{00000000-0005-0000-0000-0000CB1B0000}"/>
    <cellStyle name="Normal 5 7 3 2 2 2" xfId="24704" xr:uid="{C1232550-8645-4011-BBC5-25842F17899B}"/>
    <cellStyle name="Normal 5 7 3 2 2 3" xfId="16263" xr:uid="{7334AD67-8735-4F39-BBE1-72410F17713E}"/>
    <cellStyle name="Normal 5 7 3 2 3" xfId="20486" xr:uid="{98AE99CA-8552-40B6-91AA-E8A1C6B074BC}"/>
    <cellStyle name="Normal 5 7 3 2 4" xfId="12045" xr:uid="{EF5B9484-3273-4A07-BD87-A6E33CBD2457}"/>
    <cellStyle name="Normal 5 7 3 3" xfId="5668" xr:uid="{00000000-0005-0000-0000-0000CC1B0000}"/>
    <cellStyle name="Normal 5 7 3 3 2" xfId="22559" xr:uid="{55B0DBA4-DD20-493A-9D83-EDB46C594552}"/>
    <cellStyle name="Normal 5 7 3 3 3" xfId="14118" xr:uid="{A92AFD08-3581-4BE0-A7AA-9D8AB8A9FE67}"/>
    <cellStyle name="Normal 5 7 3 4" xfId="18341" xr:uid="{8622ED63-2C00-4B4A-B773-C290245A9D62}"/>
    <cellStyle name="Normal 5 7 3 5" xfId="9900" xr:uid="{5EA3B6A5-3703-4B4E-8AAF-C926D02EFEA1}"/>
    <cellStyle name="Normal 5 7 4" xfId="1774" xr:uid="{00000000-0005-0000-0000-0000CD1B0000}"/>
    <cellStyle name="Normal 5 7 4 2" xfId="4004" xr:uid="{00000000-0005-0000-0000-0000CE1B0000}"/>
    <cellStyle name="Normal 5 7 4 2 2" xfId="8226" xr:uid="{00000000-0005-0000-0000-0000CF1B0000}"/>
    <cellStyle name="Normal 5 7 4 2 2 2" xfId="25117" xr:uid="{E03EFB62-E307-4312-9CBE-CC7E5433FB6B}"/>
    <cellStyle name="Normal 5 7 4 2 2 3" xfId="16676" xr:uid="{D72A2E8A-B1F7-4538-92BC-7DA2195928F9}"/>
    <cellStyle name="Normal 5 7 4 2 3" xfId="20899" xr:uid="{D7EBF084-6A92-4F91-8170-3C9517DD291A}"/>
    <cellStyle name="Normal 5 7 4 2 4" xfId="12458" xr:uid="{E5C4016E-8FD1-4B02-8B13-8A79D9F68F49}"/>
    <cellStyle name="Normal 5 7 4 3" xfId="6081" xr:uid="{00000000-0005-0000-0000-0000D01B0000}"/>
    <cellStyle name="Normal 5 7 4 3 2" xfId="22972" xr:uid="{377D4A34-06E4-449B-B076-C42026BA2D5B}"/>
    <cellStyle name="Normal 5 7 4 3 3" xfId="14531" xr:uid="{0F752EB5-6C28-4DB8-B26A-F870570F4EF3}"/>
    <cellStyle name="Normal 5 7 4 4" xfId="18754" xr:uid="{3E217A80-502B-400E-955B-5B570EE5B91C}"/>
    <cellStyle name="Normal 5 7 4 5" xfId="10313" xr:uid="{CBE64F0D-A66C-440C-9273-5CA45A704BB4}"/>
    <cellStyle name="Normal 5 7 5" xfId="2188" xr:uid="{00000000-0005-0000-0000-0000D11B0000}"/>
    <cellStyle name="Normal 5 7 5 2" xfId="4417" xr:uid="{00000000-0005-0000-0000-0000D21B0000}"/>
    <cellStyle name="Normal 5 7 5 2 2" xfId="8639" xr:uid="{00000000-0005-0000-0000-0000D31B0000}"/>
    <cellStyle name="Normal 5 7 5 2 2 2" xfId="25530" xr:uid="{50CDB9E2-1820-401E-A9AD-7CD446CBCD59}"/>
    <cellStyle name="Normal 5 7 5 2 2 3" xfId="17089" xr:uid="{948CDC8E-03BE-4782-B3AE-A00A36D533A8}"/>
    <cellStyle name="Normal 5 7 5 2 3" xfId="21312" xr:uid="{87359EDD-A391-4989-B4C7-BA1B0BFEA3DE}"/>
    <cellStyle name="Normal 5 7 5 2 4" xfId="12871" xr:uid="{331AF37A-F2C3-4712-B494-AE86345E8593}"/>
    <cellStyle name="Normal 5 7 5 3" xfId="6494" xr:uid="{00000000-0005-0000-0000-0000D41B0000}"/>
    <cellStyle name="Normal 5 7 5 3 2" xfId="23385" xr:uid="{1E483C62-F4A0-4AA1-B2B3-43BF5099A1A6}"/>
    <cellStyle name="Normal 5 7 5 3 3" xfId="14944" xr:uid="{D2D78355-644F-4433-9DE0-06C9331E63B1}"/>
    <cellStyle name="Normal 5 7 5 4" xfId="19167" xr:uid="{0EAB5CDF-0971-4931-B530-8E826E3E985A}"/>
    <cellStyle name="Normal 5 7 5 5" xfId="10726" xr:uid="{90C6B10C-47ED-43CF-B84A-2A54DF14B494}"/>
    <cellStyle name="Normal 5 7 6" xfId="2624" xr:uid="{00000000-0005-0000-0000-0000D51B0000}"/>
    <cellStyle name="Normal 5 7 6 2" xfId="6907" xr:uid="{00000000-0005-0000-0000-0000D61B0000}"/>
    <cellStyle name="Normal 5 7 6 2 2" xfId="23798" xr:uid="{A419C59F-A973-47A7-BDAA-3D53E1EB14C0}"/>
    <cellStyle name="Normal 5 7 6 2 3" xfId="15357" xr:uid="{EA484F68-6C23-43A8-9F1B-8DAFFA81613B}"/>
    <cellStyle name="Normal 5 7 6 3" xfId="19580" xr:uid="{571050E8-410A-47A1-BA1B-9E06A1D7358B}"/>
    <cellStyle name="Normal 5 7 6 4" xfId="11139" xr:uid="{0E095451-913F-418A-BBB3-1A3DA3DFF7BE}"/>
    <cellStyle name="Normal 5 7 7" xfId="4842" xr:uid="{00000000-0005-0000-0000-0000D71B0000}"/>
    <cellStyle name="Normal 5 7 7 2" xfId="21733" xr:uid="{D68A5E0E-1D8B-4DE8-886B-8B72DA88C7D8}"/>
    <cellStyle name="Normal 5 7 7 3" xfId="13292" xr:uid="{378EA27A-1571-4480-A201-21866A570C03}"/>
    <cellStyle name="Normal 5 7 8" xfId="17515" xr:uid="{5CBD38F0-EF7D-425C-8EB2-7C57D3D3FBFD}"/>
    <cellStyle name="Normal 5 7 9" xfId="9074" xr:uid="{E65A1296-FF3D-4804-A102-4342219FC262}"/>
    <cellStyle name="Normal 5 8" xfId="880" xr:uid="{00000000-0005-0000-0000-0000D81B0000}"/>
    <cellStyle name="Normal 5 8 2" xfId="3115" xr:uid="{00000000-0005-0000-0000-0000D91B0000}"/>
    <cellStyle name="Normal 5 8 2 2" xfId="7337" xr:uid="{00000000-0005-0000-0000-0000DA1B0000}"/>
    <cellStyle name="Normal 5 8 2 2 2" xfId="24228" xr:uid="{BA5CB841-0AF7-4650-BBED-259CE71ED4FE}"/>
    <cellStyle name="Normal 5 8 2 2 3" xfId="15787" xr:uid="{B8959B6F-87DB-421C-AE2D-E528BC04718C}"/>
    <cellStyle name="Normal 5 8 2 3" xfId="20010" xr:uid="{035BCB35-BF62-47CA-A8EF-5C4B0D9EAF94}"/>
    <cellStyle name="Normal 5 8 2 4" xfId="11569" xr:uid="{239CAE7A-6726-4217-A24B-74C6D6CDEE0F}"/>
    <cellStyle name="Normal 5 8 3" xfId="5192" xr:uid="{00000000-0005-0000-0000-0000DB1B0000}"/>
    <cellStyle name="Normal 5 8 3 2" xfId="22083" xr:uid="{5FFEDA7B-6454-4331-AE1D-27BDACC57103}"/>
    <cellStyle name="Normal 5 8 3 3" xfId="13642" xr:uid="{E792C5BA-E0BA-4E6A-B0E7-AC56953B3182}"/>
    <cellStyle name="Normal 5 8 4" xfId="17865" xr:uid="{89E9AC52-8B32-490A-BDC9-816EE053D9CD}"/>
    <cellStyle name="Normal 5 8 5" xfId="9424" xr:uid="{9E5DDAAB-0CDB-4336-83B8-9BCAB99E253F}"/>
    <cellStyle name="Normal 5 9" xfId="1298" xr:uid="{00000000-0005-0000-0000-0000DC1B0000}"/>
    <cellStyle name="Normal 5 9 2" xfId="3528" xr:uid="{00000000-0005-0000-0000-0000DD1B0000}"/>
    <cellStyle name="Normal 5 9 2 2" xfId="7750" xr:uid="{00000000-0005-0000-0000-0000DE1B0000}"/>
    <cellStyle name="Normal 5 9 2 2 2" xfId="24641" xr:uid="{9B099E2F-1457-4E3A-937F-06F68581AE73}"/>
    <cellStyle name="Normal 5 9 2 2 3" xfId="16200" xr:uid="{E708D5AA-587D-481B-AE30-96CFEB5A83CB}"/>
    <cellStyle name="Normal 5 9 2 3" xfId="20423" xr:uid="{4732C0B3-9E97-433F-8192-78DA28659C2B}"/>
    <cellStyle name="Normal 5 9 2 4" xfId="11982" xr:uid="{CB3BB823-A485-47DE-9A04-C6363478AA17}"/>
    <cellStyle name="Normal 5 9 3" xfId="5605" xr:uid="{00000000-0005-0000-0000-0000DF1B0000}"/>
    <cellStyle name="Normal 5 9 3 2" xfId="22496" xr:uid="{3F7A10C6-4037-4F01-8263-DD559CF115B1}"/>
    <cellStyle name="Normal 5 9 3 3" xfId="14055" xr:uid="{707B31C8-0F1C-40B6-9FAE-DF88337D0424}"/>
    <cellStyle name="Normal 5 9 4" xfId="18278" xr:uid="{B7C03EF0-5C78-442E-B952-274A56DB5B3F}"/>
    <cellStyle name="Normal 5 9 5" xfId="9837" xr:uid="{05ADD2CA-D245-46B9-B91A-12EE86FE4592}"/>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2 2 2" xfId="25531" xr:uid="{87CD1AC7-EABD-465D-B720-DB8AD8FAC26F}"/>
    <cellStyle name="Normal 8 10 2 2 3" xfId="17090" xr:uid="{EC1F1318-3469-46A2-AE23-81E05E25FECF}"/>
    <cellStyle name="Normal 8 10 2 3" xfId="21313" xr:uid="{D5FB894B-04B6-4953-B610-EB7990381E11}"/>
    <cellStyle name="Normal 8 10 2 4" xfId="12872" xr:uid="{9EB0EEAA-79C2-475F-9CF2-E7B16A8172B5}"/>
    <cellStyle name="Normal 8 10 3" xfId="6495" xr:uid="{00000000-0005-0000-0000-0000EB1B0000}"/>
    <cellStyle name="Normal 8 10 3 2" xfId="23386" xr:uid="{0876EFB6-F699-4E18-B82D-CE479CB42F32}"/>
    <cellStyle name="Normal 8 10 3 3" xfId="14945" xr:uid="{9BF8CDD4-0B73-4B45-A7F7-AAEEF9485855}"/>
    <cellStyle name="Normal 8 10 4" xfId="19168" xr:uid="{1A9CBC70-3BF1-475C-A375-75D83B67BAC1}"/>
    <cellStyle name="Normal 8 10 5" xfId="10727" xr:uid="{70986EB9-41CF-4BB6-A8E2-A405D11A3515}"/>
    <cellStyle name="Normal 8 11" xfId="2625" xr:uid="{00000000-0005-0000-0000-0000EC1B0000}"/>
    <cellStyle name="Normal 8 11 2" xfId="6908" xr:uid="{00000000-0005-0000-0000-0000ED1B0000}"/>
    <cellStyle name="Normal 8 11 2 2" xfId="23799" xr:uid="{E561D2F4-E1EB-4E4A-B4A7-9296B4304F13}"/>
    <cellStyle name="Normal 8 11 2 3" xfId="15358" xr:uid="{B2A58758-BACA-4ACD-AF2D-23E7E9656974}"/>
    <cellStyle name="Normal 8 11 3" xfId="19581" xr:uid="{0ACA60FC-CA88-4933-B4B2-D0AB9AF3DA4A}"/>
    <cellStyle name="Normal 8 11 4" xfId="11140" xr:uid="{9A4F3977-7BED-4D53-9674-66B179210517}"/>
    <cellStyle name="Normal 8 12" xfId="4843" xr:uid="{00000000-0005-0000-0000-0000EE1B0000}"/>
    <cellStyle name="Normal 8 12 2" xfId="21734" xr:uid="{EF2D99F6-7CB0-4A25-B451-5759023D3374}"/>
    <cellStyle name="Normal 8 12 3" xfId="13293" xr:uid="{043A2D68-297F-4CF5-AA81-4BF916C6A541}"/>
    <cellStyle name="Normal 8 13" xfId="17516" xr:uid="{192219AE-0EEA-4D1A-A3AF-7BC34C2EDAB5}"/>
    <cellStyle name="Normal 8 14" xfId="9075" xr:uid="{57A9A17D-FAA7-45D0-9B22-D717F4576F79}"/>
    <cellStyle name="Normal 8 2" xfId="479" xr:uid="{00000000-0005-0000-0000-0000EF1B0000}"/>
    <cellStyle name="Normal 8 2 10" xfId="2626" xr:uid="{00000000-0005-0000-0000-0000F01B0000}"/>
    <cellStyle name="Normal 8 2 10 2" xfId="6909" xr:uid="{00000000-0005-0000-0000-0000F11B0000}"/>
    <cellStyle name="Normal 8 2 10 2 2" xfId="23800" xr:uid="{F78B9383-16FF-46E7-ADD7-1E74FD020303}"/>
    <cellStyle name="Normal 8 2 10 2 3" xfId="15359" xr:uid="{F14D8CEE-ECAD-444E-B614-3184E890B767}"/>
    <cellStyle name="Normal 8 2 10 3" xfId="19582" xr:uid="{3EE62C0E-F6B6-4B87-BF71-D4166F951B80}"/>
    <cellStyle name="Normal 8 2 10 4" xfId="11141" xr:uid="{B6A9785C-6C1D-4293-ADB1-267BF058355A}"/>
    <cellStyle name="Normal 8 2 11" xfId="4844" xr:uid="{00000000-0005-0000-0000-0000F21B0000}"/>
    <cellStyle name="Normal 8 2 11 2" xfId="21735" xr:uid="{9122F05C-7E6C-42F9-86C1-E63FF6C90DF3}"/>
    <cellStyle name="Normal 8 2 11 3" xfId="13294" xr:uid="{F3DD6C76-A0EF-457C-B557-9DF1FB4070B4}"/>
    <cellStyle name="Normal 8 2 12" xfId="17517" xr:uid="{30773025-3923-4D41-912C-B1C2E4193C14}"/>
    <cellStyle name="Normal 8 2 13" xfId="9076" xr:uid="{FFE22A6B-ED7A-4987-8328-CC979C64D988}"/>
    <cellStyle name="Normal 8 2 2" xfId="480" xr:uid="{00000000-0005-0000-0000-0000F31B0000}"/>
    <cellStyle name="Normal 8 2 2 10" xfId="4845" xr:uid="{00000000-0005-0000-0000-0000F41B0000}"/>
    <cellStyle name="Normal 8 2 2 10 2" xfId="21736" xr:uid="{83F57777-0DC0-4556-B0EB-2DE527530ED9}"/>
    <cellStyle name="Normal 8 2 2 10 3" xfId="13295" xr:uid="{463D9D44-9C4A-4BB2-9853-6F4349C249FB}"/>
    <cellStyle name="Normal 8 2 2 11" xfId="17518" xr:uid="{CA0C614E-3351-4C4F-8E19-F44A88E694EB}"/>
    <cellStyle name="Normal 8 2 2 12" xfId="9077" xr:uid="{101C8E36-AB54-47ED-9733-D208B77589DA}"/>
    <cellStyle name="Normal 8 2 2 2" xfId="481" xr:uid="{00000000-0005-0000-0000-0000F51B0000}"/>
    <cellStyle name="Normal 8 2 2 2 10" xfId="17519" xr:uid="{EAA164B0-109A-4920-BAB1-E929E711E4F5}"/>
    <cellStyle name="Normal 8 2 2 2 11" xfId="9078" xr:uid="{FA68DCD5-B1D3-4756-BFEC-CFA707130FA0}"/>
    <cellStyle name="Normal 8 2 2 2 2" xfId="482" xr:uid="{00000000-0005-0000-0000-0000F61B0000}"/>
    <cellStyle name="Normal 8 2 2 2 2 10" xfId="9079" xr:uid="{925CB27A-4CAB-46F2-AC6C-CBBA4E8E1E37}"/>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2 2 2" xfId="24297" xr:uid="{890C5ED3-E32D-4555-94B5-5FA8172B969A}"/>
    <cellStyle name="Normal 8 2 2 2 2 2 2 2 2 3" xfId="15856" xr:uid="{128F47E2-C628-49AC-B572-5D1D0E1C69F6}"/>
    <cellStyle name="Normal 8 2 2 2 2 2 2 2 3" xfId="20079" xr:uid="{E7453248-3A11-451A-B3D3-82CC16DA2575}"/>
    <cellStyle name="Normal 8 2 2 2 2 2 2 2 4" xfId="11638" xr:uid="{D39A03FD-A800-4113-B891-8669AA28B804}"/>
    <cellStyle name="Normal 8 2 2 2 2 2 2 3" xfId="5261" xr:uid="{00000000-0005-0000-0000-0000FB1B0000}"/>
    <cellStyle name="Normal 8 2 2 2 2 2 2 3 2" xfId="22152" xr:uid="{05B2AE59-D97B-44D3-8E4D-BD3D063134D7}"/>
    <cellStyle name="Normal 8 2 2 2 2 2 2 3 3" xfId="13711" xr:uid="{CBF92D17-79D5-4072-9C14-FD23CC60D93B}"/>
    <cellStyle name="Normal 8 2 2 2 2 2 2 4" xfId="17934" xr:uid="{FD08044B-4DD0-4DE6-9D68-5AA5AEA13CBC}"/>
    <cellStyle name="Normal 8 2 2 2 2 2 2 5" xfId="9493" xr:uid="{2439F523-7A6B-45B2-A96C-4E6C386D1ABE}"/>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2 2 2" xfId="24710" xr:uid="{877F6602-2420-4394-98F2-4833D9E38B22}"/>
    <cellStyle name="Normal 8 2 2 2 2 2 3 2 2 3" xfId="16269" xr:uid="{FB2C0958-CDBC-4147-A5D6-F937726185B2}"/>
    <cellStyle name="Normal 8 2 2 2 2 2 3 2 3" xfId="20492" xr:uid="{6AE69105-F8E7-4C6D-AF52-472E5A57D6B8}"/>
    <cellStyle name="Normal 8 2 2 2 2 2 3 2 4" xfId="12051" xr:uid="{10E26BF5-9899-4D35-BDEA-7F521CB178DB}"/>
    <cellStyle name="Normal 8 2 2 2 2 2 3 3" xfId="5674" xr:uid="{00000000-0005-0000-0000-0000FF1B0000}"/>
    <cellStyle name="Normal 8 2 2 2 2 2 3 3 2" xfId="22565" xr:uid="{813B42DC-1EEB-4FD0-B530-3EA415A72308}"/>
    <cellStyle name="Normal 8 2 2 2 2 2 3 3 3" xfId="14124" xr:uid="{130D1D12-D777-4C2F-80E2-99C97AAF0E50}"/>
    <cellStyle name="Normal 8 2 2 2 2 2 3 4" xfId="18347" xr:uid="{96975E9A-9BFA-4079-A279-A7813129D79C}"/>
    <cellStyle name="Normal 8 2 2 2 2 2 3 5" xfId="9906" xr:uid="{B3BD8D8F-BE53-4BA5-BB0F-6CC4788F33D2}"/>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2 2 2" xfId="25123" xr:uid="{E5C5CC49-3E82-4545-978C-84A471C25F23}"/>
    <cellStyle name="Normal 8 2 2 2 2 2 4 2 2 3" xfId="16682" xr:uid="{00ACBBE8-EA44-4290-8BC6-1E03756C6CDE}"/>
    <cellStyle name="Normal 8 2 2 2 2 2 4 2 3" xfId="20905" xr:uid="{A1F0B5F7-78D6-43AF-9C90-A8E8FBCB6824}"/>
    <cellStyle name="Normal 8 2 2 2 2 2 4 2 4" xfId="12464" xr:uid="{A8EF3258-DEE9-4F33-BA38-8446217266C1}"/>
    <cellStyle name="Normal 8 2 2 2 2 2 4 3" xfId="6087" xr:uid="{00000000-0005-0000-0000-0000031C0000}"/>
    <cellStyle name="Normal 8 2 2 2 2 2 4 3 2" xfId="22978" xr:uid="{CB7EC980-B6BB-401A-88C3-E9C9A4C09030}"/>
    <cellStyle name="Normal 8 2 2 2 2 2 4 3 3" xfId="14537" xr:uid="{940DBD2F-57E3-4A59-B107-171D956099E9}"/>
    <cellStyle name="Normal 8 2 2 2 2 2 4 4" xfId="18760" xr:uid="{293BD9FC-9571-4DBA-B5BA-3BEF731B6602}"/>
    <cellStyle name="Normal 8 2 2 2 2 2 4 5" xfId="10319" xr:uid="{590B5FBE-859C-4B8A-A20A-FD512D452616}"/>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2 2 2" xfId="25536" xr:uid="{F6C4898E-7172-4736-9262-1211528663D2}"/>
    <cellStyle name="Normal 8 2 2 2 2 2 5 2 2 3" xfId="17095" xr:uid="{83416EE6-B86B-4E70-892C-A1811D258EAE}"/>
    <cellStyle name="Normal 8 2 2 2 2 2 5 2 3" xfId="21318" xr:uid="{D616C447-AFAA-49C6-9251-08ACA7418792}"/>
    <cellStyle name="Normal 8 2 2 2 2 2 5 2 4" xfId="12877" xr:uid="{7541207F-EFD0-4C2D-A4DC-0494AC9D819C}"/>
    <cellStyle name="Normal 8 2 2 2 2 2 5 3" xfId="6500" xr:uid="{00000000-0005-0000-0000-0000071C0000}"/>
    <cellStyle name="Normal 8 2 2 2 2 2 5 3 2" xfId="23391" xr:uid="{E0D40B6A-8BE7-4E17-AE9D-8C136CA38A91}"/>
    <cellStyle name="Normal 8 2 2 2 2 2 5 3 3" xfId="14950" xr:uid="{5CFCE1AF-1E99-4C64-A47D-36DD374B4578}"/>
    <cellStyle name="Normal 8 2 2 2 2 2 5 4" xfId="19173" xr:uid="{5856BB3E-8DAE-4829-96C8-8D112DD95CEA}"/>
    <cellStyle name="Normal 8 2 2 2 2 2 5 5" xfId="10732" xr:uid="{DE3D109A-C1C0-4F26-A738-717776DFAD9C}"/>
    <cellStyle name="Normal 8 2 2 2 2 2 6" xfId="2630" xr:uid="{00000000-0005-0000-0000-0000081C0000}"/>
    <cellStyle name="Normal 8 2 2 2 2 2 6 2" xfId="6913" xr:uid="{00000000-0005-0000-0000-0000091C0000}"/>
    <cellStyle name="Normal 8 2 2 2 2 2 6 2 2" xfId="23804" xr:uid="{AFA96480-E85A-431A-A8CE-1EF187D0F1D4}"/>
    <cellStyle name="Normal 8 2 2 2 2 2 6 2 3" xfId="15363" xr:uid="{8931484B-5367-4DED-94CC-9A89474C7D80}"/>
    <cellStyle name="Normal 8 2 2 2 2 2 6 3" xfId="19586" xr:uid="{8749A477-FF9D-4FD2-A845-C1BFA8A9DF9A}"/>
    <cellStyle name="Normal 8 2 2 2 2 2 6 4" xfId="11145" xr:uid="{602C6266-67CE-4FA6-90DB-DD52E56691DF}"/>
    <cellStyle name="Normal 8 2 2 2 2 2 7" xfId="4848" xr:uid="{00000000-0005-0000-0000-00000A1C0000}"/>
    <cellStyle name="Normal 8 2 2 2 2 2 7 2" xfId="21739" xr:uid="{CDED3698-CB9A-4283-8AAC-1512AD2536AE}"/>
    <cellStyle name="Normal 8 2 2 2 2 2 7 3" xfId="13298" xr:uid="{43841B58-A960-40FA-AC3F-22EDA5E2068A}"/>
    <cellStyle name="Normal 8 2 2 2 2 2 8" xfId="17521" xr:uid="{10D2D58F-F9A0-4F90-A7F8-6DC358ADCEB8}"/>
    <cellStyle name="Normal 8 2 2 2 2 2 9" xfId="9080" xr:uid="{19DCFFCD-964C-4EF1-BD2E-A16EE587FEE2}"/>
    <cellStyle name="Normal 8 2 2 2 2 3" xfId="949" xr:uid="{00000000-0005-0000-0000-00000B1C0000}"/>
    <cellStyle name="Normal 8 2 2 2 2 3 2" xfId="3183" xr:uid="{00000000-0005-0000-0000-00000C1C0000}"/>
    <cellStyle name="Normal 8 2 2 2 2 3 2 2" xfId="7405" xr:uid="{00000000-0005-0000-0000-00000D1C0000}"/>
    <cellStyle name="Normal 8 2 2 2 2 3 2 2 2" xfId="24296" xr:uid="{A3C4D00C-3630-4D97-9B2F-10E0FC7ACBF4}"/>
    <cellStyle name="Normal 8 2 2 2 2 3 2 2 3" xfId="15855" xr:uid="{55DD0E88-3FCB-4203-995E-9CE2E15CE363}"/>
    <cellStyle name="Normal 8 2 2 2 2 3 2 3" xfId="20078" xr:uid="{568BBE60-934E-45A0-A731-783F9242F0E9}"/>
    <cellStyle name="Normal 8 2 2 2 2 3 2 4" xfId="11637" xr:uid="{E8F5CC51-3A7B-4B25-9E25-5FDE431E763E}"/>
    <cellStyle name="Normal 8 2 2 2 2 3 3" xfId="5260" xr:uid="{00000000-0005-0000-0000-00000E1C0000}"/>
    <cellStyle name="Normal 8 2 2 2 2 3 3 2" xfId="22151" xr:uid="{43AF634F-50F4-4B21-8257-A1DEC003A9C5}"/>
    <cellStyle name="Normal 8 2 2 2 2 3 3 3" xfId="13710" xr:uid="{3F191C71-53A6-4C80-9670-9850511B3540}"/>
    <cellStyle name="Normal 8 2 2 2 2 3 4" xfId="17933" xr:uid="{B94EC9A1-ACCF-40C1-9411-D081E026C948}"/>
    <cellStyle name="Normal 8 2 2 2 2 3 5" xfId="9492" xr:uid="{FA2B2ED4-F573-4D29-AF97-E0F7C3F36C41}"/>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2 2 2" xfId="24709" xr:uid="{2DE8C115-B7AA-491C-9FB2-C9AABDB81BB2}"/>
    <cellStyle name="Normal 8 2 2 2 2 4 2 2 3" xfId="16268" xr:uid="{9B65EF74-8F3B-48CD-9155-BD3A7DF60E4C}"/>
    <cellStyle name="Normal 8 2 2 2 2 4 2 3" xfId="20491" xr:uid="{74B05E17-B1EF-4D62-81DE-A143CB1E7DC4}"/>
    <cellStyle name="Normal 8 2 2 2 2 4 2 4" xfId="12050" xr:uid="{501719AC-7E3C-46AB-8C45-48705CFAE669}"/>
    <cellStyle name="Normal 8 2 2 2 2 4 3" xfId="5673" xr:uid="{00000000-0005-0000-0000-0000121C0000}"/>
    <cellStyle name="Normal 8 2 2 2 2 4 3 2" xfId="22564" xr:uid="{10CAABEF-6B23-4C2E-9713-8AF9333D5B82}"/>
    <cellStyle name="Normal 8 2 2 2 2 4 3 3" xfId="14123" xr:uid="{A09FE9E6-0DE2-47CD-829F-18F9BDED1556}"/>
    <cellStyle name="Normal 8 2 2 2 2 4 4" xfId="18346" xr:uid="{ADC92F28-62FC-48BD-933B-982254478D25}"/>
    <cellStyle name="Normal 8 2 2 2 2 4 5" xfId="9905" xr:uid="{5C5FFFED-2CFC-45BD-8980-10F4FCABD605}"/>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2 2 2" xfId="25122" xr:uid="{428CC669-7692-4AAD-9CB8-4F50076290D2}"/>
    <cellStyle name="Normal 8 2 2 2 2 5 2 2 3" xfId="16681" xr:uid="{CA4087D7-8E95-4072-BA5A-1AA99A9D5AF0}"/>
    <cellStyle name="Normal 8 2 2 2 2 5 2 3" xfId="20904" xr:uid="{C82736E0-473A-4353-9D14-042BCEE1CECA}"/>
    <cellStyle name="Normal 8 2 2 2 2 5 2 4" xfId="12463" xr:uid="{5222C122-EFA3-40F9-996E-3D05ED04938A}"/>
    <cellStyle name="Normal 8 2 2 2 2 5 3" xfId="6086" xr:uid="{00000000-0005-0000-0000-0000161C0000}"/>
    <cellStyle name="Normal 8 2 2 2 2 5 3 2" xfId="22977" xr:uid="{2C57F643-A6CD-48D9-A968-9EB615064BE9}"/>
    <cellStyle name="Normal 8 2 2 2 2 5 3 3" xfId="14536" xr:uid="{A1FCDB90-F76A-43E3-8B4D-9A4B34C61B82}"/>
    <cellStyle name="Normal 8 2 2 2 2 5 4" xfId="18759" xr:uid="{2D8F7271-288D-4655-B758-BF219C363D25}"/>
    <cellStyle name="Normal 8 2 2 2 2 5 5" xfId="10318" xr:uid="{5F656A16-2412-438F-99D3-9B8AC15DF632}"/>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2 2 2" xfId="25535" xr:uid="{62FC9B51-242B-4501-802B-CD8F84720BEE}"/>
    <cellStyle name="Normal 8 2 2 2 2 6 2 2 3" xfId="17094" xr:uid="{7CF9089B-62EF-42CA-A55B-61293E638996}"/>
    <cellStyle name="Normal 8 2 2 2 2 6 2 3" xfId="21317" xr:uid="{F2A71A9B-BB20-4D3F-83AC-594E4DF0918D}"/>
    <cellStyle name="Normal 8 2 2 2 2 6 2 4" xfId="12876" xr:uid="{03FBB911-9D6E-46CB-94C0-8243532C92F9}"/>
    <cellStyle name="Normal 8 2 2 2 2 6 3" xfId="6499" xr:uid="{00000000-0005-0000-0000-00001A1C0000}"/>
    <cellStyle name="Normal 8 2 2 2 2 6 3 2" xfId="23390" xr:uid="{1E7DE2EE-F688-4E05-BE3D-CEEEDB08DC4A}"/>
    <cellStyle name="Normal 8 2 2 2 2 6 3 3" xfId="14949" xr:uid="{2E4548F0-E5F0-4F58-A9DF-E8A34E058B07}"/>
    <cellStyle name="Normal 8 2 2 2 2 6 4" xfId="19172" xr:uid="{AF1DE5C1-CD6E-45DD-9B98-00160A09E3D7}"/>
    <cellStyle name="Normal 8 2 2 2 2 6 5" xfId="10731" xr:uid="{F92DA46E-A432-4356-8E36-D41BCEE882C0}"/>
    <cellStyle name="Normal 8 2 2 2 2 7" xfId="2629" xr:uid="{00000000-0005-0000-0000-00001B1C0000}"/>
    <cellStyle name="Normal 8 2 2 2 2 7 2" xfId="6912" xr:uid="{00000000-0005-0000-0000-00001C1C0000}"/>
    <cellStyle name="Normal 8 2 2 2 2 7 2 2" xfId="23803" xr:uid="{9D9FC71C-AA8F-4B30-A2E3-C44FB2CA6EE6}"/>
    <cellStyle name="Normal 8 2 2 2 2 7 2 3" xfId="15362" xr:uid="{93E75D08-77E5-4D2D-8F24-4306B4BD2101}"/>
    <cellStyle name="Normal 8 2 2 2 2 7 3" xfId="19585" xr:uid="{3A8AC5F1-2337-414B-B6C1-973D55736DB9}"/>
    <cellStyle name="Normal 8 2 2 2 2 7 4" xfId="11144" xr:uid="{FF29A0EF-3B70-45B8-B0CB-059135F636AA}"/>
    <cellStyle name="Normal 8 2 2 2 2 8" xfId="4847" xr:uid="{00000000-0005-0000-0000-00001D1C0000}"/>
    <cellStyle name="Normal 8 2 2 2 2 8 2" xfId="21738" xr:uid="{3D1DCE02-F2F9-4487-9571-A0B33E1EA3C3}"/>
    <cellStyle name="Normal 8 2 2 2 2 8 3" xfId="13297" xr:uid="{F330E772-94F5-4C59-8DF6-1B39A8948BF9}"/>
    <cellStyle name="Normal 8 2 2 2 2 9" xfId="17520" xr:uid="{63109D26-5BE0-4EE0-B429-C64297F9DC15}"/>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2 2 2" xfId="24298" xr:uid="{0B62BFAA-8A35-4E3F-9A84-4A614FD47948}"/>
    <cellStyle name="Normal 8 2 2 2 3 2 2 2 3" xfId="15857" xr:uid="{94343BD0-E3ED-4491-A7D2-1E20B7928CDC}"/>
    <cellStyle name="Normal 8 2 2 2 3 2 2 3" xfId="20080" xr:uid="{4F3219C7-548F-4A1C-B17C-9AD98BF1449D}"/>
    <cellStyle name="Normal 8 2 2 2 3 2 2 4" xfId="11639" xr:uid="{5DE521C4-D6AD-4DA2-8FBB-2754CB762F59}"/>
    <cellStyle name="Normal 8 2 2 2 3 2 3" xfId="5262" xr:uid="{00000000-0005-0000-0000-0000221C0000}"/>
    <cellStyle name="Normal 8 2 2 2 3 2 3 2" xfId="22153" xr:uid="{4E99E7EF-30F9-484C-8002-82C1B5616F74}"/>
    <cellStyle name="Normal 8 2 2 2 3 2 3 3" xfId="13712" xr:uid="{7E0A22FB-2950-4DB6-9062-B3494B7C7B70}"/>
    <cellStyle name="Normal 8 2 2 2 3 2 4" xfId="17935" xr:uid="{161027CE-017E-4CEA-A8BB-E6941767CA8F}"/>
    <cellStyle name="Normal 8 2 2 2 3 2 5" xfId="9494" xr:uid="{EC2253B6-616F-45AF-8910-9FA94551E587}"/>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2 2 2" xfId="24711" xr:uid="{98A07975-ADF6-4DA6-835F-B61C723B69AA}"/>
    <cellStyle name="Normal 8 2 2 2 3 3 2 2 3" xfId="16270" xr:uid="{1974D15B-6398-4E39-B9ED-BA75956B040E}"/>
    <cellStyle name="Normal 8 2 2 2 3 3 2 3" xfId="20493" xr:uid="{6571A51C-6275-47D8-9B89-C30C75E8C0EF}"/>
    <cellStyle name="Normal 8 2 2 2 3 3 2 4" xfId="12052" xr:uid="{9B0D4AD5-45FD-4814-88AD-23DCC4C5DFE0}"/>
    <cellStyle name="Normal 8 2 2 2 3 3 3" xfId="5675" xr:uid="{00000000-0005-0000-0000-0000261C0000}"/>
    <cellStyle name="Normal 8 2 2 2 3 3 3 2" xfId="22566" xr:uid="{5A1FD2AA-4ADA-4593-ADD0-F9EADD79A92E}"/>
    <cellStyle name="Normal 8 2 2 2 3 3 3 3" xfId="14125" xr:uid="{03D6F2C0-6F06-4112-A6FB-162015D569D5}"/>
    <cellStyle name="Normal 8 2 2 2 3 3 4" xfId="18348" xr:uid="{3CC53355-6242-44A4-9037-2722ADEF6061}"/>
    <cellStyle name="Normal 8 2 2 2 3 3 5" xfId="9907" xr:uid="{3D810765-A495-497B-A536-4E5B7A4C1A73}"/>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2 2 2" xfId="25124" xr:uid="{90C8197E-8E30-4DA4-90A4-252B9BBF5AC6}"/>
    <cellStyle name="Normal 8 2 2 2 3 4 2 2 3" xfId="16683" xr:uid="{9D683A0D-3D4D-429F-8002-DFEA12500C17}"/>
    <cellStyle name="Normal 8 2 2 2 3 4 2 3" xfId="20906" xr:uid="{FB4EB5A4-A186-489D-B9B5-5B0495E68927}"/>
    <cellStyle name="Normal 8 2 2 2 3 4 2 4" xfId="12465" xr:uid="{D5FF45EB-2370-4A95-91B3-E7C5C1D12513}"/>
    <cellStyle name="Normal 8 2 2 2 3 4 3" xfId="6088" xr:uid="{00000000-0005-0000-0000-00002A1C0000}"/>
    <cellStyle name="Normal 8 2 2 2 3 4 3 2" xfId="22979" xr:uid="{4E16AFDF-EB1E-42D0-A2C0-D34A29C847D3}"/>
    <cellStyle name="Normal 8 2 2 2 3 4 3 3" xfId="14538" xr:uid="{4106A919-7066-40D8-9D86-FF573E103B34}"/>
    <cellStyle name="Normal 8 2 2 2 3 4 4" xfId="18761" xr:uid="{5EF8A925-3027-4D7A-999C-7D4A15C86FF0}"/>
    <cellStyle name="Normal 8 2 2 2 3 4 5" xfId="10320" xr:uid="{40AA3937-8AFC-4C7D-B802-EB5D66CC12A1}"/>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2 2 2" xfId="25537" xr:uid="{E6EDC877-4C40-4BD2-9120-4BA1BFCC1DD8}"/>
    <cellStyle name="Normal 8 2 2 2 3 5 2 2 3" xfId="17096" xr:uid="{694E6A7A-13FB-4265-A025-1A41C482DB10}"/>
    <cellStyle name="Normal 8 2 2 2 3 5 2 3" xfId="21319" xr:uid="{D033561C-AFF1-4EF3-B17A-E1CEF0B3FC75}"/>
    <cellStyle name="Normal 8 2 2 2 3 5 2 4" xfId="12878" xr:uid="{5D934258-98D0-4B03-AB32-0227C6D23129}"/>
    <cellStyle name="Normal 8 2 2 2 3 5 3" xfId="6501" xr:uid="{00000000-0005-0000-0000-00002E1C0000}"/>
    <cellStyle name="Normal 8 2 2 2 3 5 3 2" xfId="23392" xr:uid="{34192D5E-CD8E-4088-BDD2-94188DA964E8}"/>
    <cellStyle name="Normal 8 2 2 2 3 5 3 3" xfId="14951" xr:uid="{F976D188-6251-4003-B756-773E90F24EBD}"/>
    <cellStyle name="Normal 8 2 2 2 3 5 4" xfId="19174" xr:uid="{E532F060-7DDF-4466-A906-40F1D7655290}"/>
    <cellStyle name="Normal 8 2 2 2 3 5 5" xfId="10733" xr:uid="{DE5B71BF-E785-4BD1-B818-907AB171A9CA}"/>
    <cellStyle name="Normal 8 2 2 2 3 6" xfId="2631" xr:uid="{00000000-0005-0000-0000-00002F1C0000}"/>
    <cellStyle name="Normal 8 2 2 2 3 6 2" xfId="6914" xr:uid="{00000000-0005-0000-0000-0000301C0000}"/>
    <cellStyle name="Normal 8 2 2 2 3 6 2 2" xfId="23805" xr:uid="{E64DB033-7834-4C78-A500-B13E83547A3C}"/>
    <cellStyle name="Normal 8 2 2 2 3 6 2 3" xfId="15364" xr:uid="{6F442BF2-42B3-4B0B-819F-4181B91BA858}"/>
    <cellStyle name="Normal 8 2 2 2 3 6 3" xfId="19587" xr:uid="{CB982B67-8E3F-4BA9-94B2-46F254A5D410}"/>
    <cellStyle name="Normal 8 2 2 2 3 6 4" xfId="11146" xr:uid="{5560C986-E9AA-4057-A91D-AC076F71A245}"/>
    <cellStyle name="Normal 8 2 2 2 3 7" xfId="4849" xr:uid="{00000000-0005-0000-0000-0000311C0000}"/>
    <cellStyle name="Normal 8 2 2 2 3 7 2" xfId="21740" xr:uid="{1085EC2A-E42D-4EB7-BE21-EEFDDA09BB3D}"/>
    <cellStyle name="Normal 8 2 2 2 3 7 3" xfId="13299" xr:uid="{67234D95-AD30-4ABA-BA85-DA1A1C06F187}"/>
    <cellStyle name="Normal 8 2 2 2 3 8" xfId="17522" xr:uid="{6268DEB0-8048-40BD-B715-2DC13740498D}"/>
    <cellStyle name="Normal 8 2 2 2 3 9" xfId="9081" xr:uid="{FCC854ED-AA70-432B-A468-D5089113F40E}"/>
    <cellStyle name="Normal 8 2 2 2 4" xfId="948" xr:uid="{00000000-0005-0000-0000-0000321C0000}"/>
    <cellStyle name="Normal 8 2 2 2 4 2" xfId="3182" xr:uid="{00000000-0005-0000-0000-0000331C0000}"/>
    <cellStyle name="Normal 8 2 2 2 4 2 2" xfId="7404" xr:uid="{00000000-0005-0000-0000-0000341C0000}"/>
    <cellStyle name="Normal 8 2 2 2 4 2 2 2" xfId="24295" xr:uid="{7C152572-6656-42C7-8154-330485AF5FA6}"/>
    <cellStyle name="Normal 8 2 2 2 4 2 2 3" xfId="15854" xr:uid="{B07B14FB-2825-44C8-B594-66D070646E21}"/>
    <cellStyle name="Normal 8 2 2 2 4 2 3" xfId="20077" xr:uid="{27FFE114-BD82-4FDE-AA07-53500285509B}"/>
    <cellStyle name="Normal 8 2 2 2 4 2 4" xfId="11636" xr:uid="{41D0A8BC-A53C-48FD-B8D2-6D942B309BCA}"/>
    <cellStyle name="Normal 8 2 2 2 4 3" xfId="5259" xr:uid="{00000000-0005-0000-0000-0000351C0000}"/>
    <cellStyle name="Normal 8 2 2 2 4 3 2" xfId="22150" xr:uid="{8688E9F9-C0A2-45D3-9887-58DB70F14FF9}"/>
    <cellStyle name="Normal 8 2 2 2 4 3 3" xfId="13709" xr:uid="{C8CC06A6-8068-40DD-9E34-2EF9CC770526}"/>
    <cellStyle name="Normal 8 2 2 2 4 4" xfId="17932" xr:uid="{26CF07A1-2461-4263-9D61-1E0837197AD8}"/>
    <cellStyle name="Normal 8 2 2 2 4 5" xfId="9491" xr:uid="{4969F238-3628-4C63-BA73-7C9F7570EFA5}"/>
    <cellStyle name="Normal 8 2 2 2 5" xfId="1365" xr:uid="{00000000-0005-0000-0000-0000361C0000}"/>
    <cellStyle name="Normal 8 2 2 2 5 2" xfId="3595" xr:uid="{00000000-0005-0000-0000-0000371C0000}"/>
    <cellStyle name="Normal 8 2 2 2 5 2 2" xfId="7817" xr:uid="{00000000-0005-0000-0000-0000381C0000}"/>
    <cellStyle name="Normal 8 2 2 2 5 2 2 2" xfId="24708" xr:uid="{776171F8-DF75-444C-A159-2F5E4CE9E49F}"/>
    <cellStyle name="Normal 8 2 2 2 5 2 2 3" xfId="16267" xr:uid="{E29324A2-696B-4431-92CB-67ECB2940D63}"/>
    <cellStyle name="Normal 8 2 2 2 5 2 3" xfId="20490" xr:uid="{03FF2AC2-D73A-4764-BF24-D9052B3D22B4}"/>
    <cellStyle name="Normal 8 2 2 2 5 2 4" xfId="12049" xr:uid="{C6F231AA-3128-43A9-8B22-45D282B5CC0C}"/>
    <cellStyle name="Normal 8 2 2 2 5 3" xfId="5672" xr:uid="{00000000-0005-0000-0000-0000391C0000}"/>
    <cellStyle name="Normal 8 2 2 2 5 3 2" xfId="22563" xr:uid="{501DB3F1-945B-44E1-89CA-F6336BFE8047}"/>
    <cellStyle name="Normal 8 2 2 2 5 3 3" xfId="14122" xr:uid="{AC91BABC-AB37-46FC-8802-44B0B2A90901}"/>
    <cellStyle name="Normal 8 2 2 2 5 4" xfId="18345" xr:uid="{1B9FF61E-1B10-4310-8160-639A51384E26}"/>
    <cellStyle name="Normal 8 2 2 2 5 5" xfId="9904" xr:uid="{B99E6F62-5737-4A1A-95B3-5E46E950D11B}"/>
    <cellStyle name="Normal 8 2 2 2 6" xfId="1778" xr:uid="{00000000-0005-0000-0000-00003A1C0000}"/>
    <cellStyle name="Normal 8 2 2 2 6 2" xfId="4008" xr:uid="{00000000-0005-0000-0000-00003B1C0000}"/>
    <cellStyle name="Normal 8 2 2 2 6 2 2" xfId="8230" xr:uid="{00000000-0005-0000-0000-00003C1C0000}"/>
    <cellStyle name="Normal 8 2 2 2 6 2 2 2" xfId="25121" xr:uid="{D4CBA1A0-2D9B-4133-AA98-9FC80C6B96C2}"/>
    <cellStyle name="Normal 8 2 2 2 6 2 2 3" xfId="16680" xr:uid="{7958EECD-E4F1-4A6C-942D-32DF751A9128}"/>
    <cellStyle name="Normal 8 2 2 2 6 2 3" xfId="20903" xr:uid="{7FC0922D-0E12-4241-962E-E6A1C8935648}"/>
    <cellStyle name="Normal 8 2 2 2 6 2 4" xfId="12462" xr:uid="{4146362B-1CA9-4A6F-9DAC-31B386FF0B6C}"/>
    <cellStyle name="Normal 8 2 2 2 6 3" xfId="6085" xr:uid="{00000000-0005-0000-0000-00003D1C0000}"/>
    <cellStyle name="Normal 8 2 2 2 6 3 2" xfId="22976" xr:uid="{7D6BDA4D-D35E-4EB4-94D9-1736AC7A3394}"/>
    <cellStyle name="Normal 8 2 2 2 6 3 3" xfId="14535" xr:uid="{39FDE2C4-3593-4488-9DDF-BC56E69AF890}"/>
    <cellStyle name="Normal 8 2 2 2 6 4" xfId="18758" xr:uid="{4BEE33D4-F8A6-42B5-86B0-00BB7064FE7C}"/>
    <cellStyle name="Normal 8 2 2 2 6 5" xfId="10317" xr:uid="{36BC048E-01C0-4364-87C3-BE015E7F9057}"/>
    <cellStyle name="Normal 8 2 2 2 7" xfId="2192" xr:uid="{00000000-0005-0000-0000-00003E1C0000}"/>
    <cellStyle name="Normal 8 2 2 2 7 2" xfId="4421" xr:uid="{00000000-0005-0000-0000-00003F1C0000}"/>
    <cellStyle name="Normal 8 2 2 2 7 2 2" xfId="8643" xr:uid="{00000000-0005-0000-0000-0000401C0000}"/>
    <cellStyle name="Normal 8 2 2 2 7 2 2 2" xfId="25534" xr:uid="{E4609EFF-8EAA-4866-A051-5B28E1D2A5CD}"/>
    <cellStyle name="Normal 8 2 2 2 7 2 2 3" xfId="17093" xr:uid="{E87E122E-2556-4968-A527-9473DA33CEA9}"/>
    <cellStyle name="Normal 8 2 2 2 7 2 3" xfId="21316" xr:uid="{FCDECECA-4100-4607-8FE2-45F0BB31C4F2}"/>
    <cellStyle name="Normal 8 2 2 2 7 2 4" xfId="12875" xr:uid="{BFF13467-FD43-4B59-9CE5-73B588E523EB}"/>
    <cellStyle name="Normal 8 2 2 2 7 3" xfId="6498" xr:uid="{00000000-0005-0000-0000-0000411C0000}"/>
    <cellStyle name="Normal 8 2 2 2 7 3 2" xfId="23389" xr:uid="{7A7C4179-430E-489F-A58F-C21C1DAE1AC6}"/>
    <cellStyle name="Normal 8 2 2 2 7 3 3" xfId="14948" xr:uid="{B5030DFB-37ED-40BB-929C-051338B9721A}"/>
    <cellStyle name="Normal 8 2 2 2 7 4" xfId="19171" xr:uid="{66E63772-1456-461F-B45D-E3E0FAAD585D}"/>
    <cellStyle name="Normal 8 2 2 2 7 5" xfId="10730" xr:uid="{3685F062-F750-4D63-8760-E7281E78E6CB}"/>
    <cellStyle name="Normal 8 2 2 2 8" xfId="2628" xr:uid="{00000000-0005-0000-0000-0000421C0000}"/>
    <cellStyle name="Normal 8 2 2 2 8 2" xfId="6911" xr:uid="{00000000-0005-0000-0000-0000431C0000}"/>
    <cellStyle name="Normal 8 2 2 2 8 2 2" xfId="23802" xr:uid="{EEB6606B-B664-4F5D-8F25-E5BDE0D34819}"/>
    <cellStyle name="Normal 8 2 2 2 8 2 3" xfId="15361" xr:uid="{E2279634-B7F7-42DC-BDC5-E84A499F92C1}"/>
    <cellStyle name="Normal 8 2 2 2 8 3" xfId="19584" xr:uid="{65FF25D3-FEE0-4475-8208-48281302B404}"/>
    <cellStyle name="Normal 8 2 2 2 8 4" xfId="11143" xr:uid="{8269AAE3-83A0-4731-80FB-6B155F758A91}"/>
    <cellStyle name="Normal 8 2 2 2 9" xfId="4846" xr:uid="{00000000-0005-0000-0000-0000441C0000}"/>
    <cellStyle name="Normal 8 2 2 2 9 2" xfId="21737" xr:uid="{58CE688A-3433-4D95-BE78-9517615779CE}"/>
    <cellStyle name="Normal 8 2 2 2 9 3" xfId="13296" xr:uid="{5D7E4A73-D0FD-4A3F-8AC3-DE598F9AE026}"/>
    <cellStyle name="Normal 8 2 2 3" xfId="485" xr:uid="{00000000-0005-0000-0000-0000451C0000}"/>
    <cellStyle name="Normal 8 2 2 3 10" xfId="9082" xr:uid="{131BAE31-8C4E-474E-B89B-E6F955897A71}"/>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2 2 2" xfId="24300" xr:uid="{8B571EEB-A0DE-4152-B506-51FBD26F5B41}"/>
    <cellStyle name="Normal 8 2 2 3 2 2 2 2 3" xfId="15859" xr:uid="{B1235D8A-D544-446A-84F1-0A0CBD848994}"/>
    <cellStyle name="Normal 8 2 2 3 2 2 2 3" xfId="20082" xr:uid="{69519F2F-733C-4BAF-8DB2-58091B585988}"/>
    <cellStyle name="Normal 8 2 2 3 2 2 2 4" xfId="11641" xr:uid="{2989129C-4EE5-4543-A30C-51A81B818E1F}"/>
    <cellStyle name="Normal 8 2 2 3 2 2 3" xfId="5264" xr:uid="{00000000-0005-0000-0000-00004A1C0000}"/>
    <cellStyle name="Normal 8 2 2 3 2 2 3 2" xfId="22155" xr:uid="{252DEB77-3F08-4595-9478-B9787D1044DA}"/>
    <cellStyle name="Normal 8 2 2 3 2 2 3 3" xfId="13714" xr:uid="{DBF88967-48F3-45F1-A25A-568AB02460D4}"/>
    <cellStyle name="Normal 8 2 2 3 2 2 4" xfId="17937" xr:uid="{E3A80169-3400-40D4-A935-814A906B1FC4}"/>
    <cellStyle name="Normal 8 2 2 3 2 2 5" xfId="9496" xr:uid="{B2D63D44-6E7C-462D-A1BB-FABE532365D2}"/>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2 2 2" xfId="24713" xr:uid="{5666D3A8-6FA6-42BA-B759-B46ACFBAF49B}"/>
    <cellStyle name="Normal 8 2 2 3 2 3 2 2 3" xfId="16272" xr:uid="{0DD36FDA-9D2B-4853-9AA4-20579E3A5026}"/>
    <cellStyle name="Normal 8 2 2 3 2 3 2 3" xfId="20495" xr:uid="{31B9FCD0-1C07-4CCC-A870-0F1F0189A894}"/>
    <cellStyle name="Normal 8 2 2 3 2 3 2 4" xfId="12054" xr:uid="{D22271D9-4E46-4D8A-9094-FA35D78FC548}"/>
    <cellStyle name="Normal 8 2 2 3 2 3 3" xfId="5677" xr:uid="{00000000-0005-0000-0000-00004E1C0000}"/>
    <cellStyle name="Normal 8 2 2 3 2 3 3 2" xfId="22568" xr:uid="{C32A618B-91BD-4EA8-87B8-00C0086B1E45}"/>
    <cellStyle name="Normal 8 2 2 3 2 3 3 3" xfId="14127" xr:uid="{82BA3774-DACD-4E62-9CA2-F476A9FA88D6}"/>
    <cellStyle name="Normal 8 2 2 3 2 3 4" xfId="18350" xr:uid="{CC153B98-3895-4F89-8E42-9B87FDEBBF8F}"/>
    <cellStyle name="Normal 8 2 2 3 2 3 5" xfId="9909" xr:uid="{8D252F08-556A-4BB8-81CB-B4BCACDFFA48}"/>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2 2 2" xfId="25126" xr:uid="{77D7049F-85CB-41F9-B6FA-7F9896295BDB}"/>
    <cellStyle name="Normal 8 2 2 3 2 4 2 2 3" xfId="16685" xr:uid="{C79B3C9D-BA60-42B2-B07F-E32470DD342B}"/>
    <cellStyle name="Normal 8 2 2 3 2 4 2 3" xfId="20908" xr:uid="{FF22DF14-0EE5-40BB-BA48-8715850456FC}"/>
    <cellStyle name="Normal 8 2 2 3 2 4 2 4" xfId="12467" xr:uid="{6B595487-6BD1-4F4E-9459-8CE1154C6644}"/>
    <cellStyle name="Normal 8 2 2 3 2 4 3" xfId="6090" xr:uid="{00000000-0005-0000-0000-0000521C0000}"/>
    <cellStyle name="Normal 8 2 2 3 2 4 3 2" xfId="22981" xr:uid="{4354545E-0E51-4D63-A8C5-EE182E29573B}"/>
    <cellStyle name="Normal 8 2 2 3 2 4 3 3" xfId="14540" xr:uid="{9B4DA817-5B2C-4865-9762-8E20393CB9CE}"/>
    <cellStyle name="Normal 8 2 2 3 2 4 4" xfId="18763" xr:uid="{88465AA1-AC23-43E5-B35B-AE60F0D12A32}"/>
    <cellStyle name="Normal 8 2 2 3 2 4 5" xfId="10322" xr:uid="{022C58B6-B51B-4DEF-9A29-FB395F52C051}"/>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2 2 2" xfId="25539" xr:uid="{29A9737E-87E6-4C1C-8A2D-8810BC91F93C}"/>
    <cellStyle name="Normal 8 2 2 3 2 5 2 2 3" xfId="17098" xr:uid="{B9FC0887-5F19-4F2E-82FC-8628E13FE5A8}"/>
    <cellStyle name="Normal 8 2 2 3 2 5 2 3" xfId="21321" xr:uid="{7A4DD4AD-6D3E-4A0A-AF89-ACA6CA51CEF4}"/>
    <cellStyle name="Normal 8 2 2 3 2 5 2 4" xfId="12880" xr:uid="{7DCB0BDD-38F1-4112-91F1-A606A02940B1}"/>
    <cellStyle name="Normal 8 2 2 3 2 5 3" xfId="6503" xr:uid="{00000000-0005-0000-0000-0000561C0000}"/>
    <cellStyle name="Normal 8 2 2 3 2 5 3 2" xfId="23394" xr:uid="{D7E88FFE-400B-4B00-B319-7FB578A9946A}"/>
    <cellStyle name="Normal 8 2 2 3 2 5 3 3" xfId="14953" xr:uid="{209B34FD-DA32-4ABF-BCAF-EF71B6FB4676}"/>
    <cellStyle name="Normal 8 2 2 3 2 5 4" xfId="19176" xr:uid="{09288188-BB6A-4B48-804E-92976E2E8ADA}"/>
    <cellStyle name="Normal 8 2 2 3 2 5 5" xfId="10735" xr:uid="{1F25FEA4-90FD-4E3A-9450-B64ACE17970F}"/>
    <cellStyle name="Normal 8 2 2 3 2 6" xfId="2633" xr:uid="{00000000-0005-0000-0000-0000571C0000}"/>
    <cellStyle name="Normal 8 2 2 3 2 6 2" xfId="6916" xr:uid="{00000000-0005-0000-0000-0000581C0000}"/>
    <cellStyle name="Normal 8 2 2 3 2 6 2 2" xfId="23807" xr:uid="{32D9E3AC-52D9-4DCE-A38F-2B449DF82004}"/>
    <cellStyle name="Normal 8 2 2 3 2 6 2 3" xfId="15366" xr:uid="{8EEB8EB5-1755-4A11-BBC6-1A50966D5CDD}"/>
    <cellStyle name="Normal 8 2 2 3 2 6 3" xfId="19589" xr:uid="{DA5DF7E5-6D49-465D-9CF8-03D0A9367815}"/>
    <cellStyle name="Normal 8 2 2 3 2 6 4" xfId="11148" xr:uid="{68E5D19C-0C1E-4CA0-A712-228ADC67EE3F}"/>
    <cellStyle name="Normal 8 2 2 3 2 7" xfId="4851" xr:uid="{00000000-0005-0000-0000-0000591C0000}"/>
    <cellStyle name="Normal 8 2 2 3 2 7 2" xfId="21742" xr:uid="{681A2F5A-48B3-4E21-B640-C285B26950E3}"/>
    <cellStyle name="Normal 8 2 2 3 2 7 3" xfId="13301" xr:uid="{B64E28B6-6DB3-4EA7-A6A2-DAA63788E141}"/>
    <cellStyle name="Normal 8 2 2 3 2 8" xfId="17524" xr:uid="{ED0E2B27-1849-4C0B-9BC3-AE0DA6482884}"/>
    <cellStyle name="Normal 8 2 2 3 2 9" xfId="9083" xr:uid="{E47A74DE-F03F-4471-B27B-57D1A0541E57}"/>
    <cellStyle name="Normal 8 2 2 3 3" xfId="952" xr:uid="{00000000-0005-0000-0000-00005A1C0000}"/>
    <cellStyle name="Normal 8 2 2 3 3 2" xfId="3186" xr:uid="{00000000-0005-0000-0000-00005B1C0000}"/>
    <cellStyle name="Normal 8 2 2 3 3 2 2" xfId="7408" xr:uid="{00000000-0005-0000-0000-00005C1C0000}"/>
    <cellStyle name="Normal 8 2 2 3 3 2 2 2" xfId="24299" xr:uid="{66E44448-5627-4243-92E7-6972D22022B4}"/>
    <cellStyle name="Normal 8 2 2 3 3 2 2 3" xfId="15858" xr:uid="{E49F5997-2FF4-443C-B5D7-85A0C33AAD19}"/>
    <cellStyle name="Normal 8 2 2 3 3 2 3" xfId="20081" xr:uid="{42CD2F68-6FC8-4ECF-B0E7-222240CA0D92}"/>
    <cellStyle name="Normal 8 2 2 3 3 2 4" xfId="11640" xr:uid="{318CF53E-BC32-4723-8571-6684C21A37CD}"/>
    <cellStyle name="Normal 8 2 2 3 3 3" xfId="5263" xr:uid="{00000000-0005-0000-0000-00005D1C0000}"/>
    <cellStyle name="Normal 8 2 2 3 3 3 2" xfId="22154" xr:uid="{A2E26B86-ECDC-4848-8B20-B4D6EE68F7D5}"/>
    <cellStyle name="Normal 8 2 2 3 3 3 3" xfId="13713" xr:uid="{57A395D6-46E5-4EB6-983C-9BA4EF4E0C95}"/>
    <cellStyle name="Normal 8 2 2 3 3 4" xfId="17936" xr:uid="{F75E0FD3-95CF-4A26-BBC0-64A3C6D797E0}"/>
    <cellStyle name="Normal 8 2 2 3 3 5" xfId="9495" xr:uid="{4B75A062-72DC-4B31-8142-D10605A43D2A}"/>
    <cellStyle name="Normal 8 2 2 3 4" xfId="1369" xr:uid="{00000000-0005-0000-0000-00005E1C0000}"/>
    <cellStyle name="Normal 8 2 2 3 4 2" xfId="3599" xr:uid="{00000000-0005-0000-0000-00005F1C0000}"/>
    <cellStyle name="Normal 8 2 2 3 4 2 2" xfId="7821" xr:uid="{00000000-0005-0000-0000-0000601C0000}"/>
    <cellStyle name="Normal 8 2 2 3 4 2 2 2" xfId="24712" xr:uid="{25EC1317-191A-45C2-9F85-86C48D7AB3AB}"/>
    <cellStyle name="Normal 8 2 2 3 4 2 2 3" xfId="16271" xr:uid="{88E12DD3-7058-45B8-A2D5-49DE28D9EE02}"/>
    <cellStyle name="Normal 8 2 2 3 4 2 3" xfId="20494" xr:uid="{6061E662-6C4E-4A63-A0EA-8AB180C27D37}"/>
    <cellStyle name="Normal 8 2 2 3 4 2 4" xfId="12053" xr:uid="{62920C40-510A-4A4F-ACF5-2B0507777C3A}"/>
    <cellStyle name="Normal 8 2 2 3 4 3" xfId="5676" xr:uid="{00000000-0005-0000-0000-0000611C0000}"/>
    <cellStyle name="Normal 8 2 2 3 4 3 2" xfId="22567" xr:uid="{69E84794-9B28-422D-9E65-C69C6B71B46F}"/>
    <cellStyle name="Normal 8 2 2 3 4 3 3" xfId="14126" xr:uid="{DBD42438-E2FD-458E-AB20-DA09D72E1245}"/>
    <cellStyle name="Normal 8 2 2 3 4 4" xfId="18349" xr:uid="{9E9B3316-FBE9-424E-ACC9-D3812C55624E}"/>
    <cellStyle name="Normal 8 2 2 3 4 5" xfId="9908" xr:uid="{E4AEC3AE-CA57-4BC5-A25B-40F88F60D914}"/>
    <cellStyle name="Normal 8 2 2 3 5" xfId="1782" xr:uid="{00000000-0005-0000-0000-0000621C0000}"/>
    <cellStyle name="Normal 8 2 2 3 5 2" xfId="4012" xr:uid="{00000000-0005-0000-0000-0000631C0000}"/>
    <cellStyle name="Normal 8 2 2 3 5 2 2" xfId="8234" xr:uid="{00000000-0005-0000-0000-0000641C0000}"/>
    <cellStyle name="Normal 8 2 2 3 5 2 2 2" xfId="25125" xr:uid="{525CADF4-B4A7-4DAF-AFE3-3497F9DB4067}"/>
    <cellStyle name="Normal 8 2 2 3 5 2 2 3" xfId="16684" xr:uid="{6FCB18A3-C69F-4773-BF17-1CDAAF09D92A}"/>
    <cellStyle name="Normal 8 2 2 3 5 2 3" xfId="20907" xr:uid="{3900EAF7-7BFB-4B94-A178-6F25BCB24FE7}"/>
    <cellStyle name="Normal 8 2 2 3 5 2 4" xfId="12466" xr:uid="{0000D350-7C90-4B6A-936F-BDEF56D1FE60}"/>
    <cellStyle name="Normal 8 2 2 3 5 3" xfId="6089" xr:uid="{00000000-0005-0000-0000-0000651C0000}"/>
    <cellStyle name="Normal 8 2 2 3 5 3 2" xfId="22980" xr:uid="{35C74A43-B7DE-45CD-9CA4-B06328F5A71A}"/>
    <cellStyle name="Normal 8 2 2 3 5 3 3" xfId="14539" xr:uid="{7FF005C0-DDA0-45AF-93CC-4E48AE43F015}"/>
    <cellStyle name="Normal 8 2 2 3 5 4" xfId="18762" xr:uid="{0C365D9B-CAAB-4BD1-8727-16009022878E}"/>
    <cellStyle name="Normal 8 2 2 3 5 5" xfId="10321" xr:uid="{F72CBCFD-86A0-4C31-98EA-24CE71BDE7FE}"/>
    <cellStyle name="Normal 8 2 2 3 6" xfId="2196" xr:uid="{00000000-0005-0000-0000-0000661C0000}"/>
    <cellStyle name="Normal 8 2 2 3 6 2" xfId="4425" xr:uid="{00000000-0005-0000-0000-0000671C0000}"/>
    <cellStyle name="Normal 8 2 2 3 6 2 2" xfId="8647" xr:uid="{00000000-0005-0000-0000-0000681C0000}"/>
    <cellStyle name="Normal 8 2 2 3 6 2 2 2" xfId="25538" xr:uid="{7A8E593C-9EFE-4FA2-8DDC-8C0E4BD48B13}"/>
    <cellStyle name="Normal 8 2 2 3 6 2 2 3" xfId="17097" xr:uid="{8916283C-AADA-49F7-ACE5-0C75F37E468C}"/>
    <cellStyle name="Normal 8 2 2 3 6 2 3" xfId="21320" xr:uid="{E28D2F5A-A873-4A7C-A17E-D26BDF37FD49}"/>
    <cellStyle name="Normal 8 2 2 3 6 2 4" xfId="12879" xr:uid="{D5D22E88-72CB-4063-B625-759B807D42E7}"/>
    <cellStyle name="Normal 8 2 2 3 6 3" xfId="6502" xr:uid="{00000000-0005-0000-0000-0000691C0000}"/>
    <cellStyle name="Normal 8 2 2 3 6 3 2" xfId="23393" xr:uid="{DF0A01AF-6403-45BA-98ED-31924B4CB132}"/>
    <cellStyle name="Normal 8 2 2 3 6 3 3" xfId="14952" xr:uid="{E27C3796-6A87-4FC9-92A4-5AA35A22361C}"/>
    <cellStyle name="Normal 8 2 2 3 6 4" xfId="19175" xr:uid="{BA6949A9-1A94-4356-ADCE-AEF9F77CD8E5}"/>
    <cellStyle name="Normal 8 2 2 3 6 5" xfId="10734" xr:uid="{6C69934B-2D90-48C1-8D51-72AC903957A4}"/>
    <cellStyle name="Normal 8 2 2 3 7" xfId="2632" xr:uid="{00000000-0005-0000-0000-00006A1C0000}"/>
    <cellStyle name="Normal 8 2 2 3 7 2" xfId="6915" xr:uid="{00000000-0005-0000-0000-00006B1C0000}"/>
    <cellStyle name="Normal 8 2 2 3 7 2 2" xfId="23806" xr:uid="{787A2DFF-D096-49BC-BE75-F6CB36CD8A99}"/>
    <cellStyle name="Normal 8 2 2 3 7 2 3" xfId="15365" xr:uid="{343A1E9D-539C-4904-AA8A-7BBC7DA41507}"/>
    <cellStyle name="Normal 8 2 2 3 7 3" xfId="19588" xr:uid="{2E2C2B4B-5B49-45E5-8C9A-9DD877638EF6}"/>
    <cellStyle name="Normal 8 2 2 3 7 4" xfId="11147" xr:uid="{F3BD67A0-FC0D-486F-9ACA-8AF0D048282F}"/>
    <cellStyle name="Normal 8 2 2 3 8" xfId="4850" xr:uid="{00000000-0005-0000-0000-00006C1C0000}"/>
    <cellStyle name="Normal 8 2 2 3 8 2" xfId="21741" xr:uid="{5894A043-90FD-4ED9-BC0E-18F1020912ED}"/>
    <cellStyle name="Normal 8 2 2 3 8 3" xfId="13300" xr:uid="{E691F9E0-4501-44F6-8A07-DB6925C8B890}"/>
    <cellStyle name="Normal 8 2 2 3 9" xfId="17523" xr:uid="{BD660682-4E45-44F8-8C7B-630FA0DE671A}"/>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2 2 2" xfId="24301" xr:uid="{FC43132F-B613-452B-9A8C-345A32CEBA8C}"/>
    <cellStyle name="Normal 8 2 2 4 2 2 2 3" xfId="15860" xr:uid="{672946A8-0E8B-45FE-AC62-4B922C9C2ABE}"/>
    <cellStyle name="Normal 8 2 2 4 2 2 3" xfId="20083" xr:uid="{1EC8DD2C-2551-4A79-BE12-8709907C2B77}"/>
    <cellStyle name="Normal 8 2 2 4 2 2 4" xfId="11642" xr:uid="{FF4A16DC-F4EA-4809-9D39-B558464B5CC0}"/>
    <cellStyle name="Normal 8 2 2 4 2 3" xfId="5265" xr:uid="{00000000-0005-0000-0000-0000711C0000}"/>
    <cellStyle name="Normal 8 2 2 4 2 3 2" xfId="22156" xr:uid="{69F043EE-6F37-48D5-9223-A95BF94B01FC}"/>
    <cellStyle name="Normal 8 2 2 4 2 3 3" xfId="13715" xr:uid="{C8490EF2-5F92-4755-98A7-39F0E555B34B}"/>
    <cellStyle name="Normal 8 2 2 4 2 4" xfId="17938" xr:uid="{DC61C1D2-E0A8-4B96-AD28-BC5F0253A5CB}"/>
    <cellStyle name="Normal 8 2 2 4 2 5" xfId="9497" xr:uid="{C8E82057-41F7-49F9-9A9B-3CE4C0AEDC1C}"/>
    <cellStyle name="Normal 8 2 2 4 3" xfId="1371" xr:uid="{00000000-0005-0000-0000-0000721C0000}"/>
    <cellStyle name="Normal 8 2 2 4 3 2" xfId="3601" xr:uid="{00000000-0005-0000-0000-0000731C0000}"/>
    <cellStyle name="Normal 8 2 2 4 3 2 2" xfId="7823" xr:uid="{00000000-0005-0000-0000-0000741C0000}"/>
    <cellStyle name="Normal 8 2 2 4 3 2 2 2" xfId="24714" xr:uid="{664EA8F6-FC2F-4638-A461-9A4BCB8D3026}"/>
    <cellStyle name="Normal 8 2 2 4 3 2 2 3" xfId="16273" xr:uid="{1EBEA0A8-6A20-43BA-8645-3EA0895DB1BA}"/>
    <cellStyle name="Normal 8 2 2 4 3 2 3" xfId="20496" xr:uid="{3D755921-46E6-4468-AF2C-BAFDF077BE25}"/>
    <cellStyle name="Normal 8 2 2 4 3 2 4" xfId="12055" xr:uid="{ED1BADB7-2844-456F-BDE7-79B3D5F9ADD3}"/>
    <cellStyle name="Normal 8 2 2 4 3 3" xfId="5678" xr:uid="{00000000-0005-0000-0000-0000751C0000}"/>
    <cellStyle name="Normal 8 2 2 4 3 3 2" xfId="22569" xr:uid="{A3235966-C39E-49C9-A2F0-9599F70DF847}"/>
    <cellStyle name="Normal 8 2 2 4 3 3 3" xfId="14128" xr:uid="{A2858574-A92E-44CF-AC2E-1D2E56F31D62}"/>
    <cellStyle name="Normal 8 2 2 4 3 4" xfId="18351" xr:uid="{944B2A6C-AEA6-417A-A91F-6DE57F43CF36}"/>
    <cellStyle name="Normal 8 2 2 4 3 5" xfId="9910" xr:uid="{DB94BFAF-46D9-4786-962D-1272FDAC8B13}"/>
    <cellStyle name="Normal 8 2 2 4 4" xfId="1784" xr:uid="{00000000-0005-0000-0000-0000761C0000}"/>
    <cellStyle name="Normal 8 2 2 4 4 2" xfId="4014" xr:uid="{00000000-0005-0000-0000-0000771C0000}"/>
    <cellStyle name="Normal 8 2 2 4 4 2 2" xfId="8236" xr:uid="{00000000-0005-0000-0000-0000781C0000}"/>
    <cellStyle name="Normal 8 2 2 4 4 2 2 2" xfId="25127" xr:uid="{42294057-8705-410A-9FAF-E0FCC1ADDA4D}"/>
    <cellStyle name="Normal 8 2 2 4 4 2 2 3" xfId="16686" xr:uid="{7CDF4BE7-9AB6-4997-8A8C-F5A0745F80F3}"/>
    <cellStyle name="Normal 8 2 2 4 4 2 3" xfId="20909" xr:uid="{99901E7B-FE25-43C6-9E5C-A55D241B4D69}"/>
    <cellStyle name="Normal 8 2 2 4 4 2 4" xfId="12468" xr:uid="{85762D4D-5BF6-470D-A9E1-E62205FDFBD5}"/>
    <cellStyle name="Normal 8 2 2 4 4 3" xfId="6091" xr:uid="{00000000-0005-0000-0000-0000791C0000}"/>
    <cellStyle name="Normal 8 2 2 4 4 3 2" xfId="22982" xr:uid="{A71EF4DC-B0D0-4CD1-A71D-AF90A4889FE3}"/>
    <cellStyle name="Normal 8 2 2 4 4 3 3" xfId="14541" xr:uid="{B2AD4E1C-F37B-4C25-B31F-96AB80981E83}"/>
    <cellStyle name="Normal 8 2 2 4 4 4" xfId="18764" xr:uid="{2E8E17E0-9BA6-4510-A5EC-2CAA80F158D3}"/>
    <cellStyle name="Normal 8 2 2 4 4 5" xfId="10323" xr:uid="{0C6E08BD-DDF0-4E88-8633-5AF6A0481114}"/>
    <cellStyle name="Normal 8 2 2 4 5" xfId="2198" xr:uid="{00000000-0005-0000-0000-00007A1C0000}"/>
    <cellStyle name="Normal 8 2 2 4 5 2" xfId="4427" xr:uid="{00000000-0005-0000-0000-00007B1C0000}"/>
    <cellStyle name="Normal 8 2 2 4 5 2 2" xfId="8649" xr:uid="{00000000-0005-0000-0000-00007C1C0000}"/>
    <cellStyle name="Normal 8 2 2 4 5 2 2 2" xfId="25540" xr:uid="{09E4B507-A474-43CF-B7DB-431F26396331}"/>
    <cellStyle name="Normal 8 2 2 4 5 2 2 3" xfId="17099" xr:uid="{31B84931-7A4F-4FEB-9C1B-C1882EA34F53}"/>
    <cellStyle name="Normal 8 2 2 4 5 2 3" xfId="21322" xr:uid="{79A7B874-B441-4327-83E2-FBFA5DDCE8CC}"/>
    <cellStyle name="Normal 8 2 2 4 5 2 4" xfId="12881" xr:uid="{36430D7B-023D-41C9-B0BD-011353E9E311}"/>
    <cellStyle name="Normal 8 2 2 4 5 3" xfId="6504" xr:uid="{00000000-0005-0000-0000-00007D1C0000}"/>
    <cellStyle name="Normal 8 2 2 4 5 3 2" xfId="23395" xr:uid="{82F440C7-D81A-4D97-ADF2-239BD13CCA00}"/>
    <cellStyle name="Normal 8 2 2 4 5 3 3" xfId="14954" xr:uid="{11FDC715-DA82-4D39-986D-F596AB259A22}"/>
    <cellStyle name="Normal 8 2 2 4 5 4" xfId="19177" xr:uid="{14A36083-1D5E-4E6D-AA99-CF5BFF045983}"/>
    <cellStyle name="Normal 8 2 2 4 5 5" xfId="10736" xr:uid="{1E1EA961-4143-48FA-9F75-8041B3DF5320}"/>
    <cellStyle name="Normal 8 2 2 4 6" xfId="2634" xr:uid="{00000000-0005-0000-0000-00007E1C0000}"/>
    <cellStyle name="Normal 8 2 2 4 6 2" xfId="6917" xr:uid="{00000000-0005-0000-0000-00007F1C0000}"/>
    <cellStyle name="Normal 8 2 2 4 6 2 2" xfId="23808" xr:uid="{401964D2-CCE5-4252-BEAC-D8402E11F1A1}"/>
    <cellStyle name="Normal 8 2 2 4 6 2 3" xfId="15367" xr:uid="{167C38E4-22E9-4E3A-BFDE-E698568787CA}"/>
    <cellStyle name="Normal 8 2 2 4 6 3" xfId="19590" xr:uid="{2EE3F50C-FF1D-47A0-8A03-3B96130DFC8D}"/>
    <cellStyle name="Normal 8 2 2 4 6 4" xfId="11149" xr:uid="{7899DA58-2DE4-40DE-99BC-E3987003D87D}"/>
    <cellStyle name="Normal 8 2 2 4 7" xfId="4852" xr:uid="{00000000-0005-0000-0000-0000801C0000}"/>
    <cellStyle name="Normal 8 2 2 4 7 2" xfId="21743" xr:uid="{7168EB56-1F6D-49BF-842B-3AA6FD90815D}"/>
    <cellStyle name="Normal 8 2 2 4 7 3" xfId="13302" xr:uid="{5536D788-67B6-45D1-841D-113271603C1A}"/>
    <cellStyle name="Normal 8 2 2 4 8" xfId="17525" xr:uid="{A4718879-BAC6-4823-88BB-54D5228E0C85}"/>
    <cellStyle name="Normal 8 2 2 4 9" xfId="9084" xr:uid="{FB009522-C2E1-40E7-9013-2CB77665DC46}"/>
    <cellStyle name="Normal 8 2 2 5" xfId="947" xr:uid="{00000000-0005-0000-0000-0000811C0000}"/>
    <cellStyle name="Normal 8 2 2 5 2" xfId="3181" xr:uid="{00000000-0005-0000-0000-0000821C0000}"/>
    <cellStyle name="Normal 8 2 2 5 2 2" xfId="7403" xr:uid="{00000000-0005-0000-0000-0000831C0000}"/>
    <cellStyle name="Normal 8 2 2 5 2 2 2" xfId="24294" xr:uid="{08A8FE78-EA49-43A6-88A7-957A2C31AA01}"/>
    <cellStyle name="Normal 8 2 2 5 2 2 3" xfId="15853" xr:uid="{95B89329-E3BD-470A-A181-19A68C69A7D6}"/>
    <cellStyle name="Normal 8 2 2 5 2 3" xfId="20076" xr:uid="{34768999-5E95-414A-B8E9-51867AF640FD}"/>
    <cellStyle name="Normal 8 2 2 5 2 4" xfId="11635" xr:uid="{3FAD5878-6908-49B9-B24B-B0535B33453E}"/>
    <cellStyle name="Normal 8 2 2 5 3" xfId="5258" xr:uid="{00000000-0005-0000-0000-0000841C0000}"/>
    <cellStyle name="Normal 8 2 2 5 3 2" xfId="22149" xr:uid="{5CA800C7-FAE5-4FA1-A4A9-15806670F95E}"/>
    <cellStyle name="Normal 8 2 2 5 3 3" xfId="13708" xr:uid="{793E4A3A-FF11-4582-87D9-01718C5B43AA}"/>
    <cellStyle name="Normal 8 2 2 5 4" xfId="17931" xr:uid="{10A8575A-97F7-4C5B-80E4-55D2325E0C8F}"/>
    <cellStyle name="Normal 8 2 2 5 5" xfId="9490" xr:uid="{0D182E48-9DFE-4382-93A8-B6AA289D6D29}"/>
    <cellStyle name="Normal 8 2 2 6" xfId="1364" xr:uid="{00000000-0005-0000-0000-0000851C0000}"/>
    <cellStyle name="Normal 8 2 2 6 2" xfId="3594" xr:uid="{00000000-0005-0000-0000-0000861C0000}"/>
    <cellStyle name="Normal 8 2 2 6 2 2" xfId="7816" xr:uid="{00000000-0005-0000-0000-0000871C0000}"/>
    <cellStyle name="Normal 8 2 2 6 2 2 2" xfId="24707" xr:uid="{D6CE71FA-7DFF-495D-8F05-F49F8078CABE}"/>
    <cellStyle name="Normal 8 2 2 6 2 2 3" xfId="16266" xr:uid="{936E0C38-115E-4519-BEC2-D1023CA16CDD}"/>
    <cellStyle name="Normal 8 2 2 6 2 3" xfId="20489" xr:uid="{3F404635-B881-4EF8-8D10-D14ACF070603}"/>
    <cellStyle name="Normal 8 2 2 6 2 4" xfId="12048" xr:uid="{B2EBB28C-33D2-484E-BEE4-96BB326AAE2D}"/>
    <cellStyle name="Normal 8 2 2 6 3" xfId="5671" xr:uid="{00000000-0005-0000-0000-0000881C0000}"/>
    <cellStyle name="Normal 8 2 2 6 3 2" xfId="22562" xr:uid="{4F51D7B4-9E52-4EE4-8923-3B9D08B802E2}"/>
    <cellStyle name="Normal 8 2 2 6 3 3" xfId="14121" xr:uid="{B5B68F24-088B-4BF5-B753-EA7A6ED8366F}"/>
    <cellStyle name="Normal 8 2 2 6 4" xfId="18344" xr:uid="{0B93EDFA-1054-4A17-B90B-685914206008}"/>
    <cellStyle name="Normal 8 2 2 6 5" xfId="9903" xr:uid="{873D1216-BB70-45EC-9164-5157B6BA1264}"/>
    <cellStyle name="Normal 8 2 2 7" xfId="1777" xr:uid="{00000000-0005-0000-0000-0000891C0000}"/>
    <cellStyle name="Normal 8 2 2 7 2" xfId="4007" xr:uid="{00000000-0005-0000-0000-00008A1C0000}"/>
    <cellStyle name="Normal 8 2 2 7 2 2" xfId="8229" xr:uid="{00000000-0005-0000-0000-00008B1C0000}"/>
    <cellStyle name="Normal 8 2 2 7 2 2 2" xfId="25120" xr:uid="{2D960180-2EE3-4FD9-BBAD-BA4FD64A5E81}"/>
    <cellStyle name="Normal 8 2 2 7 2 2 3" xfId="16679" xr:uid="{1848B6A1-9828-429E-8CCA-4B143E1AC04A}"/>
    <cellStyle name="Normal 8 2 2 7 2 3" xfId="20902" xr:uid="{364BDDB8-01F1-4CBC-8900-F4A56C28783D}"/>
    <cellStyle name="Normal 8 2 2 7 2 4" xfId="12461" xr:uid="{2B5AC886-6599-46F8-9097-E0AE41A0BF3E}"/>
    <cellStyle name="Normal 8 2 2 7 3" xfId="6084" xr:uid="{00000000-0005-0000-0000-00008C1C0000}"/>
    <cellStyle name="Normal 8 2 2 7 3 2" xfId="22975" xr:uid="{D630DEC9-3F3A-4002-92E8-A4D4EF337B9D}"/>
    <cellStyle name="Normal 8 2 2 7 3 3" xfId="14534" xr:uid="{D65D89D1-8B76-4115-B510-B55E031832AC}"/>
    <cellStyle name="Normal 8 2 2 7 4" xfId="18757" xr:uid="{47801F84-7FE2-4235-93E4-22D8B47F3F91}"/>
    <cellStyle name="Normal 8 2 2 7 5" xfId="10316" xr:uid="{A253BF04-E25D-4D30-B6E1-8127A2573208}"/>
    <cellStyle name="Normal 8 2 2 8" xfId="2191" xr:uid="{00000000-0005-0000-0000-00008D1C0000}"/>
    <cellStyle name="Normal 8 2 2 8 2" xfId="4420" xr:uid="{00000000-0005-0000-0000-00008E1C0000}"/>
    <cellStyle name="Normal 8 2 2 8 2 2" xfId="8642" xr:uid="{00000000-0005-0000-0000-00008F1C0000}"/>
    <cellStyle name="Normal 8 2 2 8 2 2 2" xfId="25533" xr:uid="{E7ED0D5E-DD23-40AE-AE47-63378DAD620D}"/>
    <cellStyle name="Normal 8 2 2 8 2 2 3" xfId="17092" xr:uid="{E3A0DC5B-DECC-4822-B064-FC6411CDB783}"/>
    <cellStyle name="Normal 8 2 2 8 2 3" xfId="21315" xr:uid="{A921678A-9FC6-45E7-98C6-CB786A87BE27}"/>
    <cellStyle name="Normal 8 2 2 8 2 4" xfId="12874" xr:uid="{3E68E193-259D-456D-86A0-53D1EEDB1C4C}"/>
    <cellStyle name="Normal 8 2 2 8 3" xfId="6497" xr:uid="{00000000-0005-0000-0000-0000901C0000}"/>
    <cellStyle name="Normal 8 2 2 8 3 2" xfId="23388" xr:uid="{0464AB63-8BF4-4205-A0D6-387BCC90EC58}"/>
    <cellStyle name="Normal 8 2 2 8 3 3" xfId="14947" xr:uid="{D8C89DBB-C9CF-4B55-864F-936F55C42F3E}"/>
    <cellStyle name="Normal 8 2 2 8 4" xfId="19170" xr:uid="{1FBD8A6F-7F96-4C73-8292-CDF3D8DE3946}"/>
    <cellStyle name="Normal 8 2 2 8 5" xfId="10729" xr:uid="{0FACDBDD-3B85-4BBD-BF6B-475D5ABCE54B}"/>
    <cellStyle name="Normal 8 2 2 9" xfId="2627" xr:uid="{00000000-0005-0000-0000-0000911C0000}"/>
    <cellStyle name="Normal 8 2 2 9 2" xfId="6910" xr:uid="{00000000-0005-0000-0000-0000921C0000}"/>
    <cellStyle name="Normal 8 2 2 9 2 2" xfId="23801" xr:uid="{61D4186A-BEDE-4D36-B584-BB4D98438EAE}"/>
    <cellStyle name="Normal 8 2 2 9 2 3" xfId="15360" xr:uid="{8D15B2D7-B0CE-42B7-A629-4E488BF53BE5}"/>
    <cellStyle name="Normal 8 2 2 9 3" xfId="19583" xr:uid="{945A8D43-E6CA-4E7D-BB15-B2E682752A7F}"/>
    <cellStyle name="Normal 8 2 2 9 4" xfId="11142" xr:uid="{3D188A97-4BA4-4E71-A883-018B13649FFD}"/>
    <cellStyle name="Normal 8 2 3" xfId="488" xr:uid="{00000000-0005-0000-0000-0000931C0000}"/>
    <cellStyle name="Normal 8 2 3 10" xfId="17526" xr:uid="{D57866E1-9CF7-4624-A480-DF2ED0D0983E}"/>
    <cellStyle name="Normal 8 2 3 11" xfId="9085" xr:uid="{418A27C8-028D-4C3F-B4EA-E7B366F583EE}"/>
    <cellStyle name="Normal 8 2 3 2" xfId="489" xr:uid="{00000000-0005-0000-0000-0000941C0000}"/>
    <cellStyle name="Normal 8 2 3 2 10" xfId="9086" xr:uid="{BD78AE09-9687-422D-BF23-35A42280D61F}"/>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2 2 2" xfId="24304" xr:uid="{2DBDE768-C57E-4A00-A1D8-4EFD9DE13CDE}"/>
    <cellStyle name="Normal 8 2 3 2 2 2 2 2 3" xfId="15863" xr:uid="{5C5CCFCA-C2B4-47D7-B7D0-0E44D0A06359}"/>
    <cellStyle name="Normal 8 2 3 2 2 2 2 3" xfId="20086" xr:uid="{200E36A7-91CB-4295-86D3-B76FB9D34553}"/>
    <cellStyle name="Normal 8 2 3 2 2 2 2 4" xfId="11645" xr:uid="{3F973E1F-BFEB-433D-B430-4C4DAE1EC663}"/>
    <cellStyle name="Normal 8 2 3 2 2 2 3" xfId="5268" xr:uid="{00000000-0005-0000-0000-0000991C0000}"/>
    <cellStyle name="Normal 8 2 3 2 2 2 3 2" xfId="22159" xr:uid="{6D03CEA1-20D6-46B0-9B9C-568C9CFDA277}"/>
    <cellStyle name="Normal 8 2 3 2 2 2 3 3" xfId="13718" xr:uid="{6B4906D6-FEB0-4B15-8991-39A191E62BB9}"/>
    <cellStyle name="Normal 8 2 3 2 2 2 4" xfId="17941" xr:uid="{219EAD26-E157-4F03-BACE-93C3CC82D904}"/>
    <cellStyle name="Normal 8 2 3 2 2 2 5" xfId="9500" xr:uid="{6AF61B3B-F0B9-4B9A-AA0D-35DB6871D111}"/>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2 2 2" xfId="24717" xr:uid="{A1D75624-BE6F-4846-BE5F-D7F43FA39B00}"/>
    <cellStyle name="Normal 8 2 3 2 2 3 2 2 3" xfId="16276" xr:uid="{281471D5-DE91-4E57-9FE1-29CC431FF605}"/>
    <cellStyle name="Normal 8 2 3 2 2 3 2 3" xfId="20499" xr:uid="{B3B8E8E1-86FB-4C09-919A-F9FA4CB3E432}"/>
    <cellStyle name="Normal 8 2 3 2 2 3 2 4" xfId="12058" xr:uid="{039465D2-5867-44FC-B63E-6B093A2B9F32}"/>
    <cellStyle name="Normal 8 2 3 2 2 3 3" xfId="5681" xr:uid="{00000000-0005-0000-0000-00009D1C0000}"/>
    <cellStyle name="Normal 8 2 3 2 2 3 3 2" xfId="22572" xr:uid="{A837BE33-CC58-47BA-B58E-BDAA316E96FC}"/>
    <cellStyle name="Normal 8 2 3 2 2 3 3 3" xfId="14131" xr:uid="{8422BD51-CE12-4AD1-AACC-BC5FD3C6296E}"/>
    <cellStyle name="Normal 8 2 3 2 2 3 4" xfId="18354" xr:uid="{F3E0A9AC-9886-499C-B363-CF7CD3808D61}"/>
    <cellStyle name="Normal 8 2 3 2 2 3 5" xfId="9913" xr:uid="{5825A98D-C8B8-4DC4-9F25-80F2A95304CA}"/>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2 2 2" xfId="25130" xr:uid="{8E05B878-AEA0-424E-BCE4-9302C4182453}"/>
    <cellStyle name="Normal 8 2 3 2 2 4 2 2 3" xfId="16689" xr:uid="{9CE18511-17E3-4CB0-9EA1-1425C21A11F5}"/>
    <cellStyle name="Normal 8 2 3 2 2 4 2 3" xfId="20912" xr:uid="{F4C7A959-8732-4D9B-BF53-B9CA486EA72D}"/>
    <cellStyle name="Normal 8 2 3 2 2 4 2 4" xfId="12471" xr:uid="{AC20E3E5-F30B-4C3D-8989-98192C4B0EE7}"/>
    <cellStyle name="Normal 8 2 3 2 2 4 3" xfId="6094" xr:uid="{00000000-0005-0000-0000-0000A11C0000}"/>
    <cellStyle name="Normal 8 2 3 2 2 4 3 2" xfId="22985" xr:uid="{E0F53D61-0D14-46DC-B929-29BE7A35E327}"/>
    <cellStyle name="Normal 8 2 3 2 2 4 3 3" xfId="14544" xr:uid="{1D8A17FD-9A97-496E-8957-F5F6CE66757F}"/>
    <cellStyle name="Normal 8 2 3 2 2 4 4" xfId="18767" xr:uid="{2D7D26BA-1050-4907-A016-E2F4704AA2F7}"/>
    <cellStyle name="Normal 8 2 3 2 2 4 5" xfId="10326" xr:uid="{C3BD6BE3-B399-459D-A524-864E146967F6}"/>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2 2 2" xfId="25543" xr:uid="{4F1A297B-87A3-4487-B9C4-DA29D2CFF628}"/>
    <cellStyle name="Normal 8 2 3 2 2 5 2 2 3" xfId="17102" xr:uid="{AF8F5E2F-71C6-42FF-941F-F2D19EF7BFD6}"/>
    <cellStyle name="Normal 8 2 3 2 2 5 2 3" xfId="21325" xr:uid="{F28C6DB8-B9EE-4237-A0AA-4D7B235EED0D}"/>
    <cellStyle name="Normal 8 2 3 2 2 5 2 4" xfId="12884" xr:uid="{190AB64F-BBC1-4EC7-BE25-2B90FABC1FF3}"/>
    <cellStyle name="Normal 8 2 3 2 2 5 3" xfId="6507" xr:uid="{00000000-0005-0000-0000-0000A51C0000}"/>
    <cellStyle name="Normal 8 2 3 2 2 5 3 2" xfId="23398" xr:uid="{98867185-47C0-43F7-A907-2765F2973A51}"/>
    <cellStyle name="Normal 8 2 3 2 2 5 3 3" xfId="14957" xr:uid="{6D459591-7609-4C57-B645-FDDDD040E0EC}"/>
    <cellStyle name="Normal 8 2 3 2 2 5 4" xfId="19180" xr:uid="{BCBB29B0-9120-4A1D-A2F2-52E5A2D33BE9}"/>
    <cellStyle name="Normal 8 2 3 2 2 5 5" xfId="10739" xr:uid="{27F591AB-A4E6-41E4-A619-4A7996ED13CD}"/>
    <cellStyle name="Normal 8 2 3 2 2 6" xfId="2637" xr:uid="{00000000-0005-0000-0000-0000A61C0000}"/>
    <cellStyle name="Normal 8 2 3 2 2 6 2" xfId="6920" xr:uid="{00000000-0005-0000-0000-0000A71C0000}"/>
    <cellStyle name="Normal 8 2 3 2 2 6 2 2" xfId="23811" xr:uid="{9E949106-6545-41F1-AF7C-A2F8697AD0D5}"/>
    <cellStyle name="Normal 8 2 3 2 2 6 2 3" xfId="15370" xr:uid="{DFCDDE49-052F-44D9-A74E-66619C450A21}"/>
    <cellStyle name="Normal 8 2 3 2 2 6 3" xfId="19593" xr:uid="{62BC63E7-D078-4BF8-8D91-3A9B1826E034}"/>
    <cellStyle name="Normal 8 2 3 2 2 6 4" xfId="11152" xr:uid="{6EDEB6F3-7486-4192-AEEE-CB0794079C70}"/>
    <cellStyle name="Normal 8 2 3 2 2 7" xfId="4855" xr:uid="{00000000-0005-0000-0000-0000A81C0000}"/>
    <cellStyle name="Normal 8 2 3 2 2 7 2" xfId="21746" xr:uid="{39F552C3-3D0B-420A-9133-B1CAD1E4D029}"/>
    <cellStyle name="Normal 8 2 3 2 2 7 3" xfId="13305" xr:uid="{2D5F54AF-2C9C-48A6-BC13-48D1F08874FD}"/>
    <cellStyle name="Normal 8 2 3 2 2 8" xfId="17528" xr:uid="{E7695389-C916-4458-AE0D-FFFED95FC1A1}"/>
    <cellStyle name="Normal 8 2 3 2 2 9" xfId="9087" xr:uid="{F1F3D03E-CFFA-4D02-97FE-7DD3697CC3A9}"/>
    <cellStyle name="Normal 8 2 3 2 3" xfId="956" xr:uid="{00000000-0005-0000-0000-0000A91C0000}"/>
    <cellStyle name="Normal 8 2 3 2 3 2" xfId="3190" xr:uid="{00000000-0005-0000-0000-0000AA1C0000}"/>
    <cellStyle name="Normal 8 2 3 2 3 2 2" xfId="7412" xr:uid="{00000000-0005-0000-0000-0000AB1C0000}"/>
    <cellStyle name="Normal 8 2 3 2 3 2 2 2" xfId="24303" xr:uid="{AEE2CFD4-8417-4985-AADE-338502EABDA2}"/>
    <cellStyle name="Normal 8 2 3 2 3 2 2 3" xfId="15862" xr:uid="{8B490EFF-ABB2-41DC-8A67-8D62537910FF}"/>
    <cellStyle name="Normal 8 2 3 2 3 2 3" xfId="20085" xr:uid="{1632EF66-6450-4C3C-A885-24DA80AA5224}"/>
    <cellStyle name="Normal 8 2 3 2 3 2 4" xfId="11644" xr:uid="{D040E1F4-ED4E-4DDE-A3BC-0385BBDC65E8}"/>
    <cellStyle name="Normal 8 2 3 2 3 3" xfId="5267" xr:uid="{00000000-0005-0000-0000-0000AC1C0000}"/>
    <cellStyle name="Normal 8 2 3 2 3 3 2" xfId="22158" xr:uid="{F5546685-2F80-482A-B42B-11D011A197A9}"/>
    <cellStyle name="Normal 8 2 3 2 3 3 3" xfId="13717" xr:uid="{CABC74D7-5F34-4317-9C32-CF47BD6AC1F4}"/>
    <cellStyle name="Normal 8 2 3 2 3 4" xfId="17940" xr:uid="{4B7EBA9D-2FAC-4509-9044-CF0FD0F059E4}"/>
    <cellStyle name="Normal 8 2 3 2 3 5" xfId="9499" xr:uid="{2C02D769-7869-4F2B-A7A6-1D039F760AEA}"/>
    <cellStyle name="Normal 8 2 3 2 4" xfId="1373" xr:uid="{00000000-0005-0000-0000-0000AD1C0000}"/>
    <cellStyle name="Normal 8 2 3 2 4 2" xfId="3603" xr:uid="{00000000-0005-0000-0000-0000AE1C0000}"/>
    <cellStyle name="Normal 8 2 3 2 4 2 2" xfId="7825" xr:uid="{00000000-0005-0000-0000-0000AF1C0000}"/>
    <cellStyle name="Normal 8 2 3 2 4 2 2 2" xfId="24716" xr:uid="{83AF7FCF-A932-4BAA-B1CC-82254F37130A}"/>
    <cellStyle name="Normal 8 2 3 2 4 2 2 3" xfId="16275" xr:uid="{1953276D-9F5E-47F0-95AF-6A6B4087D21E}"/>
    <cellStyle name="Normal 8 2 3 2 4 2 3" xfId="20498" xr:uid="{A9F60A99-BB06-4108-90C2-4031FB3348D7}"/>
    <cellStyle name="Normal 8 2 3 2 4 2 4" xfId="12057" xr:uid="{A7C29396-4E6B-4426-AF02-4E891BF20F20}"/>
    <cellStyle name="Normal 8 2 3 2 4 3" xfId="5680" xr:uid="{00000000-0005-0000-0000-0000B01C0000}"/>
    <cellStyle name="Normal 8 2 3 2 4 3 2" xfId="22571" xr:uid="{E8F7F5D6-05E9-476C-98C3-D5884623366A}"/>
    <cellStyle name="Normal 8 2 3 2 4 3 3" xfId="14130" xr:uid="{B96D744E-2E75-4AC8-A802-02D912403521}"/>
    <cellStyle name="Normal 8 2 3 2 4 4" xfId="18353" xr:uid="{2A885A51-4498-4C39-9968-EFB3D032FDF2}"/>
    <cellStyle name="Normal 8 2 3 2 4 5" xfId="9912" xr:uid="{B795E28F-ED5C-4FC2-8B9B-7C574CFED206}"/>
    <cellStyle name="Normal 8 2 3 2 5" xfId="1786" xr:uid="{00000000-0005-0000-0000-0000B11C0000}"/>
    <cellStyle name="Normal 8 2 3 2 5 2" xfId="4016" xr:uid="{00000000-0005-0000-0000-0000B21C0000}"/>
    <cellStyle name="Normal 8 2 3 2 5 2 2" xfId="8238" xr:uid="{00000000-0005-0000-0000-0000B31C0000}"/>
    <cellStyle name="Normal 8 2 3 2 5 2 2 2" xfId="25129" xr:uid="{F8F4FEAD-95C8-4382-87D9-CC5DCF62C9D0}"/>
    <cellStyle name="Normal 8 2 3 2 5 2 2 3" xfId="16688" xr:uid="{1ABBC7E8-3831-45BD-B127-6C144BDFC798}"/>
    <cellStyle name="Normal 8 2 3 2 5 2 3" xfId="20911" xr:uid="{A1FAF8D2-7FE9-4487-84AF-170891757038}"/>
    <cellStyle name="Normal 8 2 3 2 5 2 4" xfId="12470" xr:uid="{920C6A48-5771-40F2-ADD1-A96F5CFB92BB}"/>
    <cellStyle name="Normal 8 2 3 2 5 3" xfId="6093" xr:uid="{00000000-0005-0000-0000-0000B41C0000}"/>
    <cellStyle name="Normal 8 2 3 2 5 3 2" xfId="22984" xr:uid="{8BF01A3B-C61C-4B70-88AE-606410839B0A}"/>
    <cellStyle name="Normal 8 2 3 2 5 3 3" xfId="14543" xr:uid="{55704331-3234-4420-A975-4D1EF117E7E0}"/>
    <cellStyle name="Normal 8 2 3 2 5 4" xfId="18766" xr:uid="{68A3CBBD-BCD3-4B93-87B8-DF722BB8115A}"/>
    <cellStyle name="Normal 8 2 3 2 5 5" xfId="10325" xr:uid="{99789A5D-C9BC-47BF-9364-B1EF56984759}"/>
    <cellStyle name="Normal 8 2 3 2 6" xfId="2200" xr:uid="{00000000-0005-0000-0000-0000B51C0000}"/>
    <cellStyle name="Normal 8 2 3 2 6 2" xfId="4429" xr:uid="{00000000-0005-0000-0000-0000B61C0000}"/>
    <cellStyle name="Normal 8 2 3 2 6 2 2" xfId="8651" xr:uid="{00000000-0005-0000-0000-0000B71C0000}"/>
    <cellStyle name="Normal 8 2 3 2 6 2 2 2" xfId="25542" xr:uid="{AF84A41C-EE3E-417F-B4E3-FFD6C15550FA}"/>
    <cellStyle name="Normal 8 2 3 2 6 2 2 3" xfId="17101" xr:uid="{5305F120-F867-4A1A-9232-F8C7B94840D0}"/>
    <cellStyle name="Normal 8 2 3 2 6 2 3" xfId="21324" xr:uid="{4B0B3CB5-CDDE-4938-9BE4-3B2D826BB77B}"/>
    <cellStyle name="Normal 8 2 3 2 6 2 4" xfId="12883" xr:uid="{418A4E83-3751-4A68-BF6B-3543C44785AE}"/>
    <cellStyle name="Normal 8 2 3 2 6 3" xfId="6506" xr:uid="{00000000-0005-0000-0000-0000B81C0000}"/>
    <cellStyle name="Normal 8 2 3 2 6 3 2" xfId="23397" xr:uid="{2CF2F6B0-F00C-4CEB-8A5A-6573D6A3BFE7}"/>
    <cellStyle name="Normal 8 2 3 2 6 3 3" xfId="14956" xr:uid="{266BF1FF-71E6-487E-9628-4E369114FF5D}"/>
    <cellStyle name="Normal 8 2 3 2 6 4" xfId="19179" xr:uid="{16102C4B-3C79-4AD7-98AB-DF3DC8B6FB4C}"/>
    <cellStyle name="Normal 8 2 3 2 6 5" xfId="10738" xr:uid="{CFC47946-4A94-4CE5-B6D0-7C77FD6888B1}"/>
    <cellStyle name="Normal 8 2 3 2 7" xfId="2636" xr:uid="{00000000-0005-0000-0000-0000B91C0000}"/>
    <cellStyle name="Normal 8 2 3 2 7 2" xfId="6919" xr:uid="{00000000-0005-0000-0000-0000BA1C0000}"/>
    <cellStyle name="Normal 8 2 3 2 7 2 2" xfId="23810" xr:uid="{6C5A9626-EBD6-46D1-AAA7-8ED8CED3AAE9}"/>
    <cellStyle name="Normal 8 2 3 2 7 2 3" xfId="15369" xr:uid="{58265298-C0C3-4DCC-95F2-AE4592C835EA}"/>
    <cellStyle name="Normal 8 2 3 2 7 3" xfId="19592" xr:uid="{2AA59EDB-28F8-4821-B3FC-1CE9172199ED}"/>
    <cellStyle name="Normal 8 2 3 2 7 4" xfId="11151" xr:uid="{2B45F515-8A98-436E-BB92-6CD3678B4FB0}"/>
    <cellStyle name="Normal 8 2 3 2 8" xfId="4854" xr:uid="{00000000-0005-0000-0000-0000BB1C0000}"/>
    <cellStyle name="Normal 8 2 3 2 8 2" xfId="21745" xr:uid="{678B5A6F-74FE-4053-9C60-65740AF37D20}"/>
    <cellStyle name="Normal 8 2 3 2 8 3" xfId="13304" xr:uid="{5F5D0844-F81C-48D2-94B5-3EC7385E7CCE}"/>
    <cellStyle name="Normal 8 2 3 2 9" xfId="17527" xr:uid="{C3C81621-1077-4723-A5E9-0AC48B330D4C}"/>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2 2 2" xfId="24305" xr:uid="{64DA943F-B75D-4DD1-83F1-B120903A886D}"/>
    <cellStyle name="Normal 8 2 3 3 2 2 2 3" xfId="15864" xr:uid="{EEF11278-69B7-48FC-85BF-CB2C27535D78}"/>
    <cellStyle name="Normal 8 2 3 3 2 2 3" xfId="20087" xr:uid="{F401CD93-4323-47A0-871F-905634FC459C}"/>
    <cellStyle name="Normal 8 2 3 3 2 2 4" xfId="11646" xr:uid="{CF25822B-DA36-40BF-A2DC-89483B80E18A}"/>
    <cellStyle name="Normal 8 2 3 3 2 3" xfId="5269" xr:uid="{00000000-0005-0000-0000-0000C01C0000}"/>
    <cellStyle name="Normal 8 2 3 3 2 3 2" xfId="22160" xr:uid="{F741FE6E-D13C-4F24-9EC1-E2A5B77A24A7}"/>
    <cellStyle name="Normal 8 2 3 3 2 3 3" xfId="13719" xr:uid="{CD7D88BC-5402-468F-93BC-C410B36C7CD5}"/>
    <cellStyle name="Normal 8 2 3 3 2 4" xfId="17942" xr:uid="{331B05CE-83E5-43B2-BA35-E740CBF3E65C}"/>
    <cellStyle name="Normal 8 2 3 3 2 5" xfId="9501" xr:uid="{7B57A890-33E8-4A73-8B32-74FF56D88DE1}"/>
    <cellStyle name="Normal 8 2 3 3 3" xfId="1375" xr:uid="{00000000-0005-0000-0000-0000C11C0000}"/>
    <cellStyle name="Normal 8 2 3 3 3 2" xfId="3605" xr:uid="{00000000-0005-0000-0000-0000C21C0000}"/>
    <cellStyle name="Normal 8 2 3 3 3 2 2" xfId="7827" xr:uid="{00000000-0005-0000-0000-0000C31C0000}"/>
    <cellStyle name="Normal 8 2 3 3 3 2 2 2" xfId="24718" xr:uid="{24F43A92-CD11-459C-A587-2E9976867741}"/>
    <cellStyle name="Normal 8 2 3 3 3 2 2 3" xfId="16277" xr:uid="{295E86EB-4B38-4C4C-B83F-67A9A6BB91EE}"/>
    <cellStyle name="Normal 8 2 3 3 3 2 3" xfId="20500" xr:uid="{F9B58ECF-1728-4CAA-B1CC-688A4A656FE7}"/>
    <cellStyle name="Normal 8 2 3 3 3 2 4" xfId="12059" xr:uid="{246DD52E-0E39-4BCC-BCF2-88446F13FE1B}"/>
    <cellStyle name="Normal 8 2 3 3 3 3" xfId="5682" xr:uid="{00000000-0005-0000-0000-0000C41C0000}"/>
    <cellStyle name="Normal 8 2 3 3 3 3 2" xfId="22573" xr:uid="{0C23EDB8-BF2D-4E1A-AE83-548A3F107DD4}"/>
    <cellStyle name="Normal 8 2 3 3 3 3 3" xfId="14132" xr:uid="{4D6F13C4-DA19-4E06-AEC4-96C4B1446931}"/>
    <cellStyle name="Normal 8 2 3 3 3 4" xfId="18355" xr:uid="{71963A5A-8634-4BB6-A7B2-6B97D369AE44}"/>
    <cellStyle name="Normal 8 2 3 3 3 5" xfId="9914" xr:uid="{5984154F-6369-46BB-9332-AC285CF7EDCC}"/>
    <cellStyle name="Normal 8 2 3 3 4" xfId="1788" xr:uid="{00000000-0005-0000-0000-0000C51C0000}"/>
    <cellStyle name="Normal 8 2 3 3 4 2" xfId="4018" xr:uid="{00000000-0005-0000-0000-0000C61C0000}"/>
    <cellStyle name="Normal 8 2 3 3 4 2 2" xfId="8240" xr:uid="{00000000-0005-0000-0000-0000C71C0000}"/>
    <cellStyle name="Normal 8 2 3 3 4 2 2 2" xfId="25131" xr:uid="{7E8C7D5F-9C39-4BDE-AC17-2241555D6881}"/>
    <cellStyle name="Normal 8 2 3 3 4 2 2 3" xfId="16690" xr:uid="{1AA83788-C9BF-4EDB-BD65-0EE020DB958D}"/>
    <cellStyle name="Normal 8 2 3 3 4 2 3" xfId="20913" xr:uid="{7AFED44B-155B-4000-81E8-DB32EA89AFBE}"/>
    <cellStyle name="Normal 8 2 3 3 4 2 4" xfId="12472" xr:uid="{72FC1DCC-6298-44B4-9605-520FB97F3032}"/>
    <cellStyle name="Normal 8 2 3 3 4 3" xfId="6095" xr:uid="{00000000-0005-0000-0000-0000C81C0000}"/>
    <cellStyle name="Normal 8 2 3 3 4 3 2" xfId="22986" xr:uid="{97FF33AF-1503-4C61-B6ED-A09D1C5F4256}"/>
    <cellStyle name="Normal 8 2 3 3 4 3 3" xfId="14545" xr:uid="{2F2E6160-1CF8-45BE-876B-59AF40467A71}"/>
    <cellStyle name="Normal 8 2 3 3 4 4" xfId="18768" xr:uid="{D5CA453D-4C74-4E15-ADD2-4A8F74F994E0}"/>
    <cellStyle name="Normal 8 2 3 3 4 5" xfId="10327" xr:uid="{EFFC3695-41D1-4365-AB6C-860611A6C550}"/>
    <cellStyle name="Normal 8 2 3 3 5" xfId="2202" xr:uid="{00000000-0005-0000-0000-0000C91C0000}"/>
    <cellStyle name="Normal 8 2 3 3 5 2" xfId="4431" xr:uid="{00000000-0005-0000-0000-0000CA1C0000}"/>
    <cellStyle name="Normal 8 2 3 3 5 2 2" xfId="8653" xr:uid="{00000000-0005-0000-0000-0000CB1C0000}"/>
    <cellStyle name="Normal 8 2 3 3 5 2 2 2" xfId="25544" xr:uid="{B5317D72-7A24-4729-BA3E-5CD26A62A972}"/>
    <cellStyle name="Normal 8 2 3 3 5 2 2 3" xfId="17103" xr:uid="{21BE3BED-786E-4820-BC32-7BF1A3CB513E}"/>
    <cellStyle name="Normal 8 2 3 3 5 2 3" xfId="21326" xr:uid="{43FF81ED-F54D-49B0-9795-184C8FD52540}"/>
    <cellStyle name="Normal 8 2 3 3 5 2 4" xfId="12885" xr:uid="{40FD7A0E-DAD8-4D31-92DB-1CB56FA44ADD}"/>
    <cellStyle name="Normal 8 2 3 3 5 3" xfId="6508" xr:uid="{00000000-0005-0000-0000-0000CC1C0000}"/>
    <cellStyle name="Normal 8 2 3 3 5 3 2" xfId="23399" xr:uid="{E234A8C0-5500-4390-B426-14D5562BAA36}"/>
    <cellStyle name="Normal 8 2 3 3 5 3 3" xfId="14958" xr:uid="{451138A7-CA14-4CEC-B748-E02B87818F1B}"/>
    <cellStyle name="Normal 8 2 3 3 5 4" xfId="19181" xr:uid="{420225BC-F78F-48E9-9683-3E7884E6DF3C}"/>
    <cellStyle name="Normal 8 2 3 3 5 5" xfId="10740" xr:uid="{EC33EDC8-3054-46BE-9B71-B5C8660AB77C}"/>
    <cellStyle name="Normal 8 2 3 3 6" xfId="2638" xr:uid="{00000000-0005-0000-0000-0000CD1C0000}"/>
    <cellStyle name="Normal 8 2 3 3 6 2" xfId="6921" xr:uid="{00000000-0005-0000-0000-0000CE1C0000}"/>
    <cellStyle name="Normal 8 2 3 3 6 2 2" xfId="23812" xr:uid="{821E5BC9-90CC-4AB3-81F6-9BF87D98998A}"/>
    <cellStyle name="Normal 8 2 3 3 6 2 3" xfId="15371" xr:uid="{7E2308F8-F623-428D-BD83-705A58864B2B}"/>
    <cellStyle name="Normal 8 2 3 3 6 3" xfId="19594" xr:uid="{296622CC-7279-46A5-93E2-2D779BB0EE0E}"/>
    <cellStyle name="Normal 8 2 3 3 6 4" xfId="11153" xr:uid="{10FF1E15-D276-47CE-8C70-EAE25EF96A07}"/>
    <cellStyle name="Normal 8 2 3 3 7" xfId="4856" xr:uid="{00000000-0005-0000-0000-0000CF1C0000}"/>
    <cellStyle name="Normal 8 2 3 3 7 2" xfId="21747" xr:uid="{71716B3B-C4C6-4359-A719-9DD0E08957FB}"/>
    <cellStyle name="Normal 8 2 3 3 7 3" xfId="13306" xr:uid="{3A5184DB-9F2C-4644-93E7-A470B592566B}"/>
    <cellStyle name="Normal 8 2 3 3 8" xfId="17529" xr:uid="{26563905-6F4A-453F-884F-E0966F69BF3F}"/>
    <cellStyle name="Normal 8 2 3 3 9" xfId="9088" xr:uid="{4F943442-E9ED-443D-960F-FA0B5F81B622}"/>
    <cellStyle name="Normal 8 2 3 4" xfId="955" xr:uid="{00000000-0005-0000-0000-0000D01C0000}"/>
    <cellStyle name="Normal 8 2 3 4 2" xfId="3189" xr:uid="{00000000-0005-0000-0000-0000D11C0000}"/>
    <cellStyle name="Normal 8 2 3 4 2 2" xfId="7411" xr:uid="{00000000-0005-0000-0000-0000D21C0000}"/>
    <cellStyle name="Normal 8 2 3 4 2 2 2" xfId="24302" xr:uid="{98CBF1A8-8656-4BEC-98D7-8F3EF83D4C4B}"/>
    <cellStyle name="Normal 8 2 3 4 2 2 3" xfId="15861" xr:uid="{59613447-3FD1-4FC4-9924-5AFFB9AD6CA3}"/>
    <cellStyle name="Normal 8 2 3 4 2 3" xfId="20084" xr:uid="{75DA092E-8EDD-4CD3-B029-CF17C0E48740}"/>
    <cellStyle name="Normal 8 2 3 4 2 4" xfId="11643" xr:uid="{CA68B9E3-62A9-45FB-BD72-4E620BFC0BA9}"/>
    <cellStyle name="Normal 8 2 3 4 3" xfId="5266" xr:uid="{00000000-0005-0000-0000-0000D31C0000}"/>
    <cellStyle name="Normal 8 2 3 4 3 2" xfId="22157" xr:uid="{2BD0105B-438B-4578-90C4-280563A64D2E}"/>
    <cellStyle name="Normal 8 2 3 4 3 3" xfId="13716" xr:uid="{0F429CE9-905A-443C-8DB4-948A78300901}"/>
    <cellStyle name="Normal 8 2 3 4 4" xfId="17939" xr:uid="{96A74E1C-A926-421C-AB41-F89DEF3EBD2F}"/>
    <cellStyle name="Normal 8 2 3 4 5" xfId="9498" xr:uid="{D85D4672-E41D-4915-9928-6023AB408801}"/>
    <cellStyle name="Normal 8 2 3 5" xfId="1372" xr:uid="{00000000-0005-0000-0000-0000D41C0000}"/>
    <cellStyle name="Normal 8 2 3 5 2" xfId="3602" xr:uid="{00000000-0005-0000-0000-0000D51C0000}"/>
    <cellStyle name="Normal 8 2 3 5 2 2" xfId="7824" xr:uid="{00000000-0005-0000-0000-0000D61C0000}"/>
    <cellStyle name="Normal 8 2 3 5 2 2 2" xfId="24715" xr:uid="{20970BAC-A4B9-4D2A-9504-13CFA49D04B9}"/>
    <cellStyle name="Normal 8 2 3 5 2 2 3" xfId="16274" xr:uid="{B28EB344-4768-4451-9C4A-B8FB3136D11D}"/>
    <cellStyle name="Normal 8 2 3 5 2 3" xfId="20497" xr:uid="{7BC5B7F7-6643-4907-ACFC-3A3C4C77CEF0}"/>
    <cellStyle name="Normal 8 2 3 5 2 4" xfId="12056" xr:uid="{59CC1069-5297-4A2D-918F-A2686F015651}"/>
    <cellStyle name="Normal 8 2 3 5 3" xfId="5679" xr:uid="{00000000-0005-0000-0000-0000D71C0000}"/>
    <cellStyle name="Normal 8 2 3 5 3 2" xfId="22570" xr:uid="{26C09CF4-1CA8-4185-A844-7E3C01E69EC4}"/>
    <cellStyle name="Normal 8 2 3 5 3 3" xfId="14129" xr:uid="{AA2EB462-7125-4625-B0B0-8A76B1F4BCD4}"/>
    <cellStyle name="Normal 8 2 3 5 4" xfId="18352" xr:uid="{D2120215-32AB-41AC-BF00-B15206B3F7D3}"/>
    <cellStyle name="Normal 8 2 3 5 5" xfId="9911" xr:uid="{BF1F0F44-ADDF-4CFF-8F09-2FD3DD1451CA}"/>
    <cellStyle name="Normal 8 2 3 6" xfId="1785" xr:uid="{00000000-0005-0000-0000-0000D81C0000}"/>
    <cellStyle name="Normal 8 2 3 6 2" xfId="4015" xr:uid="{00000000-0005-0000-0000-0000D91C0000}"/>
    <cellStyle name="Normal 8 2 3 6 2 2" xfId="8237" xr:uid="{00000000-0005-0000-0000-0000DA1C0000}"/>
    <cellStyle name="Normal 8 2 3 6 2 2 2" xfId="25128" xr:uid="{BD59871D-A14E-495F-B7DB-4940E1DE8FA8}"/>
    <cellStyle name="Normal 8 2 3 6 2 2 3" xfId="16687" xr:uid="{8673941F-4D6B-4476-8801-D06EDAA92F41}"/>
    <cellStyle name="Normal 8 2 3 6 2 3" xfId="20910" xr:uid="{AF726D52-8B68-4C7F-AE3E-115F3AABEBE6}"/>
    <cellStyle name="Normal 8 2 3 6 2 4" xfId="12469" xr:uid="{C81BD46D-2C9B-4EFE-AB7C-2F3AF491EA41}"/>
    <cellStyle name="Normal 8 2 3 6 3" xfId="6092" xr:uid="{00000000-0005-0000-0000-0000DB1C0000}"/>
    <cellStyle name="Normal 8 2 3 6 3 2" xfId="22983" xr:uid="{6FE91A74-E5DB-4FBA-8667-6B417E04BE68}"/>
    <cellStyle name="Normal 8 2 3 6 3 3" xfId="14542" xr:uid="{02B3B033-3DF8-4B15-A5FB-0D4D1FE1017C}"/>
    <cellStyle name="Normal 8 2 3 6 4" xfId="18765" xr:uid="{C674FDC7-00B4-4C56-8465-A60FE7709010}"/>
    <cellStyle name="Normal 8 2 3 6 5" xfId="10324" xr:uid="{4AE495FB-480B-4C8D-81A6-252C95EA4647}"/>
    <cellStyle name="Normal 8 2 3 7" xfId="2199" xr:uid="{00000000-0005-0000-0000-0000DC1C0000}"/>
    <cellStyle name="Normal 8 2 3 7 2" xfId="4428" xr:uid="{00000000-0005-0000-0000-0000DD1C0000}"/>
    <cellStyle name="Normal 8 2 3 7 2 2" xfId="8650" xr:uid="{00000000-0005-0000-0000-0000DE1C0000}"/>
    <cellStyle name="Normal 8 2 3 7 2 2 2" xfId="25541" xr:uid="{BB13D0E3-F16F-475A-9C9F-694FA703454A}"/>
    <cellStyle name="Normal 8 2 3 7 2 2 3" xfId="17100" xr:uid="{A5942D00-BCBB-43A1-B87B-5A11DB616C6D}"/>
    <cellStyle name="Normal 8 2 3 7 2 3" xfId="21323" xr:uid="{A06D0EAA-C00C-4634-BEE0-BE206995AC11}"/>
    <cellStyle name="Normal 8 2 3 7 2 4" xfId="12882" xr:uid="{4969E055-5197-4592-9697-E2CE0DBB35FF}"/>
    <cellStyle name="Normal 8 2 3 7 3" xfId="6505" xr:uid="{00000000-0005-0000-0000-0000DF1C0000}"/>
    <cellStyle name="Normal 8 2 3 7 3 2" xfId="23396" xr:uid="{FFBB029E-9A8B-4B86-81D0-4A670001D447}"/>
    <cellStyle name="Normal 8 2 3 7 3 3" xfId="14955" xr:uid="{1F85424E-5095-4743-87A0-9852AC89D330}"/>
    <cellStyle name="Normal 8 2 3 7 4" xfId="19178" xr:uid="{DB8723D6-D23D-4476-828C-9EF87D30AF9F}"/>
    <cellStyle name="Normal 8 2 3 7 5" xfId="10737" xr:uid="{84E6BB54-BF12-4395-83DC-C33918952027}"/>
    <cellStyle name="Normal 8 2 3 8" xfId="2635" xr:uid="{00000000-0005-0000-0000-0000E01C0000}"/>
    <cellStyle name="Normal 8 2 3 8 2" xfId="6918" xr:uid="{00000000-0005-0000-0000-0000E11C0000}"/>
    <cellStyle name="Normal 8 2 3 8 2 2" xfId="23809" xr:uid="{F919B10A-4B97-4557-8197-48AFE7D22A89}"/>
    <cellStyle name="Normal 8 2 3 8 2 3" xfId="15368" xr:uid="{D44DFCAF-AE0F-4F54-AA5F-BA6C89C20CCF}"/>
    <cellStyle name="Normal 8 2 3 8 3" xfId="19591" xr:uid="{82263DFE-332F-4F08-B2B4-5C0A6B22FB64}"/>
    <cellStyle name="Normal 8 2 3 8 4" xfId="11150" xr:uid="{CCA8814C-570E-4233-BA5C-04923D85EB8B}"/>
    <cellStyle name="Normal 8 2 3 9" xfId="4853" xr:uid="{00000000-0005-0000-0000-0000E21C0000}"/>
    <cellStyle name="Normal 8 2 3 9 2" xfId="21744" xr:uid="{943BB89A-CA85-43B1-9FA3-43DC8024A202}"/>
    <cellStyle name="Normal 8 2 3 9 3" xfId="13303" xr:uid="{11A6740C-8499-4AB0-B0D2-F003A7EE0F1E}"/>
    <cellStyle name="Normal 8 2 4" xfId="492" xr:uid="{00000000-0005-0000-0000-0000E31C0000}"/>
    <cellStyle name="Normal 8 2 4 10" xfId="9089" xr:uid="{26BF8F5D-9A96-479D-BD54-CD932CAFC3AA}"/>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2 2 2" xfId="24307" xr:uid="{358AA9ED-9113-4A2B-9F93-C5FD0E91D9C7}"/>
    <cellStyle name="Normal 8 2 4 2 2 2 2 3" xfId="15866" xr:uid="{7351703E-84B3-4F46-9F6E-3B59CEF586B4}"/>
    <cellStyle name="Normal 8 2 4 2 2 2 3" xfId="20089" xr:uid="{9E4E3F85-4527-4BE3-9FFD-960CEA430ED2}"/>
    <cellStyle name="Normal 8 2 4 2 2 2 4" xfId="11648" xr:uid="{19B46018-5AD2-4667-AE4A-007BD0EA7E24}"/>
    <cellStyle name="Normal 8 2 4 2 2 3" xfId="5271" xr:uid="{00000000-0005-0000-0000-0000E81C0000}"/>
    <cellStyle name="Normal 8 2 4 2 2 3 2" xfId="22162" xr:uid="{9611CF70-7948-4AA1-93C2-EBDB9C0218D5}"/>
    <cellStyle name="Normal 8 2 4 2 2 3 3" xfId="13721" xr:uid="{293A9B3E-9917-4134-8FA6-F01E72727826}"/>
    <cellStyle name="Normal 8 2 4 2 2 4" xfId="17944" xr:uid="{F3A7A13C-7CF5-4C85-BFE4-9080BAA6D197}"/>
    <cellStyle name="Normal 8 2 4 2 2 5" xfId="9503" xr:uid="{9C05C92E-11CF-4F2D-8554-63D80D57CC12}"/>
    <cellStyle name="Normal 8 2 4 2 3" xfId="1377" xr:uid="{00000000-0005-0000-0000-0000E91C0000}"/>
    <cellStyle name="Normal 8 2 4 2 3 2" xfId="3607" xr:uid="{00000000-0005-0000-0000-0000EA1C0000}"/>
    <cellStyle name="Normal 8 2 4 2 3 2 2" xfId="7829" xr:uid="{00000000-0005-0000-0000-0000EB1C0000}"/>
    <cellStyle name="Normal 8 2 4 2 3 2 2 2" xfId="24720" xr:uid="{041737A9-9320-4033-B2B5-8D604DB2AEEC}"/>
    <cellStyle name="Normal 8 2 4 2 3 2 2 3" xfId="16279" xr:uid="{046B3929-345C-4D48-883B-F53F4EC25E31}"/>
    <cellStyle name="Normal 8 2 4 2 3 2 3" xfId="20502" xr:uid="{5FD1A3EA-B993-4B01-BB78-362C50FCC4F0}"/>
    <cellStyle name="Normal 8 2 4 2 3 2 4" xfId="12061" xr:uid="{87ED6EA3-92D2-4751-AB0B-8E2D0DF388CD}"/>
    <cellStyle name="Normal 8 2 4 2 3 3" xfId="5684" xr:uid="{00000000-0005-0000-0000-0000EC1C0000}"/>
    <cellStyle name="Normal 8 2 4 2 3 3 2" xfId="22575" xr:uid="{276022DA-8CFE-4F84-911F-491E98C7008F}"/>
    <cellStyle name="Normal 8 2 4 2 3 3 3" xfId="14134" xr:uid="{B2917938-5B39-44FC-9B9B-741A0419DA61}"/>
    <cellStyle name="Normal 8 2 4 2 3 4" xfId="18357" xr:uid="{F5E12FD2-B7EE-412C-ADE4-55FA627C63E9}"/>
    <cellStyle name="Normal 8 2 4 2 3 5" xfId="9916" xr:uid="{8A663C9C-CA56-4F9B-8862-DE4DF51B77BB}"/>
    <cellStyle name="Normal 8 2 4 2 4" xfId="1790" xr:uid="{00000000-0005-0000-0000-0000ED1C0000}"/>
    <cellStyle name="Normal 8 2 4 2 4 2" xfId="4020" xr:uid="{00000000-0005-0000-0000-0000EE1C0000}"/>
    <cellStyle name="Normal 8 2 4 2 4 2 2" xfId="8242" xr:uid="{00000000-0005-0000-0000-0000EF1C0000}"/>
    <cellStyle name="Normal 8 2 4 2 4 2 2 2" xfId="25133" xr:uid="{44039510-86A6-44BE-B0C3-C1B2851AD7AD}"/>
    <cellStyle name="Normal 8 2 4 2 4 2 2 3" xfId="16692" xr:uid="{87ABF10B-F2B8-47E7-921A-AA7F8708D1B8}"/>
    <cellStyle name="Normal 8 2 4 2 4 2 3" xfId="20915" xr:uid="{8B35E05B-DAEF-4F3A-9A4B-740597D3307A}"/>
    <cellStyle name="Normal 8 2 4 2 4 2 4" xfId="12474" xr:uid="{3A80234A-726A-40F7-98EE-D423A21FE884}"/>
    <cellStyle name="Normal 8 2 4 2 4 3" xfId="6097" xr:uid="{00000000-0005-0000-0000-0000F01C0000}"/>
    <cellStyle name="Normal 8 2 4 2 4 3 2" xfId="22988" xr:uid="{EDA8321C-F82F-4601-B897-D9D50B19EA3B}"/>
    <cellStyle name="Normal 8 2 4 2 4 3 3" xfId="14547" xr:uid="{9592503D-BE67-49F3-965A-14106571CF03}"/>
    <cellStyle name="Normal 8 2 4 2 4 4" xfId="18770" xr:uid="{D72F0F9B-281F-4C49-BA2D-99DD54357EDC}"/>
    <cellStyle name="Normal 8 2 4 2 4 5" xfId="10329" xr:uid="{04F4B998-9B1D-4EE9-9917-8D326FA23B9B}"/>
    <cellStyle name="Normal 8 2 4 2 5" xfId="2204" xr:uid="{00000000-0005-0000-0000-0000F11C0000}"/>
    <cellStyle name="Normal 8 2 4 2 5 2" xfId="4433" xr:uid="{00000000-0005-0000-0000-0000F21C0000}"/>
    <cellStyle name="Normal 8 2 4 2 5 2 2" xfId="8655" xr:uid="{00000000-0005-0000-0000-0000F31C0000}"/>
    <cellStyle name="Normal 8 2 4 2 5 2 2 2" xfId="25546" xr:uid="{FA1E0E4A-49DB-400D-A4C4-C170D874C819}"/>
    <cellStyle name="Normal 8 2 4 2 5 2 2 3" xfId="17105" xr:uid="{F4BAD42F-8D29-4AB5-B8B1-61AEEB96ADB9}"/>
    <cellStyle name="Normal 8 2 4 2 5 2 3" xfId="21328" xr:uid="{482B8EE2-1B00-45A0-89D4-CCF6553C27FC}"/>
    <cellStyle name="Normal 8 2 4 2 5 2 4" xfId="12887" xr:uid="{A0D2D4A7-84EE-4ED3-A952-951F4D6623DE}"/>
    <cellStyle name="Normal 8 2 4 2 5 3" xfId="6510" xr:uid="{00000000-0005-0000-0000-0000F41C0000}"/>
    <cellStyle name="Normal 8 2 4 2 5 3 2" xfId="23401" xr:uid="{0DF0759E-7EA0-42C7-A643-CEF99952A87D}"/>
    <cellStyle name="Normal 8 2 4 2 5 3 3" xfId="14960" xr:uid="{6D9402D6-F6A9-4401-BB29-B93C8F5C84CA}"/>
    <cellStyle name="Normal 8 2 4 2 5 4" xfId="19183" xr:uid="{189A7921-6780-4DBF-A2DD-F9BC6D73EC62}"/>
    <cellStyle name="Normal 8 2 4 2 5 5" xfId="10742" xr:uid="{939F7EC4-811A-499B-99FA-1E7D5838F234}"/>
    <cellStyle name="Normal 8 2 4 2 6" xfId="2640" xr:uid="{00000000-0005-0000-0000-0000F51C0000}"/>
    <cellStyle name="Normal 8 2 4 2 6 2" xfId="6923" xr:uid="{00000000-0005-0000-0000-0000F61C0000}"/>
    <cellStyle name="Normal 8 2 4 2 6 2 2" xfId="23814" xr:uid="{BB5C0750-E0AA-45D0-8109-526079FDF63C}"/>
    <cellStyle name="Normal 8 2 4 2 6 2 3" xfId="15373" xr:uid="{8A74BB6B-7D48-4EB1-8375-3ABFBCBE808F}"/>
    <cellStyle name="Normal 8 2 4 2 6 3" xfId="19596" xr:uid="{A9F1DC11-B5AB-4F1C-94E1-CF89D25B321C}"/>
    <cellStyle name="Normal 8 2 4 2 6 4" xfId="11155" xr:uid="{CF01179B-3D0F-4D86-97B7-199680CB80B4}"/>
    <cellStyle name="Normal 8 2 4 2 7" xfId="4858" xr:uid="{00000000-0005-0000-0000-0000F71C0000}"/>
    <cellStyle name="Normal 8 2 4 2 7 2" xfId="21749" xr:uid="{030D6CF1-47E2-4E19-9F34-0E46885C49E6}"/>
    <cellStyle name="Normal 8 2 4 2 7 3" xfId="13308" xr:uid="{4B158CA5-4B9A-4ACA-A482-47A8161BAB78}"/>
    <cellStyle name="Normal 8 2 4 2 8" xfId="17531" xr:uid="{31371EDC-0981-42A8-A008-F4E16D394758}"/>
    <cellStyle name="Normal 8 2 4 2 9" xfId="9090" xr:uid="{09017856-6137-467E-B039-508EF0A5E80D}"/>
    <cellStyle name="Normal 8 2 4 3" xfId="959" xr:uid="{00000000-0005-0000-0000-0000F81C0000}"/>
    <cellStyle name="Normal 8 2 4 3 2" xfId="3193" xr:uid="{00000000-0005-0000-0000-0000F91C0000}"/>
    <cellStyle name="Normal 8 2 4 3 2 2" xfId="7415" xr:uid="{00000000-0005-0000-0000-0000FA1C0000}"/>
    <cellStyle name="Normal 8 2 4 3 2 2 2" xfId="24306" xr:uid="{BDF7B85D-A460-4E1A-BD47-D8A9646B834D}"/>
    <cellStyle name="Normal 8 2 4 3 2 2 3" xfId="15865" xr:uid="{05D36EB6-5496-48E2-BDCA-FEA544B6AE67}"/>
    <cellStyle name="Normal 8 2 4 3 2 3" xfId="20088" xr:uid="{F443E429-1CBC-4733-849D-AACF3AFA7EE6}"/>
    <cellStyle name="Normal 8 2 4 3 2 4" xfId="11647" xr:uid="{7909C48B-A255-417E-83E4-79C7465FBAFC}"/>
    <cellStyle name="Normal 8 2 4 3 3" xfId="5270" xr:uid="{00000000-0005-0000-0000-0000FB1C0000}"/>
    <cellStyle name="Normal 8 2 4 3 3 2" xfId="22161" xr:uid="{B971364B-C20F-445E-BAE5-100D9E5A2C75}"/>
    <cellStyle name="Normal 8 2 4 3 3 3" xfId="13720" xr:uid="{F5218B63-90B1-4D30-B736-36506F33820B}"/>
    <cellStyle name="Normal 8 2 4 3 4" xfId="17943" xr:uid="{0813A236-64E1-4B65-81D1-596A681FA523}"/>
    <cellStyle name="Normal 8 2 4 3 5" xfId="9502" xr:uid="{D9EA8B5D-1053-40ED-921F-624C281F143C}"/>
    <cellStyle name="Normal 8 2 4 4" xfId="1376" xr:uid="{00000000-0005-0000-0000-0000FC1C0000}"/>
    <cellStyle name="Normal 8 2 4 4 2" xfId="3606" xr:uid="{00000000-0005-0000-0000-0000FD1C0000}"/>
    <cellStyle name="Normal 8 2 4 4 2 2" xfId="7828" xr:uid="{00000000-0005-0000-0000-0000FE1C0000}"/>
    <cellStyle name="Normal 8 2 4 4 2 2 2" xfId="24719" xr:uid="{37BCEC96-C0F2-4329-9DBE-27CCD627F9EB}"/>
    <cellStyle name="Normal 8 2 4 4 2 2 3" xfId="16278" xr:uid="{F271CEAE-5B99-4974-A3FB-277D5906EE4D}"/>
    <cellStyle name="Normal 8 2 4 4 2 3" xfId="20501" xr:uid="{901FA3FA-B693-4FEB-8D9D-18221E2483BE}"/>
    <cellStyle name="Normal 8 2 4 4 2 4" xfId="12060" xr:uid="{91C57718-1F78-4B44-8C18-9F919C882F28}"/>
    <cellStyle name="Normal 8 2 4 4 3" xfId="5683" xr:uid="{00000000-0005-0000-0000-0000FF1C0000}"/>
    <cellStyle name="Normal 8 2 4 4 3 2" xfId="22574" xr:uid="{D038A770-FB88-4CFA-92AB-D2163F6ABEDA}"/>
    <cellStyle name="Normal 8 2 4 4 3 3" xfId="14133" xr:uid="{99AE90D2-487C-48B7-8867-154DE3A48EED}"/>
    <cellStyle name="Normal 8 2 4 4 4" xfId="18356" xr:uid="{7BD24B97-A1E4-4388-ABFE-FF5D3585EA4F}"/>
    <cellStyle name="Normal 8 2 4 4 5" xfId="9915" xr:uid="{63ECCB51-EA36-4E56-8D48-2EE258B2EEB0}"/>
    <cellStyle name="Normal 8 2 4 5" xfId="1789" xr:uid="{00000000-0005-0000-0000-0000001D0000}"/>
    <cellStyle name="Normal 8 2 4 5 2" xfId="4019" xr:uid="{00000000-0005-0000-0000-0000011D0000}"/>
    <cellStyle name="Normal 8 2 4 5 2 2" xfId="8241" xr:uid="{00000000-0005-0000-0000-0000021D0000}"/>
    <cellStyle name="Normal 8 2 4 5 2 2 2" xfId="25132" xr:uid="{F20EF88A-0503-48F5-8062-7C84FBBDE936}"/>
    <cellStyle name="Normal 8 2 4 5 2 2 3" xfId="16691" xr:uid="{9A0D4C11-B4E3-425E-87B1-6F80FD3E2592}"/>
    <cellStyle name="Normal 8 2 4 5 2 3" xfId="20914" xr:uid="{6337C897-E3BF-4938-A80F-4EBF92611213}"/>
    <cellStyle name="Normal 8 2 4 5 2 4" xfId="12473" xr:uid="{7BF7644C-2CC1-4032-A4DA-C260CD9F7BE3}"/>
    <cellStyle name="Normal 8 2 4 5 3" xfId="6096" xr:uid="{00000000-0005-0000-0000-0000031D0000}"/>
    <cellStyle name="Normal 8 2 4 5 3 2" xfId="22987" xr:uid="{BB2E2330-C4B2-42B0-B4C2-ACC90F098DDD}"/>
    <cellStyle name="Normal 8 2 4 5 3 3" xfId="14546" xr:uid="{587C5AB7-877B-4FF6-8CBB-81A7B1F8F184}"/>
    <cellStyle name="Normal 8 2 4 5 4" xfId="18769" xr:uid="{47C78C0B-5294-4D46-9B69-39B269CBBB0C}"/>
    <cellStyle name="Normal 8 2 4 5 5" xfId="10328" xr:uid="{D6CB5D95-7F17-448A-89BA-9F124F9C2F73}"/>
    <cellStyle name="Normal 8 2 4 6" xfId="2203" xr:uid="{00000000-0005-0000-0000-0000041D0000}"/>
    <cellStyle name="Normal 8 2 4 6 2" xfId="4432" xr:uid="{00000000-0005-0000-0000-0000051D0000}"/>
    <cellStyle name="Normal 8 2 4 6 2 2" xfId="8654" xr:uid="{00000000-0005-0000-0000-0000061D0000}"/>
    <cellStyle name="Normal 8 2 4 6 2 2 2" xfId="25545" xr:uid="{997C2B9F-B329-48CF-83B8-F021310E82B3}"/>
    <cellStyle name="Normal 8 2 4 6 2 2 3" xfId="17104" xr:uid="{846DF985-CD68-4F4F-9122-EA33944D0055}"/>
    <cellStyle name="Normal 8 2 4 6 2 3" xfId="21327" xr:uid="{0B531C75-87F8-40B8-8686-C896E2650269}"/>
    <cellStyle name="Normal 8 2 4 6 2 4" xfId="12886" xr:uid="{2AF1BD2C-9E86-404D-B7A5-CAEFE01F368A}"/>
    <cellStyle name="Normal 8 2 4 6 3" xfId="6509" xr:uid="{00000000-0005-0000-0000-0000071D0000}"/>
    <cellStyle name="Normal 8 2 4 6 3 2" xfId="23400" xr:uid="{4C2D05B8-111F-44D6-A9F6-4FDA095C671B}"/>
    <cellStyle name="Normal 8 2 4 6 3 3" xfId="14959" xr:uid="{99BE220C-8E11-4881-9770-2B7551FF7471}"/>
    <cellStyle name="Normal 8 2 4 6 4" xfId="19182" xr:uid="{C096909C-17C8-4F81-AB4C-53B713AF6CF0}"/>
    <cellStyle name="Normal 8 2 4 6 5" xfId="10741" xr:uid="{A4B34010-CF7E-4C4F-BB5D-2C249BF62A9E}"/>
    <cellStyle name="Normal 8 2 4 7" xfId="2639" xr:uid="{00000000-0005-0000-0000-0000081D0000}"/>
    <cellStyle name="Normal 8 2 4 7 2" xfId="6922" xr:uid="{00000000-0005-0000-0000-0000091D0000}"/>
    <cellStyle name="Normal 8 2 4 7 2 2" xfId="23813" xr:uid="{E4C56397-C84A-4316-915F-755A301A2B0A}"/>
    <cellStyle name="Normal 8 2 4 7 2 3" xfId="15372" xr:uid="{D80602F3-8EAE-4A26-A827-712448799284}"/>
    <cellStyle name="Normal 8 2 4 7 3" xfId="19595" xr:uid="{0F5745A0-CBBF-4F25-B784-72AD5582BC19}"/>
    <cellStyle name="Normal 8 2 4 7 4" xfId="11154" xr:uid="{DB88822C-4072-4A4F-85A6-1DEA7B947186}"/>
    <cellStyle name="Normal 8 2 4 8" xfId="4857" xr:uid="{00000000-0005-0000-0000-00000A1D0000}"/>
    <cellStyle name="Normal 8 2 4 8 2" xfId="21748" xr:uid="{5D3677E8-9801-459F-8223-A9D0739CE91F}"/>
    <cellStyle name="Normal 8 2 4 8 3" xfId="13307" xr:uid="{34841837-981A-40BD-B0D8-FEFDA1A5BC93}"/>
    <cellStyle name="Normal 8 2 4 9" xfId="17530" xr:uid="{50203CCE-B9B3-4BE1-8F57-31553CF2A11F}"/>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2 2 2" xfId="24308" xr:uid="{721832CF-F33B-4EED-93FC-40CC8D769C64}"/>
    <cellStyle name="Normal 8 2 5 2 2 2 3" xfId="15867" xr:uid="{5B8B8E52-5BC6-428D-8966-23A2689ABC2C}"/>
    <cellStyle name="Normal 8 2 5 2 2 3" xfId="20090" xr:uid="{8A2E72AC-04A2-4CB4-B377-B14B3646F120}"/>
    <cellStyle name="Normal 8 2 5 2 2 4" xfId="11649" xr:uid="{AD50ADE0-7025-4F20-BEEC-716984BB8B29}"/>
    <cellStyle name="Normal 8 2 5 2 3" xfId="5272" xr:uid="{00000000-0005-0000-0000-00000F1D0000}"/>
    <cellStyle name="Normal 8 2 5 2 3 2" xfId="22163" xr:uid="{C420F943-87D5-4993-934B-A42F50087ED6}"/>
    <cellStyle name="Normal 8 2 5 2 3 3" xfId="13722" xr:uid="{FD4FEEB2-96AD-482E-BDED-E071904C6E83}"/>
    <cellStyle name="Normal 8 2 5 2 4" xfId="17945" xr:uid="{3F20392C-D493-4311-BBBE-32387EE30573}"/>
    <cellStyle name="Normal 8 2 5 2 5" xfId="9504" xr:uid="{F768EC8C-D3BF-4165-867F-2E40FBE8C40D}"/>
    <cellStyle name="Normal 8 2 5 3" xfId="1378" xr:uid="{00000000-0005-0000-0000-0000101D0000}"/>
    <cellStyle name="Normal 8 2 5 3 2" xfId="3608" xr:uid="{00000000-0005-0000-0000-0000111D0000}"/>
    <cellStyle name="Normal 8 2 5 3 2 2" xfId="7830" xr:uid="{00000000-0005-0000-0000-0000121D0000}"/>
    <cellStyle name="Normal 8 2 5 3 2 2 2" xfId="24721" xr:uid="{EC0A7067-A294-4FFE-8375-4ED8C951E7BB}"/>
    <cellStyle name="Normal 8 2 5 3 2 2 3" xfId="16280" xr:uid="{687033F5-FBFC-4392-8D0E-457A1C6FEFF3}"/>
    <cellStyle name="Normal 8 2 5 3 2 3" xfId="20503" xr:uid="{83E425A3-6EAD-4C45-887F-24299592A33E}"/>
    <cellStyle name="Normal 8 2 5 3 2 4" xfId="12062" xr:uid="{33C810AE-7F5F-4F2E-B1BE-D1458E6371F0}"/>
    <cellStyle name="Normal 8 2 5 3 3" xfId="5685" xr:uid="{00000000-0005-0000-0000-0000131D0000}"/>
    <cellStyle name="Normal 8 2 5 3 3 2" xfId="22576" xr:uid="{F1E3843D-66A2-4742-AACC-44A68B15EA7B}"/>
    <cellStyle name="Normal 8 2 5 3 3 3" xfId="14135" xr:uid="{91135AE0-8C63-4C8B-BD53-ED58503505F0}"/>
    <cellStyle name="Normal 8 2 5 3 4" xfId="18358" xr:uid="{4E9BA8A4-3004-4827-8E67-13A745E05C1D}"/>
    <cellStyle name="Normal 8 2 5 3 5" xfId="9917" xr:uid="{4BF54A81-8340-49A8-9468-D7B522316349}"/>
    <cellStyle name="Normal 8 2 5 4" xfId="1791" xr:uid="{00000000-0005-0000-0000-0000141D0000}"/>
    <cellStyle name="Normal 8 2 5 4 2" xfId="4021" xr:uid="{00000000-0005-0000-0000-0000151D0000}"/>
    <cellStyle name="Normal 8 2 5 4 2 2" xfId="8243" xr:uid="{00000000-0005-0000-0000-0000161D0000}"/>
    <cellStyle name="Normal 8 2 5 4 2 2 2" xfId="25134" xr:uid="{35BFD693-2BF5-4CCC-AE94-595000CAFD73}"/>
    <cellStyle name="Normal 8 2 5 4 2 2 3" xfId="16693" xr:uid="{ABFA923F-A688-429D-86B7-2709DACEF030}"/>
    <cellStyle name="Normal 8 2 5 4 2 3" xfId="20916" xr:uid="{A1CEACA9-ADAE-410C-A2A5-5F5A507B3FD6}"/>
    <cellStyle name="Normal 8 2 5 4 2 4" xfId="12475" xr:uid="{70C11039-A4BE-4CAE-B8AA-647AC7C51DA5}"/>
    <cellStyle name="Normal 8 2 5 4 3" xfId="6098" xr:uid="{00000000-0005-0000-0000-0000171D0000}"/>
    <cellStyle name="Normal 8 2 5 4 3 2" xfId="22989" xr:uid="{83C53740-2BE1-4639-B87E-992550610523}"/>
    <cellStyle name="Normal 8 2 5 4 3 3" xfId="14548" xr:uid="{9E2E6F6A-EDBA-4293-B7D8-06F3E83BA53F}"/>
    <cellStyle name="Normal 8 2 5 4 4" xfId="18771" xr:uid="{B460F268-0F86-42CD-B9B4-A51CC01974CE}"/>
    <cellStyle name="Normal 8 2 5 4 5" xfId="10330" xr:uid="{F8877027-D896-4DD2-B136-8012F1893F2A}"/>
    <cellStyle name="Normal 8 2 5 5" xfId="2205" xr:uid="{00000000-0005-0000-0000-0000181D0000}"/>
    <cellStyle name="Normal 8 2 5 5 2" xfId="4434" xr:uid="{00000000-0005-0000-0000-0000191D0000}"/>
    <cellStyle name="Normal 8 2 5 5 2 2" xfId="8656" xr:uid="{00000000-0005-0000-0000-00001A1D0000}"/>
    <cellStyle name="Normal 8 2 5 5 2 2 2" xfId="25547" xr:uid="{61418913-5D27-48FD-86DB-C7759B65548E}"/>
    <cellStyle name="Normal 8 2 5 5 2 2 3" xfId="17106" xr:uid="{7A5AE542-3213-49E2-9221-CBDEC47BD39D}"/>
    <cellStyle name="Normal 8 2 5 5 2 3" xfId="21329" xr:uid="{9451397C-62D5-4329-A840-4E87CD0F49C4}"/>
    <cellStyle name="Normal 8 2 5 5 2 4" xfId="12888" xr:uid="{B8440863-AA4F-405F-B925-349A18366449}"/>
    <cellStyle name="Normal 8 2 5 5 3" xfId="6511" xr:uid="{00000000-0005-0000-0000-00001B1D0000}"/>
    <cellStyle name="Normal 8 2 5 5 3 2" xfId="23402" xr:uid="{2182D5C3-6D0D-4609-B327-0921F31EC514}"/>
    <cellStyle name="Normal 8 2 5 5 3 3" xfId="14961" xr:uid="{4E769775-4DDF-4870-922C-71A19DFFCF56}"/>
    <cellStyle name="Normal 8 2 5 5 4" xfId="19184" xr:uid="{66134B66-6036-4D13-AD6B-3B57C04F58D8}"/>
    <cellStyle name="Normal 8 2 5 5 5" xfId="10743" xr:uid="{C735BD0B-8FE4-4CE9-886E-4A509A5D8CFC}"/>
    <cellStyle name="Normal 8 2 5 6" xfId="2641" xr:uid="{00000000-0005-0000-0000-00001C1D0000}"/>
    <cellStyle name="Normal 8 2 5 6 2" xfId="6924" xr:uid="{00000000-0005-0000-0000-00001D1D0000}"/>
    <cellStyle name="Normal 8 2 5 6 2 2" xfId="23815" xr:uid="{8EE1C434-DED3-42BE-8FE1-567CA695DCEF}"/>
    <cellStyle name="Normal 8 2 5 6 2 3" xfId="15374" xr:uid="{12C0D0B4-5930-41B9-9335-8C3C2E086EF9}"/>
    <cellStyle name="Normal 8 2 5 6 3" xfId="19597" xr:uid="{F72ED832-40EA-4215-A07A-6D6063D548B0}"/>
    <cellStyle name="Normal 8 2 5 6 4" xfId="11156" xr:uid="{37A81344-D897-4A0A-BE6D-E69105D1D8DE}"/>
    <cellStyle name="Normal 8 2 5 7" xfId="4859" xr:uid="{00000000-0005-0000-0000-00001E1D0000}"/>
    <cellStyle name="Normal 8 2 5 7 2" xfId="21750" xr:uid="{29AD9DD7-AB48-4675-B74D-5D8771706448}"/>
    <cellStyle name="Normal 8 2 5 7 3" xfId="13309" xr:uid="{688CB7B2-3359-43F1-9AC9-866946662D0A}"/>
    <cellStyle name="Normal 8 2 5 8" xfId="17532" xr:uid="{635AD820-E0D7-4EB3-BC1F-D6128539E1F2}"/>
    <cellStyle name="Normal 8 2 5 9" xfId="9091" xr:uid="{071C191D-AC14-4486-8C8A-85F27C73E778}"/>
    <cellStyle name="Normal 8 2 6" xfId="946" xr:uid="{00000000-0005-0000-0000-00001F1D0000}"/>
    <cellStyle name="Normal 8 2 6 2" xfId="3180" xr:uid="{00000000-0005-0000-0000-0000201D0000}"/>
    <cellStyle name="Normal 8 2 6 2 2" xfId="7402" xr:uid="{00000000-0005-0000-0000-0000211D0000}"/>
    <cellStyle name="Normal 8 2 6 2 2 2" xfId="24293" xr:uid="{736B28D8-B7C4-467F-943F-E6B7F3E63CD0}"/>
    <cellStyle name="Normal 8 2 6 2 2 3" xfId="15852" xr:uid="{55CADF79-13DB-4A5E-955F-B07C8E2DEBD5}"/>
    <cellStyle name="Normal 8 2 6 2 3" xfId="20075" xr:uid="{6C53FEC4-A213-4735-A782-5D8CE781B081}"/>
    <cellStyle name="Normal 8 2 6 2 4" xfId="11634" xr:uid="{1509A334-0BF2-4F38-8135-27EC13D3A9C8}"/>
    <cellStyle name="Normal 8 2 6 3" xfId="5257" xr:uid="{00000000-0005-0000-0000-0000221D0000}"/>
    <cellStyle name="Normal 8 2 6 3 2" xfId="22148" xr:uid="{27994D90-40B6-4D52-9A79-06F5EE758AD1}"/>
    <cellStyle name="Normal 8 2 6 3 3" xfId="13707" xr:uid="{3C322EB4-D588-411C-A47F-C98D669124B6}"/>
    <cellStyle name="Normal 8 2 6 4" xfId="17930" xr:uid="{98711239-07ED-441D-A2D5-391B6B886037}"/>
    <cellStyle name="Normal 8 2 6 5" xfId="9489" xr:uid="{16A0C414-0B53-4563-9604-EAF294F3D6F7}"/>
    <cellStyle name="Normal 8 2 7" xfId="1363" xr:uid="{00000000-0005-0000-0000-0000231D0000}"/>
    <cellStyle name="Normal 8 2 7 2" xfId="3593" xr:uid="{00000000-0005-0000-0000-0000241D0000}"/>
    <cellStyle name="Normal 8 2 7 2 2" xfId="7815" xr:uid="{00000000-0005-0000-0000-0000251D0000}"/>
    <cellStyle name="Normal 8 2 7 2 2 2" xfId="24706" xr:uid="{2815367B-68FC-4735-B7B6-B30E374750B0}"/>
    <cellStyle name="Normal 8 2 7 2 2 3" xfId="16265" xr:uid="{203B1612-5CEE-492B-AD9D-294EC237EF99}"/>
    <cellStyle name="Normal 8 2 7 2 3" xfId="20488" xr:uid="{B966EBDE-512A-4B4E-B8CE-1D0EC1580F22}"/>
    <cellStyle name="Normal 8 2 7 2 4" xfId="12047" xr:uid="{17EB469A-F64C-4AE1-B296-06EEBD4044F4}"/>
    <cellStyle name="Normal 8 2 7 3" xfId="5670" xr:uid="{00000000-0005-0000-0000-0000261D0000}"/>
    <cellStyle name="Normal 8 2 7 3 2" xfId="22561" xr:uid="{61763BFA-E847-4E1C-B314-6F8C95860FA2}"/>
    <cellStyle name="Normal 8 2 7 3 3" xfId="14120" xr:uid="{EC25C8D9-302C-425D-B2B8-CD971B4C55D1}"/>
    <cellStyle name="Normal 8 2 7 4" xfId="18343" xr:uid="{DC3152B6-0A01-45CC-9FD6-C244C108EA3A}"/>
    <cellStyle name="Normal 8 2 7 5" xfId="9902" xr:uid="{224317E7-3029-4272-939C-661C3D7AADB0}"/>
    <cellStyle name="Normal 8 2 8" xfId="1776" xr:uid="{00000000-0005-0000-0000-0000271D0000}"/>
    <cellStyle name="Normal 8 2 8 2" xfId="4006" xr:uid="{00000000-0005-0000-0000-0000281D0000}"/>
    <cellStyle name="Normal 8 2 8 2 2" xfId="8228" xr:uid="{00000000-0005-0000-0000-0000291D0000}"/>
    <cellStyle name="Normal 8 2 8 2 2 2" xfId="25119" xr:uid="{07E8D869-44E2-4D5C-99EF-B363CD5C7152}"/>
    <cellStyle name="Normal 8 2 8 2 2 3" xfId="16678" xr:uid="{C574B971-FD77-470B-B67A-12FAD374C1B5}"/>
    <cellStyle name="Normal 8 2 8 2 3" xfId="20901" xr:uid="{27F2A719-98B0-46EC-95B9-2B8CADB2CEE0}"/>
    <cellStyle name="Normal 8 2 8 2 4" xfId="12460" xr:uid="{6FCD1F75-4CE6-4F6E-9DEB-F45A12F10D50}"/>
    <cellStyle name="Normal 8 2 8 3" xfId="6083" xr:uid="{00000000-0005-0000-0000-00002A1D0000}"/>
    <cellStyle name="Normal 8 2 8 3 2" xfId="22974" xr:uid="{126A4313-472C-417C-B8EF-E7B1E1DF8EF8}"/>
    <cellStyle name="Normal 8 2 8 3 3" xfId="14533" xr:uid="{0869984E-4693-425C-9A38-A810EBF656C1}"/>
    <cellStyle name="Normal 8 2 8 4" xfId="18756" xr:uid="{B6DC9B80-706A-4802-AB04-F183710D6648}"/>
    <cellStyle name="Normal 8 2 8 5" xfId="10315" xr:uid="{6106830F-6629-47B4-9318-C4D38B9209F4}"/>
    <cellStyle name="Normal 8 2 9" xfId="2190" xr:uid="{00000000-0005-0000-0000-00002B1D0000}"/>
    <cellStyle name="Normal 8 2 9 2" xfId="4419" xr:uid="{00000000-0005-0000-0000-00002C1D0000}"/>
    <cellStyle name="Normal 8 2 9 2 2" xfId="8641" xr:uid="{00000000-0005-0000-0000-00002D1D0000}"/>
    <cellStyle name="Normal 8 2 9 2 2 2" xfId="25532" xr:uid="{3A69CCEE-5884-484E-AA00-22261C42E55F}"/>
    <cellStyle name="Normal 8 2 9 2 2 3" xfId="17091" xr:uid="{C1AAA0C3-20CD-4957-B68D-78A06AC96942}"/>
    <cellStyle name="Normal 8 2 9 2 3" xfId="21314" xr:uid="{CE251C22-1971-4CA9-A4BB-51BFF194BE4E}"/>
    <cellStyle name="Normal 8 2 9 2 4" xfId="12873" xr:uid="{9696AA0C-0757-4040-98B1-1C7D96E76255}"/>
    <cellStyle name="Normal 8 2 9 3" xfId="6496" xr:uid="{00000000-0005-0000-0000-00002E1D0000}"/>
    <cellStyle name="Normal 8 2 9 3 2" xfId="23387" xr:uid="{91F8ED05-ECF2-42B4-8301-661FCCE88445}"/>
    <cellStyle name="Normal 8 2 9 3 3" xfId="14946" xr:uid="{6B0D1C6F-FB40-485E-AE3B-302C1EA6788F}"/>
    <cellStyle name="Normal 8 2 9 4" xfId="19169" xr:uid="{26FCCF96-8C35-43DA-BAC9-B9C9977A692E}"/>
    <cellStyle name="Normal 8 2 9 5" xfId="10728" xr:uid="{9E04EF85-D4A7-45AA-8C7D-457F340585C3}"/>
    <cellStyle name="Normal 8 3" xfId="495" xr:uid="{00000000-0005-0000-0000-00002F1D0000}"/>
    <cellStyle name="Normal 8 3 10" xfId="4860" xr:uid="{00000000-0005-0000-0000-0000301D0000}"/>
    <cellStyle name="Normal 8 3 10 2" xfId="21751" xr:uid="{94C3E1DE-9C7B-4976-80D2-A5F316F79E4D}"/>
    <cellStyle name="Normal 8 3 10 3" xfId="13310" xr:uid="{720C4B23-DF7F-4A2C-ACBA-9A5CA58AE64A}"/>
    <cellStyle name="Normal 8 3 11" xfId="17533" xr:uid="{272CF2E7-ED0B-46CB-AB19-C3E2C387C0CE}"/>
    <cellStyle name="Normal 8 3 12" xfId="9092" xr:uid="{5A75F62C-8FDF-48CC-BB04-AE82510613F4}"/>
    <cellStyle name="Normal 8 3 2" xfId="496" xr:uid="{00000000-0005-0000-0000-0000311D0000}"/>
    <cellStyle name="Normal 8 3 2 10" xfId="17534" xr:uid="{B52A2953-F062-4E65-9CE9-E90DDF40D460}"/>
    <cellStyle name="Normal 8 3 2 11" xfId="9093" xr:uid="{808790CC-369B-49A3-AEC6-4C7C9316B80C}"/>
    <cellStyle name="Normal 8 3 2 2" xfId="497" xr:uid="{00000000-0005-0000-0000-0000321D0000}"/>
    <cellStyle name="Normal 8 3 2 2 10" xfId="9094" xr:uid="{5F10C674-EC6C-41DC-8A29-4B6CCB298AB8}"/>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2 2 2" xfId="24312" xr:uid="{D4447BD4-E7F9-438C-AED7-51B485B989E0}"/>
    <cellStyle name="Normal 8 3 2 2 2 2 2 2 3" xfId="15871" xr:uid="{BE178658-7720-459E-962D-363F873DE006}"/>
    <cellStyle name="Normal 8 3 2 2 2 2 2 3" xfId="20094" xr:uid="{ACA037BE-0532-425D-8524-103948B320F6}"/>
    <cellStyle name="Normal 8 3 2 2 2 2 2 4" xfId="11653" xr:uid="{AB5C28D0-0DAD-4FB9-BC27-FB614DC5CC44}"/>
    <cellStyle name="Normal 8 3 2 2 2 2 3" xfId="5276" xr:uid="{00000000-0005-0000-0000-0000371D0000}"/>
    <cellStyle name="Normal 8 3 2 2 2 2 3 2" xfId="22167" xr:uid="{4D149641-1710-4FCE-93C7-4415622D86CC}"/>
    <cellStyle name="Normal 8 3 2 2 2 2 3 3" xfId="13726" xr:uid="{450E4D42-49FB-429D-9CB4-8A5686DE299E}"/>
    <cellStyle name="Normal 8 3 2 2 2 2 4" xfId="17949" xr:uid="{43E41A60-ABE5-4AE3-8450-E29932F5E84C}"/>
    <cellStyle name="Normal 8 3 2 2 2 2 5" xfId="9508" xr:uid="{4F83065F-FCAB-44E9-9541-DDD6896B737C}"/>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2 2 2" xfId="24725" xr:uid="{03A13EB1-08BF-4593-A0A4-4152A1C5CBD6}"/>
    <cellStyle name="Normal 8 3 2 2 2 3 2 2 3" xfId="16284" xr:uid="{692ADC9E-52F4-4CF9-B860-07AE432CF7E2}"/>
    <cellStyle name="Normal 8 3 2 2 2 3 2 3" xfId="20507" xr:uid="{0902E557-19F3-4F67-8E06-60793EE1948B}"/>
    <cellStyle name="Normal 8 3 2 2 2 3 2 4" xfId="12066" xr:uid="{2D6BFF06-A57D-46FA-9A8F-539E121E1988}"/>
    <cellStyle name="Normal 8 3 2 2 2 3 3" xfId="5689" xr:uid="{00000000-0005-0000-0000-00003B1D0000}"/>
    <cellStyle name="Normal 8 3 2 2 2 3 3 2" xfId="22580" xr:uid="{D6B7B882-9F39-470E-89DB-9FF2C33F2046}"/>
    <cellStyle name="Normal 8 3 2 2 2 3 3 3" xfId="14139" xr:uid="{A2ADA240-A727-479B-BE76-73E0EF27371F}"/>
    <cellStyle name="Normal 8 3 2 2 2 3 4" xfId="18362" xr:uid="{8F225547-BC15-41E0-9794-BEB9BEFA874E}"/>
    <cellStyle name="Normal 8 3 2 2 2 3 5" xfId="9921" xr:uid="{89F2C505-9AC3-4CBE-B749-ED1A7063CB22}"/>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2 2 2" xfId="25138" xr:uid="{2DB858EE-BCB6-468B-9692-550B675566C9}"/>
    <cellStyle name="Normal 8 3 2 2 2 4 2 2 3" xfId="16697" xr:uid="{D6F6871A-B52B-45C0-8DA7-FC8D3146E860}"/>
    <cellStyle name="Normal 8 3 2 2 2 4 2 3" xfId="20920" xr:uid="{A512C3BB-1C1E-472E-BF3B-622747BF91BC}"/>
    <cellStyle name="Normal 8 3 2 2 2 4 2 4" xfId="12479" xr:uid="{E2512732-1455-4B95-9804-601A77131CD3}"/>
    <cellStyle name="Normal 8 3 2 2 2 4 3" xfId="6102" xr:uid="{00000000-0005-0000-0000-00003F1D0000}"/>
    <cellStyle name="Normal 8 3 2 2 2 4 3 2" xfId="22993" xr:uid="{5252CF78-264F-4F1A-A4ED-19BBB5D18B26}"/>
    <cellStyle name="Normal 8 3 2 2 2 4 3 3" xfId="14552" xr:uid="{9EA93E76-0F05-4028-9E28-D91FBAC5A9C9}"/>
    <cellStyle name="Normal 8 3 2 2 2 4 4" xfId="18775" xr:uid="{A87ECF77-13C4-4A6E-AF7C-D66DAE2D7A03}"/>
    <cellStyle name="Normal 8 3 2 2 2 4 5" xfId="10334" xr:uid="{F7D1BDFC-9202-46A2-8FC1-8A3F54E9D23A}"/>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2 2 2" xfId="25551" xr:uid="{118A0A60-9551-4DB0-B4E9-A97BCC623CEA}"/>
    <cellStyle name="Normal 8 3 2 2 2 5 2 2 3" xfId="17110" xr:uid="{D4A5D5DE-99F9-475E-8A2A-91788819C145}"/>
    <cellStyle name="Normal 8 3 2 2 2 5 2 3" xfId="21333" xr:uid="{BDD0A06C-6657-49D6-8C8E-336812579167}"/>
    <cellStyle name="Normal 8 3 2 2 2 5 2 4" xfId="12892" xr:uid="{FCB9F5EB-3CB1-4D8B-8915-01ED593D4295}"/>
    <cellStyle name="Normal 8 3 2 2 2 5 3" xfId="6515" xr:uid="{00000000-0005-0000-0000-0000431D0000}"/>
    <cellStyle name="Normal 8 3 2 2 2 5 3 2" xfId="23406" xr:uid="{DBC3C4DF-553E-4D9A-A48F-C980D520F004}"/>
    <cellStyle name="Normal 8 3 2 2 2 5 3 3" xfId="14965" xr:uid="{A767DC23-6A01-48B7-9266-4EDEB983E7B0}"/>
    <cellStyle name="Normal 8 3 2 2 2 5 4" xfId="19188" xr:uid="{FCB63918-3E68-4BC5-BA28-934F686DD0F8}"/>
    <cellStyle name="Normal 8 3 2 2 2 5 5" xfId="10747" xr:uid="{D047A712-8731-4834-8BC4-4309E3D46439}"/>
    <cellStyle name="Normal 8 3 2 2 2 6" xfId="2645" xr:uid="{00000000-0005-0000-0000-0000441D0000}"/>
    <cellStyle name="Normal 8 3 2 2 2 6 2" xfId="6928" xr:uid="{00000000-0005-0000-0000-0000451D0000}"/>
    <cellStyle name="Normal 8 3 2 2 2 6 2 2" xfId="23819" xr:uid="{6AD23230-513B-4A4D-BD84-6C7EA8B21777}"/>
    <cellStyle name="Normal 8 3 2 2 2 6 2 3" xfId="15378" xr:uid="{E838AB1E-EF8F-4CAC-AA12-7E3194D68475}"/>
    <cellStyle name="Normal 8 3 2 2 2 6 3" xfId="19601" xr:uid="{4F92F336-E1B9-43C1-AA79-80B0528DA4BC}"/>
    <cellStyle name="Normal 8 3 2 2 2 6 4" xfId="11160" xr:uid="{F72161BB-6D50-4C85-9D89-EB4D2F9B8CC5}"/>
    <cellStyle name="Normal 8 3 2 2 2 7" xfId="4863" xr:uid="{00000000-0005-0000-0000-0000461D0000}"/>
    <cellStyle name="Normal 8 3 2 2 2 7 2" xfId="21754" xr:uid="{2A961E88-5BAB-4B5F-80AA-D92A39FDD8DA}"/>
    <cellStyle name="Normal 8 3 2 2 2 7 3" xfId="13313" xr:uid="{0D15B708-7A95-452B-9EFA-52737B637614}"/>
    <cellStyle name="Normal 8 3 2 2 2 8" xfId="17536" xr:uid="{E80F157B-956F-4EC4-B070-4555D80CF13A}"/>
    <cellStyle name="Normal 8 3 2 2 2 9" xfId="9095" xr:uid="{9A2A5B2A-EBCC-4784-BD7E-69215F823E48}"/>
    <cellStyle name="Normal 8 3 2 2 3" xfId="964" xr:uid="{00000000-0005-0000-0000-0000471D0000}"/>
    <cellStyle name="Normal 8 3 2 2 3 2" xfId="3198" xr:uid="{00000000-0005-0000-0000-0000481D0000}"/>
    <cellStyle name="Normal 8 3 2 2 3 2 2" xfId="7420" xr:uid="{00000000-0005-0000-0000-0000491D0000}"/>
    <cellStyle name="Normal 8 3 2 2 3 2 2 2" xfId="24311" xr:uid="{93DC4741-4404-4AA3-9FDA-39882FC69333}"/>
    <cellStyle name="Normal 8 3 2 2 3 2 2 3" xfId="15870" xr:uid="{9B907DAB-FB0F-4A25-8CC0-D5F83AA2A6CE}"/>
    <cellStyle name="Normal 8 3 2 2 3 2 3" xfId="20093" xr:uid="{F1720A1B-866A-4F7A-94F7-7482570243D7}"/>
    <cellStyle name="Normal 8 3 2 2 3 2 4" xfId="11652" xr:uid="{74BC00EE-9122-460A-8B28-87B8C70BC84D}"/>
    <cellStyle name="Normal 8 3 2 2 3 3" xfId="5275" xr:uid="{00000000-0005-0000-0000-00004A1D0000}"/>
    <cellStyle name="Normal 8 3 2 2 3 3 2" xfId="22166" xr:uid="{E9EA66D3-3E64-41A4-8DA8-AEC4DF2FD845}"/>
    <cellStyle name="Normal 8 3 2 2 3 3 3" xfId="13725" xr:uid="{392FA161-0CD6-4237-B6E1-F6ADC9350513}"/>
    <cellStyle name="Normal 8 3 2 2 3 4" xfId="17948" xr:uid="{06ACA68F-F975-495D-8B07-C91851D0D8C8}"/>
    <cellStyle name="Normal 8 3 2 2 3 5" xfId="9507" xr:uid="{C9DBE758-0DEA-4C3B-9E90-516ACB19BE92}"/>
    <cellStyle name="Normal 8 3 2 2 4" xfId="1381" xr:uid="{00000000-0005-0000-0000-00004B1D0000}"/>
    <cellStyle name="Normal 8 3 2 2 4 2" xfId="3611" xr:uid="{00000000-0005-0000-0000-00004C1D0000}"/>
    <cellStyle name="Normal 8 3 2 2 4 2 2" xfId="7833" xr:uid="{00000000-0005-0000-0000-00004D1D0000}"/>
    <cellStyle name="Normal 8 3 2 2 4 2 2 2" xfId="24724" xr:uid="{F33197D1-DF7D-4EA7-8D15-B16ECB775981}"/>
    <cellStyle name="Normal 8 3 2 2 4 2 2 3" xfId="16283" xr:uid="{07514706-5652-486F-9136-41DE9E1C4A96}"/>
    <cellStyle name="Normal 8 3 2 2 4 2 3" xfId="20506" xr:uid="{4019F1B4-212E-4CD3-B1D3-93823B9E902E}"/>
    <cellStyle name="Normal 8 3 2 2 4 2 4" xfId="12065" xr:uid="{22EB9D44-F2C9-47DC-9828-890CA449421D}"/>
    <cellStyle name="Normal 8 3 2 2 4 3" xfId="5688" xr:uid="{00000000-0005-0000-0000-00004E1D0000}"/>
    <cellStyle name="Normal 8 3 2 2 4 3 2" xfId="22579" xr:uid="{ECFEEDD6-D846-41CD-AFB1-38440A554C5F}"/>
    <cellStyle name="Normal 8 3 2 2 4 3 3" xfId="14138" xr:uid="{F84D5C99-5844-4DF6-88FD-330FDA15B00D}"/>
    <cellStyle name="Normal 8 3 2 2 4 4" xfId="18361" xr:uid="{808EC813-5BB4-4B59-8A73-B434BAE482A0}"/>
    <cellStyle name="Normal 8 3 2 2 4 5" xfId="9920" xr:uid="{A9268D44-627E-45E7-928C-7F0AA47B5128}"/>
    <cellStyle name="Normal 8 3 2 2 5" xfId="1794" xr:uid="{00000000-0005-0000-0000-00004F1D0000}"/>
    <cellStyle name="Normal 8 3 2 2 5 2" xfId="4024" xr:uid="{00000000-0005-0000-0000-0000501D0000}"/>
    <cellStyle name="Normal 8 3 2 2 5 2 2" xfId="8246" xr:uid="{00000000-0005-0000-0000-0000511D0000}"/>
    <cellStyle name="Normal 8 3 2 2 5 2 2 2" xfId="25137" xr:uid="{152404D8-1ADE-402F-A171-A029F68685AC}"/>
    <cellStyle name="Normal 8 3 2 2 5 2 2 3" xfId="16696" xr:uid="{EA76E9D2-D1F1-4EFD-93BA-406443873122}"/>
    <cellStyle name="Normal 8 3 2 2 5 2 3" xfId="20919" xr:uid="{E1E1D443-AF6F-4766-BD16-916073659740}"/>
    <cellStyle name="Normal 8 3 2 2 5 2 4" xfId="12478" xr:uid="{C029A787-B83E-4134-B999-66A645A77D7C}"/>
    <cellStyle name="Normal 8 3 2 2 5 3" xfId="6101" xr:uid="{00000000-0005-0000-0000-0000521D0000}"/>
    <cellStyle name="Normal 8 3 2 2 5 3 2" xfId="22992" xr:uid="{720D655C-F063-4C0C-92C9-F243E7D3BF49}"/>
    <cellStyle name="Normal 8 3 2 2 5 3 3" xfId="14551" xr:uid="{CE482D61-9945-41DA-9F82-F1209C00D36E}"/>
    <cellStyle name="Normal 8 3 2 2 5 4" xfId="18774" xr:uid="{1213A5C3-7C71-40D0-A811-A0CB11EEBE63}"/>
    <cellStyle name="Normal 8 3 2 2 5 5" xfId="10333" xr:uid="{60BADBDE-2F27-424E-8119-5715767EB816}"/>
    <cellStyle name="Normal 8 3 2 2 6" xfId="2208" xr:uid="{00000000-0005-0000-0000-0000531D0000}"/>
    <cellStyle name="Normal 8 3 2 2 6 2" xfId="4437" xr:uid="{00000000-0005-0000-0000-0000541D0000}"/>
    <cellStyle name="Normal 8 3 2 2 6 2 2" xfId="8659" xr:uid="{00000000-0005-0000-0000-0000551D0000}"/>
    <cellStyle name="Normal 8 3 2 2 6 2 2 2" xfId="25550" xr:uid="{16559EB7-2CE8-46D0-8043-9F1594E0D9BF}"/>
    <cellStyle name="Normal 8 3 2 2 6 2 2 3" xfId="17109" xr:uid="{09BEA8E5-F201-433F-8B4A-0D4F409FC6CE}"/>
    <cellStyle name="Normal 8 3 2 2 6 2 3" xfId="21332" xr:uid="{09B686B2-4BBC-445E-8296-5D8AFF85AD66}"/>
    <cellStyle name="Normal 8 3 2 2 6 2 4" xfId="12891" xr:uid="{49A30965-FADA-48B9-AE58-1C57F5E883DD}"/>
    <cellStyle name="Normal 8 3 2 2 6 3" xfId="6514" xr:uid="{00000000-0005-0000-0000-0000561D0000}"/>
    <cellStyle name="Normal 8 3 2 2 6 3 2" xfId="23405" xr:uid="{EC91B049-FA7F-40BD-9328-06B6C05F9E08}"/>
    <cellStyle name="Normal 8 3 2 2 6 3 3" xfId="14964" xr:uid="{FC214581-8779-4E47-937A-CA0F3309F316}"/>
    <cellStyle name="Normal 8 3 2 2 6 4" xfId="19187" xr:uid="{CC0AE8F9-496F-4907-A864-493A6F4C043B}"/>
    <cellStyle name="Normal 8 3 2 2 6 5" xfId="10746" xr:uid="{ECF51878-C49C-40EB-B7CE-1F449BBA1A0C}"/>
    <cellStyle name="Normal 8 3 2 2 7" xfId="2644" xr:uid="{00000000-0005-0000-0000-0000571D0000}"/>
    <cellStyle name="Normal 8 3 2 2 7 2" xfId="6927" xr:uid="{00000000-0005-0000-0000-0000581D0000}"/>
    <cellStyle name="Normal 8 3 2 2 7 2 2" xfId="23818" xr:uid="{F56F4512-ABCC-47B4-8363-6962408AC808}"/>
    <cellStyle name="Normal 8 3 2 2 7 2 3" xfId="15377" xr:uid="{8CB45964-BA83-4AD8-B50B-BF5630ED84D3}"/>
    <cellStyle name="Normal 8 3 2 2 7 3" xfId="19600" xr:uid="{BE963AFA-8C26-4DB5-A323-2EDB1A91A3F8}"/>
    <cellStyle name="Normal 8 3 2 2 7 4" xfId="11159" xr:uid="{35CFCC21-A5DB-4BC7-86D5-549628D3A76A}"/>
    <cellStyle name="Normal 8 3 2 2 8" xfId="4862" xr:uid="{00000000-0005-0000-0000-0000591D0000}"/>
    <cellStyle name="Normal 8 3 2 2 8 2" xfId="21753" xr:uid="{CEA799A0-839D-4531-9DEB-F9486758B61E}"/>
    <cellStyle name="Normal 8 3 2 2 8 3" xfId="13312" xr:uid="{F97FE0F6-5AD1-4AE6-B3B6-30DAD740D67D}"/>
    <cellStyle name="Normal 8 3 2 2 9" xfId="17535" xr:uid="{39C92612-6D75-4D06-9AB1-F977FF1BF18A}"/>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2 2 2" xfId="24313" xr:uid="{A4E3A73A-D078-4ABC-A91C-2D06F8817FF8}"/>
    <cellStyle name="Normal 8 3 2 3 2 2 2 3" xfId="15872" xr:uid="{8D731129-32B4-4428-B933-2EAAC95DF967}"/>
    <cellStyle name="Normal 8 3 2 3 2 2 3" xfId="20095" xr:uid="{FDD5A77C-531F-432D-B31B-CB4A2757D299}"/>
    <cellStyle name="Normal 8 3 2 3 2 2 4" xfId="11654" xr:uid="{098E776D-F37F-4D85-9814-018B188A8D40}"/>
    <cellStyle name="Normal 8 3 2 3 2 3" xfId="5277" xr:uid="{00000000-0005-0000-0000-00005E1D0000}"/>
    <cellStyle name="Normal 8 3 2 3 2 3 2" xfId="22168" xr:uid="{894D3E6A-2355-4666-ABEC-AADD9394B6E8}"/>
    <cellStyle name="Normal 8 3 2 3 2 3 3" xfId="13727" xr:uid="{59D57BB5-9D45-4531-8AA1-DBD7A429F7EB}"/>
    <cellStyle name="Normal 8 3 2 3 2 4" xfId="17950" xr:uid="{63D3B823-044F-44A3-8D26-8B0ABE54BEFB}"/>
    <cellStyle name="Normal 8 3 2 3 2 5" xfId="9509" xr:uid="{448EAF2C-8D4B-4573-9B7C-C03D45557B95}"/>
    <cellStyle name="Normal 8 3 2 3 3" xfId="1383" xr:uid="{00000000-0005-0000-0000-00005F1D0000}"/>
    <cellStyle name="Normal 8 3 2 3 3 2" xfId="3613" xr:uid="{00000000-0005-0000-0000-0000601D0000}"/>
    <cellStyle name="Normal 8 3 2 3 3 2 2" xfId="7835" xr:uid="{00000000-0005-0000-0000-0000611D0000}"/>
    <cellStyle name="Normal 8 3 2 3 3 2 2 2" xfId="24726" xr:uid="{FC49ECB9-ABC2-479C-A794-72E00189112F}"/>
    <cellStyle name="Normal 8 3 2 3 3 2 2 3" xfId="16285" xr:uid="{22519F1E-CE5B-4BA1-A8A0-BF5F72A4EEDE}"/>
    <cellStyle name="Normal 8 3 2 3 3 2 3" xfId="20508" xr:uid="{E240BAB4-B0F1-44BA-8463-95C5A8108BD1}"/>
    <cellStyle name="Normal 8 3 2 3 3 2 4" xfId="12067" xr:uid="{463ECE48-9532-4DA2-8D16-D8BA61B3C191}"/>
    <cellStyle name="Normal 8 3 2 3 3 3" xfId="5690" xr:uid="{00000000-0005-0000-0000-0000621D0000}"/>
    <cellStyle name="Normal 8 3 2 3 3 3 2" xfId="22581" xr:uid="{3180B3A3-4C02-4950-8290-51D5159D65D3}"/>
    <cellStyle name="Normal 8 3 2 3 3 3 3" xfId="14140" xr:uid="{CFB883BF-0CE0-4A3C-8AD3-F21B5114AA57}"/>
    <cellStyle name="Normal 8 3 2 3 3 4" xfId="18363" xr:uid="{89F9FA18-A47F-4FCC-931D-DACD6688BA06}"/>
    <cellStyle name="Normal 8 3 2 3 3 5" xfId="9922" xr:uid="{CA0EC421-C363-4467-96A7-2DE0277A6CB8}"/>
    <cellStyle name="Normal 8 3 2 3 4" xfId="1796" xr:uid="{00000000-0005-0000-0000-0000631D0000}"/>
    <cellStyle name="Normal 8 3 2 3 4 2" xfId="4026" xr:uid="{00000000-0005-0000-0000-0000641D0000}"/>
    <cellStyle name="Normal 8 3 2 3 4 2 2" xfId="8248" xr:uid="{00000000-0005-0000-0000-0000651D0000}"/>
    <cellStyle name="Normal 8 3 2 3 4 2 2 2" xfId="25139" xr:uid="{4ECF3BAE-E2E7-4339-A51A-CF6E6B477F77}"/>
    <cellStyle name="Normal 8 3 2 3 4 2 2 3" xfId="16698" xr:uid="{A6F1DB02-35A0-4ACA-BBD1-CB140E946465}"/>
    <cellStyle name="Normal 8 3 2 3 4 2 3" xfId="20921" xr:uid="{3E280203-9DFF-4EF7-86D8-C2F25F4CB36E}"/>
    <cellStyle name="Normal 8 3 2 3 4 2 4" xfId="12480" xr:uid="{A17F5E64-CDC0-4629-89F2-0CEC83FFFADC}"/>
    <cellStyle name="Normal 8 3 2 3 4 3" xfId="6103" xr:uid="{00000000-0005-0000-0000-0000661D0000}"/>
    <cellStyle name="Normal 8 3 2 3 4 3 2" xfId="22994" xr:uid="{5DFCC82B-F512-4968-9FE0-2B61231A0E50}"/>
    <cellStyle name="Normal 8 3 2 3 4 3 3" xfId="14553" xr:uid="{8469CC61-8A30-4473-A21B-C4A9E0C9602C}"/>
    <cellStyle name="Normal 8 3 2 3 4 4" xfId="18776" xr:uid="{D77CB562-287A-4E5B-9D77-4D4681F06A4F}"/>
    <cellStyle name="Normal 8 3 2 3 4 5" xfId="10335" xr:uid="{DA7541EC-A608-4541-B2A7-58EF7EB7C62E}"/>
    <cellStyle name="Normal 8 3 2 3 5" xfId="2210" xr:uid="{00000000-0005-0000-0000-0000671D0000}"/>
    <cellStyle name="Normal 8 3 2 3 5 2" xfId="4439" xr:uid="{00000000-0005-0000-0000-0000681D0000}"/>
    <cellStyle name="Normal 8 3 2 3 5 2 2" xfId="8661" xr:uid="{00000000-0005-0000-0000-0000691D0000}"/>
    <cellStyle name="Normal 8 3 2 3 5 2 2 2" xfId="25552" xr:uid="{C87E88E8-8587-4FC4-A258-46EDCD4387EE}"/>
    <cellStyle name="Normal 8 3 2 3 5 2 2 3" xfId="17111" xr:uid="{9CD611F5-8A70-4FC9-B2E3-B85F609F4B25}"/>
    <cellStyle name="Normal 8 3 2 3 5 2 3" xfId="21334" xr:uid="{2F02E788-E4FB-4612-A607-FB818364D50C}"/>
    <cellStyle name="Normal 8 3 2 3 5 2 4" xfId="12893" xr:uid="{F5E17667-4128-4C76-98A0-827D9E5FE94A}"/>
    <cellStyle name="Normal 8 3 2 3 5 3" xfId="6516" xr:uid="{00000000-0005-0000-0000-00006A1D0000}"/>
    <cellStyle name="Normal 8 3 2 3 5 3 2" xfId="23407" xr:uid="{B751CE71-C63A-4671-9411-D01D3259589D}"/>
    <cellStyle name="Normal 8 3 2 3 5 3 3" xfId="14966" xr:uid="{979A670E-943A-490C-BA18-B6DB6C0257F1}"/>
    <cellStyle name="Normal 8 3 2 3 5 4" xfId="19189" xr:uid="{153A2255-0887-40B9-8EF1-B2594AB8063D}"/>
    <cellStyle name="Normal 8 3 2 3 5 5" xfId="10748" xr:uid="{78316A93-3D35-480D-A567-83F77C43FDA2}"/>
    <cellStyle name="Normal 8 3 2 3 6" xfId="2646" xr:uid="{00000000-0005-0000-0000-00006B1D0000}"/>
    <cellStyle name="Normal 8 3 2 3 6 2" xfId="6929" xr:uid="{00000000-0005-0000-0000-00006C1D0000}"/>
    <cellStyle name="Normal 8 3 2 3 6 2 2" xfId="23820" xr:uid="{FD3459ED-6389-4DFD-B967-937231BF6796}"/>
    <cellStyle name="Normal 8 3 2 3 6 2 3" xfId="15379" xr:uid="{49252CD9-96D4-441F-94EC-94711C2521FF}"/>
    <cellStyle name="Normal 8 3 2 3 6 3" xfId="19602" xr:uid="{3651A269-6023-48C2-8035-054B8CC6AD0C}"/>
    <cellStyle name="Normal 8 3 2 3 6 4" xfId="11161" xr:uid="{9B4DD175-E16F-4F57-BFA9-8008EAB6D0DD}"/>
    <cellStyle name="Normal 8 3 2 3 7" xfId="4864" xr:uid="{00000000-0005-0000-0000-00006D1D0000}"/>
    <cellStyle name="Normal 8 3 2 3 7 2" xfId="21755" xr:uid="{3179D7F3-E1AA-41DF-9369-E06F86272909}"/>
    <cellStyle name="Normal 8 3 2 3 7 3" xfId="13314" xr:uid="{A1E5EF59-7C1D-4181-A2E7-09E2CBFE57CB}"/>
    <cellStyle name="Normal 8 3 2 3 8" xfId="17537" xr:uid="{A2A32EFE-FDCC-4858-BB6F-F62F44130B6A}"/>
    <cellStyle name="Normal 8 3 2 3 9" xfId="9096" xr:uid="{A62247FF-F605-49F3-ADFE-90F2FDB27FFB}"/>
    <cellStyle name="Normal 8 3 2 4" xfId="963" xr:uid="{00000000-0005-0000-0000-00006E1D0000}"/>
    <cellStyle name="Normal 8 3 2 4 2" xfId="3197" xr:uid="{00000000-0005-0000-0000-00006F1D0000}"/>
    <cellStyle name="Normal 8 3 2 4 2 2" xfId="7419" xr:uid="{00000000-0005-0000-0000-0000701D0000}"/>
    <cellStyle name="Normal 8 3 2 4 2 2 2" xfId="24310" xr:uid="{639D0DD4-EDE5-48E8-906B-951F2FBFACF0}"/>
    <cellStyle name="Normal 8 3 2 4 2 2 3" xfId="15869" xr:uid="{11E94E81-9627-44E4-B17D-0D1655060563}"/>
    <cellStyle name="Normal 8 3 2 4 2 3" xfId="20092" xr:uid="{1DD719F7-A654-4BF4-ADC0-FB756C85C3CF}"/>
    <cellStyle name="Normal 8 3 2 4 2 4" xfId="11651" xr:uid="{8E8C1F19-9D4D-473C-9155-34DB98F6C748}"/>
    <cellStyle name="Normal 8 3 2 4 3" xfId="5274" xr:uid="{00000000-0005-0000-0000-0000711D0000}"/>
    <cellStyle name="Normal 8 3 2 4 3 2" xfId="22165" xr:uid="{EC2E05AB-55DB-49B7-A645-7F16BB5C7BA0}"/>
    <cellStyle name="Normal 8 3 2 4 3 3" xfId="13724" xr:uid="{2A055D42-3BD6-4EB6-B438-3A41D6A0BA36}"/>
    <cellStyle name="Normal 8 3 2 4 4" xfId="17947" xr:uid="{BE93035A-C37F-4CB7-8DFC-EC5AFC58D294}"/>
    <cellStyle name="Normal 8 3 2 4 5" xfId="9506" xr:uid="{E52F6F6A-D96C-40D0-80BA-9F9F439ABC3E}"/>
    <cellStyle name="Normal 8 3 2 5" xfId="1380" xr:uid="{00000000-0005-0000-0000-0000721D0000}"/>
    <cellStyle name="Normal 8 3 2 5 2" xfId="3610" xr:uid="{00000000-0005-0000-0000-0000731D0000}"/>
    <cellStyle name="Normal 8 3 2 5 2 2" xfId="7832" xr:uid="{00000000-0005-0000-0000-0000741D0000}"/>
    <cellStyle name="Normal 8 3 2 5 2 2 2" xfId="24723" xr:uid="{F12614EA-0C88-4141-A508-6370D31A430B}"/>
    <cellStyle name="Normal 8 3 2 5 2 2 3" xfId="16282" xr:uid="{37B79784-AEAB-4A62-A6D9-B47C656E3E03}"/>
    <cellStyle name="Normal 8 3 2 5 2 3" xfId="20505" xr:uid="{6AD1BDEA-7C92-4C74-BD5F-D7A9A8FF7B62}"/>
    <cellStyle name="Normal 8 3 2 5 2 4" xfId="12064" xr:uid="{76A99FEA-73A3-405F-AFB8-89ABFD9C2611}"/>
    <cellStyle name="Normal 8 3 2 5 3" xfId="5687" xr:uid="{00000000-0005-0000-0000-0000751D0000}"/>
    <cellStyle name="Normal 8 3 2 5 3 2" xfId="22578" xr:uid="{605AB296-C534-4052-921F-3030D0DC5352}"/>
    <cellStyle name="Normal 8 3 2 5 3 3" xfId="14137" xr:uid="{10B42266-D645-4363-B046-5AC9F1E60608}"/>
    <cellStyle name="Normal 8 3 2 5 4" xfId="18360" xr:uid="{D3010316-F241-4152-88FA-E1B4BC30BE1D}"/>
    <cellStyle name="Normal 8 3 2 5 5" xfId="9919" xr:uid="{332CEFD7-EC63-4655-AB66-D2AA9E3C32CA}"/>
    <cellStyle name="Normal 8 3 2 6" xfId="1793" xr:uid="{00000000-0005-0000-0000-0000761D0000}"/>
    <cellStyle name="Normal 8 3 2 6 2" xfId="4023" xr:uid="{00000000-0005-0000-0000-0000771D0000}"/>
    <cellStyle name="Normal 8 3 2 6 2 2" xfId="8245" xr:uid="{00000000-0005-0000-0000-0000781D0000}"/>
    <cellStyle name="Normal 8 3 2 6 2 2 2" xfId="25136" xr:uid="{C554B790-7A99-41E2-B91D-7D6DCF14C538}"/>
    <cellStyle name="Normal 8 3 2 6 2 2 3" xfId="16695" xr:uid="{C1F10B98-1C7D-4B3C-A75E-8CB400A4EB0A}"/>
    <cellStyle name="Normal 8 3 2 6 2 3" xfId="20918" xr:uid="{A8A4F5CF-0C1B-4476-B2EC-7CA0679B29BE}"/>
    <cellStyle name="Normal 8 3 2 6 2 4" xfId="12477" xr:uid="{10C34C0B-CA11-40C1-98C4-47334911CA89}"/>
    <cellStyle name="Normal 8 3 2 6 3" xfId="6100" xr:uid="{00000000-0005-0000-0000-0000791D0000}"/>
    <cellStyle name="Normal 8 3 2 6 3 2" xfId="22991" xr:uid="{CD0B2158-6758-4D63-BBA6-95783C172EB9}"/>
    <cellStyle name="Normal 8 3 2 6 3 3" xfId="14550" xr:uid="{0EDC2607-4531-4DAB-ACDC-24AAAA3EA5FF}"/>
    <cellStyle name="Normal 8 3 2 6 4" xfId="18773" xr:uid="{6BC4742C-C5B8-4B3F-ACA1-BA8E269942B5}"/>
    <cellStyle name="Normal 8 3 2 6 5" xfId="10332" xr:uid="{0AD81A6F-86B3-47C3-9469-9F41712D444D}"/>
    <cellStyle name="Normal 8 3 2 7" xfId="2207" xr:uid="{00000000-0005-0000-0000-00007A1D0000}"/>
    <cellStyle name="Normal 8 3 2 7 2" xfId="4436" xr:uid="{00000000-0005-0000-0000-00007B1D0000}"/>
    <cellStyle name="Normal 8 3 2 7 2 2" xfId="8658" xr:uid="{00000000-0005-0000-0000-00007C1D0000}"/>
    <cellStyle name="Normal 8 3 2 7 2 2 2" xfId="25549" xr:uid="{64249416-DFEF-4620-83B4-A1A412572F87}"/>
    <cellStyle name="Normal 8 3 2 7 2 2 3" xfId="17108" xr:uid="{8203A4AB-8368-41D7-9FA1-7D915F8500EC}"/>
    <cellStyle name="Normal 8 3 2 7 2 3" xfId="21331" xr:uid="{72DA81A7-E9FB-4410-9BE6-19641D13151A}"/>
    <cellStyle name="Normal 8 3 2 7 2 4" xfId="12890" xr:uid="{0BDCF56D-4DBA-44FB-8E80-7274057D59FD}"/>
    <cellStyle name="Normal 8 3 2 7 3" xfId="6513" xr:uid="{00000000-0005-0000-0000-00007D1D0000}"/>
    <cellStyle name="Normal 8 3 2 7 3 2" xfId="23404" xr:uid="{2B384F4C-416E-4108-B319-08D0021D4532}"/>
    <cellStyle name="Normal 8 3 2 7 3 3" xfId="14963" xr:uid="{AAE43654-61DC-4F34-8346-4FBC90DDE25A}"/>
    <cellStyle name="Normal 8 3 2 7 4" xfId="19186" xr:uid="{A1E68CEB-3A63-4C2F-B979-6617668BDA34}"/>
    <cellStyle name="Normal 8 3 2 7 5" xfId="10745" xr:uid="{3A65813D-C652-4EBA-A93B-47F616B35F67}"/>
    <cellStyle name="Normal 8 3 2 8" xfId="2643" xr:uid="{00000000-0005-0000-0000-00007E1D0000}"/>
    <cellStyle name="Normal 8 3 2 8 2" xfId="6926" xr:uid="{00000000-0005-0000-0000-00007F1D0000}"/>
    <cellStyle name="Normal 8 3 2 8 2 2" xfId="23817" xr:uid="{B0623207-365F-4C27-9438-03747B961795}"/>
    <cellStyle name="Normal 8 3 2 8 2 3" xfId="15376" xr:uid="{CEA2CB66-3A50-43BC-92C0-78F33CC122A3}"/>
    <cellStyle name="Normal 8 3 2 8 3" xfId="19599" xr:uid="{45F5835C-B45D-4468-BC93-949AAF3E35AB}"/>
    <cellStyle name="Normal 8 3 2 8 4" xfId="11158" xr:uid="{F24218F8-382D-421C-B099-70B090483301}"/>
    <cellStyle name="Normal 8 3 2 9" xfId="4861" xr:uid="{00000000-0005-0000-0000-0000801D0000}"/>
    <cellStyle name="Normal 8 3 2 9 2" xfId="21752" xr:uid="{DEE179C1-6996-4889-926F-E4D522D6E15B}"/>
    <cellStyle name="Normal 8 3 2 9 3" xfId="13311" xr:uid="{E4E9E5D9-A159-464E-B9D1-BDD4331E5260}"/>
    <cellStyle name="Normal 8 3 3" xfId="500" xr:uid="{00000000-0005-0000-0000-0000811D0000}"/>
    <cellStyle name="Normal 8 3 3 10" xfId="9097" xr:uid="{EB00719C-DF3B-4C78-82C6-0D0AD86E5E2B}"/>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2 2 2" xfId="24315" xr:uid="{719BE54B-3563-45DB-8D29-68D6E0BAE7AF}"/>
    <cellStyle name="Normal 8 3 3 2 2 2 2 3" xfId="15874" xr:uid="{0EC7C8D5-D099-42C5-820B-95C6D30A604E}"/>
    <cellStyle name="Normal 8 3 3 2 2 2 3" xfId="20097" xr:uid="{8B82BC66-AB23-417B-B29B-219D3FBD8226}"/>
    <cellStyle name="Normal 8 3 3 2 2 2 4" xfId="11656" xr:uid="{285ECE47-F9C0-45F9-BC5B-0177FC7A11E4}"/>
    <cellStyle name="Normal 8 3 3 2 2 3" xfId="5279" xr:uid="{00000000-0005-0000-0000-0000861D0000}"/>
    <cellStyle name="Normal 8 3 3 2 2 3 2" xfId="22170" xr:uid="{22C609AF-52D0-44DB-93B1-63CBD37B10D5}"/>
    <cellStyle name="Normal 8 3 3 2 2 3 3" xfId="13729" xr:uid="{2BC3EF25-6A98-459D-8269-F5603256315F}"/>
    <cellStyle name="Normal 8 3 3 2 2 4" xfId="17952" xr:uid="{890653CD-187D-4C1A-9B7C-2112F6F760C9}"/>
    <cellStyle name="Normal 8 3 3 2 2 5" xfId="9511" xr:uid="{C2B3C939-ED99-4262-AEAD-2934DDEFB431}"/>
    <cellStyle name="Normal 8 3 3 2 3" xfId="1385" xr:uid="{00000000-0005-0000-0000-0000871D0000}"/>
    <cellStyle name="Normal 8 3 3 2 3 2" xfId="3615" xr:uid="{00000000-0005-0000-0000-0000881D0000}"/>
    <cellStyle name="Normal 8 3 3 2 3 2 2" xfId="7837" xr:uid="{00000000-0005-0000-0000-0000891D0000}"/>
    <cellStyle name="Normal 8 3 3 2 3 2 2 2" xfId="24728" xr:uid="{A9FD4DF4-F2FF-44C3-AED3-43F5BCDD6C91}"/>
    <cellStyle name="Normal 8 3 3 2 3 2 2 3" xfId="16287" xr:uid="{1BFF68DE-0B51-4B1F-8D9E-CA240A273D42}"/>
    <cellStyle name="Normal 8 3 3 2 3 2 3" xfId="20510" xr:uid="{3410E5EF-AD61-4582-B653-1CF61B45603A}"/>
    <cellStyle name="Normal 8 3 3 2 3 2 4" xfId="12069" xr:uid="{715276BC-71D8-4070-BFB0-E59ABC4A5657}"/>
    <cellStyle name="Normal 8 3 3 2 3 3" xfId="5692" xr:uid="{00000000-0005-0000-0000-00008A1D0000}"/>
    <cellStyle name="Normal 8 3 3 2 3 3 2" xfId="22583" xr:uid="{5A455FB9-8069-4F4C-82F7-7D28BF269EA2}"/>
    <cellStyle name="Normal 8 3 3 2 3 3 3" xfId="14142" xr:uid="{BFABCCE1-DFD0-498A-8470-9D094C3FD150}"/>
    <cellStyle name="Normal 8 3 3 2 3 4" xfId="18365" xr:uid="{53EF97F4-D181-4324-80DB-7933E87A4DC9}"/>
    <cellStyle name="Normal 8 3 3 2 3 5" xfId="9924" xr:uid="{51A08565-0E93-4168-80D6-627BD4ED579E}"/>
    <cellStyle name="Normal 8 3 3 2 4" xfId="1798" xr:uid="{00000000-0005-0000-0000-00008B1D0000}"/>
    <cellStyle name="Normal 8 3 3 2 4 2" xfId="4028" xr:uid="{00000000-0005-0000-0000-00008C1D0000}"/>
    <cellStyle name="Normal 8 3 3 2 4 2 2" xfId="8250" xr:uid="{00000000-0005-0000-0000-00008D1D0000}"/>
    <cellStyle name="Normal 8 3 3 2 4 2 2 2" xfId="25141" xr:uid="{D9B324B9-B24E-47D1-8399-E13DBAFC77E2}"/>
    <cellStyle name="Normal 8 3 3 2 4 2 2 3" xfId="16700" xr:uid="{61996050-CFE9-4FB2-ADE9-3C393FCFE075}"/>
    <cellStyle name="Normal 8 3 3 2 4 2 3" xfId="20923" xr:uid="{B4F43F85-8ACD-45A4-8C01-F53E9179AEB0}"/>
    <cellStyle name="Normal 8 3 3 2 4 2 4" xfId="12482" xr:uid="{C0BA4F10-A2F6-4AA9-806D-236D3B71D234}"/>
    <cellStyle name="Normal 8 3 3 2 4 3" xfId="6105" xr:uid="{00000000-0005-0000-0000-00008E1D0000}"/>
    <cellStyle name="Normal 8 3 3 2 4 3 2" xfId="22996" xr:uid="{F3E87A66-B8AD-4D9D-AA69-F849841692C8}"/>
    <cellStyle name="Normal 8 3 3 2 4 3 3" xfId="14555" xr:uid="{405E60F9-366A-430E-9463-83F3919DC684}"/>
    <cellStyle name="Normal 8 3 3 2 4 4" xfId="18778" xr:uid="{C15AAA41-EE31-43C4-A017-F7FD28265813}"/>
    <cellStyle name="Normal 8 3 3 2 4 5" xfId="10337" xr:uid="{BC51332B-C565-41EA-A596-31C16D034932}"/>
    <cellStyle name="Normal 8 3 3 2 5" xfId="2212" xr:uid="{00000000-0005-0000-0000-00008F1D0000}"/>
    <cellStyle name="Normal 8 3 3 2 5 2" xfId="4441" xr:uid="{00000000-0005-0000-0000-0000901D0000}"/>
    <cellStyle name="Normal 8 3 3 2 5 2 2" xfId="8663" xr:uid="{00000000-0005-0000-0000-0000911D0000}"/>
    <cellStyle name="Normal 8 3 3 2 5 2 2 2" xfId="25554" xr:uid="{264DF02A-FFA6-4CDF-9BCC-136CB43BB69B}"/>
    <cellStyle name="Normal 8 3 3 2 5 2 2 3" xfId="17113" xr:uid="{909A08F6-3AFA-4B14-BE64-86CE61FA8C79}"/>
    <cellStyle name="Normal 8 3 3 2 5 2 3" xfId="21336" xr:uid="{64CC78F0-46EA-4A54-8607-6B55AC09C37F}"/>
    <cellStyle name="Normal 8 3 3 2 5 2 4" xfId="12895" xr:uid="{B70BE072-6A80-40F1-BB71-862EF2C8ACDB}"/>
    <cellStyle name="Normal 8 3 3 2 5 3" xfId="6518" xr:uid="{00000000-0005-0000-0000-0000921D0000}"/>
    <cellStyle name="Normal 8 3 3 2 5 3 2" xfId="23409" xr:uid="{E20B6166-44C6-43AA-BECC-C400E4B2C10E}"/>
    <cellStyle name="Normal 8 3 3 2 5 3 3" xfId="14968" xr:uid="{C03BE77F-528C-4FF3-9BC7-8660BDA0F42C}"/>
    <cellStyle name="Normal 8 3 3 2 5 4" xfId="19191" xr:uid="{A39FDDE1-9F1E-497D-8218-AD11F23618D0}"/>
    <cellStyle name="Normal 8 3 3 2 5 5" xfId="10750" xr:uid="{7246915D-8B11-4130-8407-C67D08B7B590}"/>
    <cellStyle name="Normal 8 3 3 2 6" xfId="2648" xr:uid="{00000000-0005-0000-0000-0000931D0000}"/>
    <cellStyle name="Normal 8 3 3 2 6 2" xfId="6931" xr:uid="{00000000-0005-0000-0000-0000941D0000}"/>
    <cellStyle name="Normal 8 3 3 2 6 2 2" xfId="23822" xr:uid="{455FD0F5-FED7-401A-9FE0-C1BF7A55810E}"/>
    <cellStyle name="Normal 8 3 3 2 6 2 3" xfId="15381" xr:uid="{602691F7-1BBF-4B72-8465-0808F90DD4EF}"/>
    <cellStyle name="Normal 8 3 3 2 6 3" xfId="19604" xr:uid="{3D74DD18-A005-44F2-98C0-E7BDFE1A3F1A}"/>
    <cellStyle name="Normal 8 3 3 2 6 4" xfId="11163" xr:uid="{760F2CCD-198F-44FE-AC4E-235208FF490A}"/>
    <cellStyle name="Normal 8 3 3 2 7" xfId="4866" xr:uid="{00000000-0005-0000-0000-0000951D0000}"/>
    <cellStyle name="Normal 8 3 3 2 7 2" xfId="21757" xr:uid="{30738F0F-C87A-454D-88CF-698FD5BB3B56}"/>
    <cellStyle name="Normal 8 3 3 2 7 3" xfId="13316" xr:uid="{65405E8E-48E7-4F14-953D-25BE9C9A53EB}"/>
    <cellStyle name="Normal 8 3 3 2 8" xfId="17539" xr:uid="{738D7086-886C-441D-9BE2-B562EE2ECC59}"/>
    <cellStyle name="Normal 8 3 3 2 9" xfId="9098" xr:uid="{AB178351-9EE9-4984-AC3C-B963868A17A0}"/>
    <cellStyle name="Normal 8 3 3 3" xfId="967" xr:uid="{00000000-0005-0000-0000-0000961D0000}"/>
    <cellStyle name="Normal 8 3 3 3 2" xfId="3201" xr:uid="{00000000-0005-0000-0000-0000971D0000}"/>
    <cellStyle name="Normal 8 3 3 3 2 2" xfId="7423" xr:uid="{00000000-0005-0000-0000-0000981D0000}"/>
    <cellStyle name="Normal 8 3 3 3 2 2 2" xfId="24314" xr:uid="{F63A8F51-4581-4CF8-BF41-9DE3F73DCE38}"/>
    <cellStyle name="Normal 8 3 3 3 2 2 3" xfId="15873" xr:uid="{9FEA9089-E1AB-4271-B235-14B84651FEA9}"/>
    <cellStyle name="Normal 8 3 3 3 2 3" xfId="20096" xr:uid="{81B9BF7D-C2FF-4ED8-BAED-078B1494118C}"/>
    <cellStyle name="Normal 8 3 3 3 2 4" xfId="11655" xr:uid="{FECD41F3-40F4-44C5-AFCC-AC04DC49B4F2}"/>
    <cellStyle name="Normal 8 3 3 3 3" xfId="5278" xr:uid="{00000000-0005-0000-0000-0000991D0000}"/>
    <cellStyle name="Normal 8 3 3 3 3 2" xfId="22169" xr:uid="{D216A758-AD5A-4035-9B59-C46F992FCE3A}"/>
    <cellStyle name="Normal 8 3 3 3 3 3" xfId="13728" xr:uid="{3A37BC03-3C3B-4C66-BCAC-7EBA2CAE4700}"/>
    <cellStyle name="Normal 8 3 3 3 4" xfId="17951" xr:uid="{169DA565-0DAA-454F-8642-E8F11BCC8A6E}"/>
    <cellStyle name="Normal 8 3 3 3 5" xfId="9510" xr:uid="{0FECDAA8-22E7-4555-A842-B79926ABC6A9}"/>
    <cellStyle name="Normal 8 3 3 4" xfId="1384" xr:uid="{00000000-0005-0000-0000-00009A1D0000}"/>
    <cellStyle name="Normal 8 3 3 4 2" xfId="3614" xr:uid="{00000000-0005-0000-0000-00009B1D0000}"/>
    <cellStyle name="Normal 8 3 3 4 2 2" xfId="7836" xr:uid="{00000000-0005-0000-0000-00009C1D0000}"/>
    <cellStyle name="Normal 8 3 3 4 2 2 2" xfId="24727" xr:uid="{D3A20B4F-7822-4C0D-992C-8D1625AA625E}"/>
    <cellStyle name="Normal 8 3 3 4 2 2 3" xfId="16286" xr:uid="{9D4B1D0A-606D-4B25-8C62-D8A456C9157D}"/>
    <cellStyle name="Normal 8 3 3 4 2 3" xfId="20509" xr:uid="{2A9384FD-74BB-4062-8791-D2C65C7C7F85}"/>
    <cellStyle name="Normal 8 3 3 4 2 4" xfId="12068" xr:uid="{3D696056-7F2F-4626-B069-1479F098ECFB}"/>
    <cellStyle name="Normal 8 3 3 4 3" xfId="5691" xr:uid="{00000000-0005-0000-0000-00009D1D0000}"/>
    <cellStyle name="Normal 8 3 3 4 3 2" xfId="22582" xr:uid="{A894A93A-8591-4C18-828A-D35ED81F19DB}"/>
    <cellStyle name="Normal 8 3 3 4 3 3" xfId="14141" xr:uid="{FC21AA94-D4D5-48EB-A07F-915876E2C410}"/>
    <cellStyle name="Normal 8 3 3 4 4" xfId="18364" xr:uid="{B258AD3C-9EA3-4E0B-80D8-6035F4B1FC7E}"/>
    <cellStyle name="Normal 8 3 3 4 5" xfId="9923" xr:uid="{24D37104-15BE-4B4D-8A6A-5DB8CD23E865}"/>
    <cellStyle name="Normal 8 3 3 5" xfId="1797" xr:uid="{00000000-0005-0000-0000-00009E1D0000}"/>
    <cellStyle name="Normal 8 3 3 5 2" xfId="4027" xr:uid="{00000000-0005-0000-0000-00009F1D0000}"/>
    <cellStyle name="Normal 8 3 3 5 2 2" xfId="8249" xr:uid="{00000000-0005-0000-0000-0000A01D0000}"/>
    <cellStyle name="Normal 8 3 3 5 2 2 2" xfId="25140" xr:uid="{90216D9C-736C-4DD5-9A16-102D7E1E1CE8}"/>
    <cellStyle name="Normal 8 3 3 5 2 2 3" xfId="16699" xr:uid="{A1E5E41D-1FCE-4C46-8CC6-FD6C0199BFB1}"/>
    <cellStyle name="Normal 8 3 3 5 2 3" xfId="20922" xr:uid="{3A7FDD07-8DBE-479E-99BE-7C683C9FB36A}"/>
    <cellStyle name="Normal 8 3 3 5 2 4" xfId="12481" xr:uid="{A6525737-B82A-4CC9-B5FF-88C1B56E50B0}"/>
    <cellStyle name="Normal 8 3 3 5 3" xfId="6104" xr:uid="{00000000-0005-0000-0000-0000A11D0000}"/>
    <cellStyle name="Normal 8 3 3 5 3 2" xfId="22995" xr:uid="{DC5A99EA-1F76-43DF-90A0-89A441990FAD}"/>
    <cellStyle name="Normal 8 3 3 5 3 3" xfId="14554" xr:uid="{9947B2A4-6E81-4863-89DB-5E1D43263109}"/>
    <cellStyle name="Normal 8 3 3 5 4" xfId="18777" xr:uid="{51423E2A-333A-47CA-926B-7EBB7B5CE28B}"/>
    <cellStyle name="Normal 8 3 3 5 5" xfId="10336" xr:uid="{86AFC27A-2283-4F93-B8CE-10419A5742CF}"/>
    <cellStyle name="Normal 8 3 3 6" xfId="2211" xr:uid="{00000000-0005-0000-0000-0000A21D0000}"/>
    <cellStyle name="Normal 8 3 3 6 2" xfId="4440" xr:uid="{00000000-0005-0000-0000-0000A31D0000}"/>
    <cellStyle name="Normal 8 3 3 6 2 2" xfId="8662" xr:uid="{00000000-0005-0000-0000-0000A41D0000}"/>
    <cellStyle name="Normal 8 3 3 6 2 2 2" xfId="25553" xr:uid="{08488F68-E0A9-42E4-9361-9B18E86FE3A7}"/>
    <cellStyle name="Normal 8 3 3 6 2 2 3" xfId="17112" xr:uid="{E4758CBD-0F16-4D39-9D4C-D26B165BE3A3}"/>
    <cellStyle name="Normal 8 3 3 6 2 3" xfId="21335" xr:uid="{5787C09F-9308-45CF-B2E9-F2F005801945}"/>
    <cellStyle name="Normal 8 3 3 6 2 4" xfId="12894" xr:uid="{77756C07-369C-4B37-AD0A-03CF2AB71E40}"/>
    <cellStyle name="Normal 8 3 3 6 3" xfId="6517" xr:uid="{00000000-0005-0000-0000-0000A51D0000}"/>
    <cellStyle name="Normal 8 3 3 6 3 2" xfId="23408" xr:uid="{56C8214F-6149-4243-948D-D692BA38FE7F}"/>
    <cellStyle name="Normal 8 3 3 6 3 3" xfId="14967" xr:uid="{FC02791C-6C81-46EF-AD92-7EFF8E55941A}"/>
    <cellStyle name="Normal 8 3 3 6 4" xfId="19190" xr:uid="{55D5D32B-2726-4737-9E65-B275E3D999F2}"/>
    <cellStyle name="Normal 8 3 3 6 5" xfId="10749" xr:uid="{28EBDA65-72C0-4BD3-B1A7-F5026655DC88}"/>
    <cellStyle name="Normal 8 3 3 7" xfId="2647" xr:uid="{00000000-0005-0000-0000-0000A61D0000}"/>
    <cellStyle name="Normal 8 3 3 7 2" xfId="6930" xr:uid="{00000000-0005-0000-0000-0000A71D0000}"/>
    <cellStyle name="Normal 8 3 3 7 2 2" xfId="23821" xr:uid="{06938E66-D264-49AA-ABBB-1D002D9CDC22}"/>
    <cellStyle name="Normal 8 3 3 7 2 3" xfId="15380" xr:uid="{B15BFA15-5C2B-4F7B-B7AF-3CDD82B41BFD}"/>
    <cellStyle name="Normal 8 3 3 7 3" xfId="19603" xr:uid="{BBBC16FC-EF20-4150-8914-9E6FD8BF8922}"/>
    <cellStyle name="Normal 8 3 3 7 4" xfId="11162" xr:uid="{80F12095-B14C-4576-8706-004BDA249518}"/>
    <cellStyle name="Normal 8 3 3 8" xfId="4865" xr:uid="{00000000-0005-0000-0000-0000A81D0000}"/>
    <cellStyle name="Normal 8 3 3 8 2" xfId="21756" xr:uid="{6B74CCA1-ADE3-4155-A14C-6BD759653655}"/>
    <cellStyle name="Normal 8 3 3 8 3" xfId="13315" xr:uid="{3F9B3C22-8B8E-49ED-BC3B-E96D01F75F25}"/>
    <cellStyle name="Normal 8 3 3 9" xfId="17538" xr:uid="{9C7D995E-9842-4996-9704-BEE71E129AFE}"/>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2 2 2" xfId="24316" xr:uid="{B61A919A-2945-4B37-9B82-E8BA20DA0519}"/>
    <cellStyle name="Normal 8 3 4 2 2 2 3" xfId="15875" xr:uid="{C4D4EF1E-939C-4D3E-A878-AE3D9B047AB8}"/>
    <cellStyle name="Normal 8 3 4 2 2 3" xfId="20098" xr:uid="{31F67C9B-A6E6-4AEC-9484-D4ABB0F046BA}"/>
    <cellStyle name="Normal 8 3 4 2 2 4" xfId="11657" xr:uid="{95B0F979-679B-4991-BA29-E8BC9F464379}"/>
    <cellStyle name="Normal 8 3 4 2 3" xfId="5280" xr:uid="{00000000-0005-0000-0000-0000AD1D0000}"/>
    <cellStyle name="Normal 8 3 4 2 3 2" xfId="22171" xr:uid="{89B8C887-43FC-4496-B9AD-675D76BCBADE}"/>
    <cellStyle name="Normal 8 3 4 2 3 3" xfId="13730" xr:uid="{F8F734A3-3923-4315-8355-38C6C9385DA3}"/>
    <cellStyle name="Normal 8 3 4 2 4" xfId="17953" xr:uid="{2156CCF0-E449-48E7-BBF8-B534BF64BE3B}"/>
    <cellStyle name="Normal 8 3 4 2 5" xfId="9512" xr:uid="{1D6799FA-DC7A-4E82-BDAD-5BB8B272F828}"/>
    <cellStyle name="Normal 8 3 4 3" xfId="1386" xr:uid="{00000000-0005-0000-0000-0000AE1D0000}"/>
    <cellStyle name="Normal 8 3 4 3 2" xfId="3616" xr:uid="{00000000-0005-0000-0000-0000AF1D0000}"/>
    <cellStyle name="Normal 8 3 4 3 2 2" xfId="7838" xr:uid="{00000000-0005-0000-0000-0000B01D0000}"/>
    <cellStyle name="Normal 8 3 4 3 2 2 2" xfId="24729" xr:uid="{EC48DD8F-1D90-484B-B87F-7ED13A9F6FB0}"/>
    <cellStyle name="Normal 8 3 4 3 2 2 3" xfId="16288" xr:uid="{4357CDAD-57A5-4CE2-8D51-078D07C4685E}"/>
    <cellStyle name="Normal 8 3 4 3 2 3" xfId="20511" xr:uid="{2502693E-D7C6-4A03-A28B-DB19C1E664D1}"/>
    <cellStyle name="Normal 8 3 4 3 2 4" xfId="12070" xr:uid="{2578DB1B-5643-42E9-97F7-DEBCE2CB8C20}"/>
    <cellStyle name="Normal 8 3 4 3 3" xfId="5693" xr:uid="{00000000-0005-0000-0000-0000B11D0000}"/>
    <cellStyle name="Normal 8 3 4 3 3 2" xfId="22584" xr:uid="{0260F8BD-706A-4C32-AFB8-80BCA7F8C0D9}"/>
    <cellStyle name="Normal 8 3 4 3 3 3" xfId="14143" xr:uid="{670E3749-A2D1-41E0-8500-C32F465752A8}"/>
    <cellStyle name="Normal 8 3 4 3 4" xfId="18366" xr:uid="{89CCD40A-4558-4FCF-AB84-FEE4A6468E7F}"/>
    <cellStyle name="Normal 8 3 4 3 5" xfId="9925" xr:uid="{66D1DD53-EF73-4300-B098-2D1E32B313E5}"/>
    <cellStyle name="Normal 8 3 4 4" xfId="1799" xr:uid="{00000000-0005-0000-0000-0000B21D0000}"/>
    <cellStyle name="Normal 8 3 4 4 2" xfId="4029" xr:uid="{00000000-0005-0000-0000-0000B31D0000}"/>
    <cellStyle name="Normal 8 3 4 4 2 2" xfId="8251" xr:uid="{00000000-0005-0000-0000-0000B41D0000}"/>
    <cellStyle name="Normal 8 3 4 4 2 2 2" xfId="25142" xr:uid="{E4DE6965-9FF1-43B8-93BC-434C568CEEF1}"/>
    <cellStyle name="Normal 8 3 4 4 2 2 3" xfId="16701" xr:uid="{B132616A-B3CC-453C-8DB5-6756F2050742}"/>
    <cellStyle name="Normal 8 3 4 4 2 3" xfId="20924" xr:uid="{9C37E00B-D98F-48C3-BB4F-2CC37B4487B3}"/>
    <cellStyle name="Normal 8 3 4 4 2 4" xfId="12483" xr:uid="{7719FC00-E6DF-4595-93F1-9FD54B0CCFA7}"/>
    <cellStyle name="Normal 8 3 4 4 3" xfId="6106" xr:uid="{00000000-0005-0000-0000-0000B51D0000}"/>
    <cellStyle name="Normal 8 3 4 4 3 2" xfId="22997" xr:uid="{8F290AFA-9D1D-468B-BAD4-C04D03AFFFEA}"/>
    <cellStyle name="Normal 8 3 4 4 3 3" xfId="14556" xr:uid="{A71E3F84-C853-464D-BA58-81D47F147215}"/>
    <cellStyle name="Normal 8 3 4 4 4" xfId="18779" xr:uid="{7D0C4475-5E47-4B6B-ACAC-9BC91F4C9C89}"/>
    <cellStyle name="Normal 8 3 4 4 5" xfId="10338" xr:uid="{E5E04905-3C63-4419-87C7-935CEF8D25EE}"/>
    <cellStyle name="Normal 8 3 4 5" xfId="2213" xr:uid="{00000000-0005-0000-0000-0000B61D0000}"/>
    <cellStyle name="Normal 8 3 4 5 2" xfId="4442" xr:uid="{00000000-0005-0000-0000-0000B71D0000}"/>
    <cellStyle name="Normal 8 3 4 5 2 2" xfId="8664" xr:uid="{00000000-0005-0000-0000-0000B81D0000}"/>
    <cellStyle name="Normal 8 3 4 5 2 2 2" xfId="25555" xr:uid="{FC69479F-35DD-4DA7-9996-4351B7417694}"/>
    <cellStyle name="Normal 8 3 4 5 2 2 3" xfId="17114" xr:uid="{C2E73780-13EA-4FDF-A66C-8E11952BB28F}"/>
    <cellStyle name="Normal 8 3 4 5 2 3" xfId="21337" xr:uid="{2A3BB306-6D96-4DD9-9F3C-7ECD25FE9581}"/>
    <cellStyle name="Normal 8 3 4 5 2 4" xfId="12896" xr:uid="{2004F3A0-7BC9-43E4-AB36-D5C51CC82727}"/>
    <cellStyle name="Normal 8 3 4 5 3" xfId="6519" xr:uid="{00000000-0005-0000-0000-0000B91D0000}"/>
    <cellStyle name="Normal 8 3 4 5 3 2" xfId="23410" xr:uid="{0B918FBF-AA31-4807-A301-1E348A014DCF}"/>
    <cellStyle name="Normal 8 3 4 5 3 3" xfId="14969" xr:uid="{9DDF0986-C2ED-44C0-A704-165BA8BEC3D3}"/>
    <cellStyle name="Normal 8 3 4 5 4" xfId="19192" xr:uid="{412FA913-4024-4EBD-BED7-AB1BF750118E}"/>
    <cellStyle name="Normal 8 3 4 5 5" xfId="10751" xr:uid="{6AA144A5-392C-446C-92C5-2DE8B4F317BA}"/>
    <cellStyle name="Normal 8 3 4 6" xfId="2649" xr:uid="{00000000-0005-0000-0000-0000BA1D0000}"/>
    <cellStyle name="Normal 8 3 4 6 2" xfId="6932" xr:uid="{00000000-0005-0000-0000-0000BB1D0000}"/>
    <cellStyle name="Normal 8 3 4 6 2 2" xfId="23823" xr:uid="{817E2D2C-BE60-4B2F-84B3-50A9CDD5F313}"/>
    <cellStyle name="Normal 8 3 4 6 2 3" xfId="15382" xr:uid="{21873DE7-16FF-4935-96FF-D0D59291F030}"/>
    <cellStyle name="Normal 8 3 4 6 3" xfId="19605" xr:uid="{FF96356E-6A1E-44AC-97CF-6DF8F29FC6B1}"/>
    <cellStyle name="Normal 8 3 4 6 4" xfId="11164" xr:uid="{9D7959E9-605A-4D6C-93EF-6DF911ED9DD2}"/>
    <cellStyle name="Normal 8 3 4 7" xfId="4867" xr:uid="{00000000-0005-0000-0000-0000BC1D0000}"/>
    <cellStyle name="Normal 8 3 4 7 2" xfId="21758" xr:uid="{5F9A7E4D-A288-4645-B947-7ED626562689}"/>
    <cellStyle name="Normal 8 3 4 7 3" xfId="13317" xr:uid="{FB9ECF6B-79DB-4EDF-B694-28A834E3146E}"/>
    <cellStyle name="Normal 8 3 4 8" xfId="17540" xr:uid="{7949B398-1C9F-4156-AD5F-2F57ACD1EF89}"/>
    <cellStyle name="Normal 8 3 4 9" xfId="9099" xr:uid="{4233878E-E8D6-4BBC-AE77-07C0C9D732F6}"/>
    <cellStyle name="Normal 8 3 5" xfId="962" xr:uid="{00000000-0005-0000-0000-0000BD1D0000}"/>
    <cellStyle name="Normal 8 3 5 2" xfId="3196" xr:uid="{00000000-0005-0000-0000-0000BE1D0000}"/>
    <cellStyle name="Normal 8 3 5 2 2" xfId="7418" xr:uid="{00000000-0005-0000-0000-0000BF1D0000}"/>
    <cellStyle name="Normal 8 3 5 2 2 2" xfId="24309" xr:uid="{88282DE7-B538-44CA-A6F3-72F46A20B8E9}"/>
    <cellStyle name="Normal 8 3 5 2 2 3" xfId="15868" xr:uid="{AEC22B0D-221F-4026-AC4E-D13FE3DF050F}"/>
    <cellStyle name="Normal 8 3 5 2 3" xfId="20091" xr:uid="{8675448E-31B1-4BDC-B077-FF91593A6CD7}"/>
    <cellStyle name="Normal 8 3 5 2 4" xfId="11650" xr:uid="{919663A3-7C98-444A-8806-87BD0FA22EED}"/>
    <cellStyle name="Normal 8 3 5 3" xfId="5273" xr:uid="{00000000-0005-0000-0000-0000C01D0000}"/>
    <cellStyle name="Normal 8 3 5 3 2" xfId="22164" xr:uid="{7A63E157-52B0-4FF0-8C25-DDCD9822FEE5}"/>
    <cellStyle name="Normal 8 3 5 3 3" xfId="13723" xr:uid="{8102B9A6-DD71-447B-93A9-A539820188C0}"/>
    <cellStyle name="Normal 8 3 5 4" xfId="17946" xr:uid="{31FCFE77-BE60-45B4-8A8F-40A722E11458}"/>
    <cellStyle name="Normal 8 3 5 5" xfId="9505" xr:uid="{74E10BE5-D877-44A5-8DA2-602894AB12EB}"/>
    <cellStyle name="Normal 8 3 6" xfId="1379" xr:uid="{00000000-0005-0000-0000-0000C11D0000}"/>
    <cellStyle name="Normal 8 3 6 2" xfId="3609" xr:uid="{00000000-0005-0000-0000-0000C21D0000}"/>
    <cellStyle name="Normal 8 3 6 2 2" xfId="7831" xr:uid="{00000000-0005-0000-0000-0000C31D0000}"/>
    <cellStyle name="Normal 8 3 6 2 2 2" xfId="24722" xr:uid="{CDA7C0A3-BE79-4C49-9135-F7FBA6D972C0}"/>
    <cellStyle name="Normal 8 3 6 2 2 3" xfId="16281" xr:uid="{0A2E7B63-9836-4E80-AE1A-81187092BE0A}"/>
    <cellStyle name="Normal 8 3 6 2 3" xfId="20504" xr:uid="{29B067EB-B359-47E7-BACA-0DD9353389A3}"/>
    <cellStyle name="Normal 8 3 6 2 4" xfId="12063" xr:uid="{C0FDF70A-6C17-4346-AA42-EA2F1C09399D}"/>
    <cellStyle name="Normal 8 3 6 3" xfId="5686" xr:uid="{00000000-0005-0000-0000-0000C41D0000}"/>
    <cellStyle name="Normal 8 3 6 3 2" xfId="22577" xr:uid="{C934C9D5-2588-419E-9252-8E0B9A9ABAC9}"/>
    <cellStyle name="Normal 8 3 6 3 3" xfId="14136" xr:uid="{2E67EBA2-4907-4386-BDAC-E7AC38CA9FA6}"/>
    <cellStyle name="Normal 8 3 6 4" xfId="18359" xr:uid="{9BB36F17-1E69-46B8-B81E-B2F74342F396}"/>
    <cellStyle name="Normal 8 3 6 5" xfId="9918" xr:uid="{1F53171F-B611-447F-8724-5BF3A23452A3}"/>
    <cellStyle name="Normal 8 3 7" xfId="1792" xr:uid="{00000000-0005-0000-0000-0000C51D0000}"/>
    <cellStyle name="Normal 8 3 7 2" xfId="4022" xr:uid="{00000000-0005-0000-0000-0000C61D0000}"/>
    <cellStyle name="Normal 8 3 7 2 2" xfId="8244" xr:uid="{00000000-0005-0000-0000-0000C71D0000}"/>
    <cellStyle name="Normal 8 3 7 2 2 2" xfId="25135" xr:uid="{34D9B01D-8BAB-4BB1-BCD6-FD4ADF9A0D6C}"/>
    <cellStyle name="Normal 8 3 7 2 2 3" xfId="16694" xr:uid="{257F6F70-6F7D-4D4C-8672-CEA855A88880}"/>
    <cellStyle name="Normal 8 3 7 2 3" xfId="20917" xr:uid="{912851A5-4AC7-40F9-BD65-DB79A4C593A5}"/>
    <cellStyle name="Normal 8 3 7 2 4" xfId="12476" xr:uid="{499858B0-68E8-4E7E-89B3-D7C18A768337}"/>
    <cellStyle name="Normal 8 3 7 3" xfId="6099" xr:uid="{00000000-0005-0000-0000-0000C81D0000}"/>
    <cellStyle name="Normal 8 3 7 3 2" xfId="22990" xr:uid="{A6A1595A-BCDB-42DF-A1A6-790026E7781A}"/>
    <cellStyle name="Normal 8 3 7 3 3" xfId="14549" xr:uid="{5127EEF8-260F-4055-9C1F-3B6AC359DB6F}"/>
    <cellStyle name="Normal 8 3 7 4" xfId="18772" xr:uid="{DB6DDC91-C6F0-40A6-856F-E7AE43B3BE15}"/>
    <cellStyle name="Normal 8 3 7 5" xfId="10331" xr:uid="{F60798A5-8C5B-4810-AE2B-EB8549BF6822}"/>
    <cellStyle name="Normal 8 3 8" xfId="2206" xr:uid="{00000000-0005-0000-0000-0000C91D0000}"/>
    <cellStyle name="Normal 8 3 8 2" xfId="4435" xr:uid="{00000000-0005-0000-0000-0000CA1D0000}"/>
    <cellStyle name="Normal 8 3 8 2 2" xfId="8657" xr:uid="{00000000-0005-0000-0000-0000CB1D0000}"/>
    <cellStyle name="Normal 8 3 8 2 2 2" xfId="25548" xr:uid="{CA051BED-32B4-4F13-9F2A-483DBE27A6EE}"/>
    <cellStyle name="Normal 8 3 8 2 2 3" xfId="17107" xr:uid="{B73AB84C-E0B3-4DEF-B713-CB092DFD88AE}"/>
    <cellStyle name="Normal 8 3 8 2 3" xfId="21330" xr:uid="{D7928DAA-07DF-4CBD-A481-E47C8ACB0B4C}"/>
    <cellStyle name="Normal 8 3 8 2 4" xfId="12889" xr:uid="{DAD8F4A6-EE14-47FE-9449-E2D8ABC68ED6}"/>
    <cellStyle name="Normal 8 3 8 3" xfId="6512" xr:uid="{00000000-0005-0000-0000-0000CC1D0000}"/>
    <cellStyle name="Normal 8 3 8 3 2" xfId="23403" xr:uid="{4C8F04BD-1DF7-4153-A871-20BCB0FD66CF}"/>
    <cellStyle name="Normal 8 3 8 3 3" xfId="14962" xr:uid="{B9FFB26B-7391-4265-9666-E3BD48BA6F6A}"/>
    <cellStyle name="Normal 8 3 8 4" xfId="19185" xr:uid="{DC3A0275-C379-428A-9EC9-8CB28337B01C}"/>
    <cellStyle name="Normal 8 3 8 5" xfId="10744" xr:uid="{A8F74BF5-33AA-416B-ABAE-B1200B502426}"/>
    <cellStyle name="Normal 8 3 9" xfId="2642" xr:uid="{00000000-0005-0000-0000-0000CD1D0000}"/>
    <cellStyle name="Normal 8 3 9 2" xfId="6925" xr:uid="{00000000-0005-0000-0000-0000CE1D0000}"/>
    <cellStyle name="Normal 8 3 9 2 2" xfId="23816" xr:uid="{A5A2EC3D-7935-4459-9EC4-5ED5F2B18004}"/>
    <cellStyle name="Normal 8 3 9 2 3" xfId="15375" xr:uid="{0EE08E42-8438-4200-B0D7-339FA6B6A980}"/>
    <cellStyle name="Normal 8 3 9 3" xfId="19598" xr:uid="{B00749B0-700C-4A3D-BB32-F41DD1D5658A}"/>
    <cellStyle name="Normal 8 3 9 4" xfId="11157" xr:uid="{58683224-D87D-447D-B47B-D5F6C3D6E1DD}"/>
    <cellStyle name="Normal 8 4" xfId="503" xr:uid="{00000000-0005-0000-0000-0000CF1D0000}"/>
    <cellStyle name="Normal 8 4 10" xfId="17541" xr:uid="{21BA9454-EFF0-44EC-BFA8-AD0ECDFF7810}"/>
    <cellStyle name="Normal 8 4 11" xfId="9100" xr:uid="{B2181116-C2DA-495C-85BA-52EF755E5C6B}"/>
    <cellStyle name="Normal 8 4 2" xfId="504" xr:uid="{00000000-0005-0000-0000-0000D01D0000}"/>
    <cellStyle name="Normal 8 4 2 10" xfId="9101" xr:uid="{CA48E6C5-3660-4E3B-8DC0-F2DCC9846018}"/>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2 2 2" xfId="24319" xr:uid="{A06116A1-032F-47FB-B0D6-5B53299777A4}"/>
    <cellStyle name="Normal 8 4 2 2 2 2 2 3" xfId="15878" xr:uid="{353690D0-9B4B-43D2-9E62-4FD26B1B0A26}"/>
    <cellStyle name="Normal 8 4 2 2 2 2 3" xfId="20101" xr:uid="{E615DED4-973A-4956-866F-205CA15527D6}"/>
    <cellStyle name="Normal 8 4 2 2 2 2 4" xfId="11660" xr:uid="{88A51C27-6536-4444-8449-685309DDE71E}"/>
    <cellStyle name="Normal 8 4 2 2 2 3" xfId="5283" xr:uid="{00000000-0005-0000-0000-0000D51D0000}"/>
    <cellStyle name="Normal 8 4 2 2 2 3 2" xfId="22174" xr:uid="{83AC91CA-9C87-4136-8574-71C70021B4BA}"/>
    <cellStyle name="Normal 8 4 2 2 2 3 3" xfId="13733" xr:uid="{3AE4473D-8045-498E-83DE-0F1571A51154}"/>
    <cellStyle name="Normal 8 4 2 2 2 4" xfId="17956" xr:uid="{685BA935-179C-4E0C-8E4B-351C48A944E3}"/>
    <cellStyle name="Normal 8 4 2 2 2 5" xfId="9515" xr:uid="{AB1D66BC-A29F-49E7-9E18-380090CF5478}"/>
    <cellStyle name="Normal 8 4 2 2 3" xfId="1389" xr:uid="{00000000-0005-0000-0000-0000D61D0000}"/>
    <cellStyle name="Normal 8 4 2 2 3 2" xfId="3619" xr:uid="{00000000-0005-0000-0000-0000D71D0000}"/>
    <cellStyle name="Normal 8 4 2 2 3 2 2" xfId="7841" xr:uid="{00000000-0005-0000-0000-0000D81D0000}"/>
    <cellStyle name="Normal 8 4 2 2 3 2 2 2" xfId="24732" xr:uid="{66EC5D6C-9207-4C27-8DB1-0B21169E9DBD}"/>
    <cellStyle name="Normal 8 4 2 2 3 2 2 3" xfId="16291" xr:uid="{2265C733-838A-43CF-9DD6-5CCC30E43BBA}"/>
    <cellStyle name="Normal 8 4 2 2 3 2 3" xfId="20514" xr:uid="{D024C86C-3B60-4A2B-BB3B-21139D5721E3}"/>
    <cellStyle name="Normal 8 4 2 2 3 2 4" xfId="12073" xr:uid="{1C93148A-11C7-4E52-8114-54140D80DAE2}"/>
    <cellStyle name="Normal 8 4 2 2 3 3" xfId="5696" xr:uid="{00000000-0005-0000-0000-0000D91D0000}"/>
    <cellStyle name="Normal 8 4 2 2 3 3 2" xfId="22587" xr:uid="{97850A56-44BC-477E-A7E8-F7BFE2172F39}"/>
    <cellStyle name="Normal 8 4 2 2 3 3 3" xfId="14146" xr:uid="{F08F70D5-80CE-48B4-9F3B-F076E5A6A120}"/>
    <cellStyle name="Normal 8 4 2 2 3 4" xfId="18369" xr:uid="{92B24107-7DA3-4C0A-BD2D-066EFF46B3AE}"/>
    <cellStyle name="Normal 8 4 2 2 3 5" xfId="9928" xr:uid="{9A22AAF2-B5BD-4677-885B-8C4A2F81FDEA}"/>
    <cellStyle name="Normal 8 4 2 2 4" xfId="1802" xr:uid="{00000000-0005-0000-0000-0000DA1D0000}"/>
    <cellStyle name="Normal 8 4 2 2 4 2" xfId="4032" xr:uid="{00000000-0005-0000-0000-0000DB1D0000}"/>
    <cellStyle name="Normal 8 4 2 2 4 2 2" xfId="8254" xr:uid="{00000000-0005-0000-0000-0000DC1D0000}"/>
    <cellStyle name="Normal 8 4 2 2 4 2 2 2" xfId="25145" xr:uid="{23F33632-6CEA-4231-8019-CD6044739C46}"/>
    <cellStyle name="Normal 8 4 2 2 4 2 2 3" xfId="16704" xr:uid="{66223CB0-2AA1-49DC-B7CD-D237D3BB7B20}"/>
    <cellStyle name="Normal 8 4 2 2 4 2 3" xfId="20927" xr:uid="{B34AD97D-2298-4E7D-814C-D83A55738982}"/>
    <cellStyle name="Normal 8 4 2 2 4 2 4" xfId="12486" xr:uid="{445F26E8-D8DC-4BE0-AE01-A9914CB4D521}"/>
    <cellStyle name="Normal 8 4 2 2 4 3" xfId="6109" xr:uid="{00000000-0005-0000-0000-0000DD1D0000}"/>
    <cellStyle name="Normal 8 4 2 2 4 3 2" xfId="23000" xr:uid="{F4B1B0F1-2FF2-47F5-946C-D7627AE881E6}"/>
    <cellStyle name="Normal 8 4 2 2 4 3 3" xfId="14559" xr:uid="{E84AEF9A-EB0F-4462-BB08-A121AB843198}"/>
    <cellStyle name="Normal 8 4 2 2 4 4" xfId="18782" xr:uid="{5AAA7916-52DD-432B-AD4B-5F665BDA48DE}"/>
    <cellStyle name="Normal 8 4 2 2 4 5" xfId="10341" xr:uid="{EC9D0C1E-8758-49C0-8C88-5394CD4451F8}"/>
    <cellStyle name="Normal 8 4 2 2 5" xfId="2216" xr:uid="{00000000-0005-0000-0000-0000DE1D0000}"/>
    <cellStyle name="Normal 8 4 2 2 5 2" xfId="4445" xr:uid="{00000000-0005-0000-0000-0000DF1D0000}"/>
    <cellStyle name="Normal 8 4 2 2 5 2 2" xfId="8667" xr:uid="{00000000-0005-0000-0000-0000E01D0000}"/>
    <cellStyle name="Normal 8 4 2 2 5 2 2 2" xfId="25558" xr:uid="{10E2CE1A-3D6B-4B2E-96BB-5813096EAE73}"/>
    <cellStyle name="Normal 8 4 2 2 5 2 2 3" xfId="17117" xr:uid="{21E036F6-2AFF-402D-8EFB-77E2DF756B3B}"/>
    <cellStyle name="Normal 8 4 2 2 5 2 3" xfId="21340" xr:uid="{31963607-53B4-486B-944F-937E76CCD9A5}"/>
    <cellStyle name="Normal 8 4 2 2 5 2 4" xfId="12899" xr:uid="{68F79617-24DE-4B2C-9515-6114D9E951F8}"/>
    <cellStyle name="Normal 8 4 2 2 5 3" xfId="6522" xr:uid="{00000000-0005-0000-0000-0000E11D0000}"/>
    <cellStyle name="Normal 8 4 2 2 5 3 2" xfId="23413" xr:uid="{EE7D810D-C0C3-4057-9601-7E5A133560F1}"/>
    <cellStyle name="Normal 8 4 2 2 5 3 3" xfId="14972" xr:uid="{CCBC4D9D-011E-461C-884B-44DD2A3F3FFE}"/>
    <cellStyle name="Normal 8 4 2 2 5 4" xfId="19195" xr:uid="{0F13B978-0E1E-45BC-84A6-B99FD5C7E618}"/>
    <cellStyle name="Normal 8 4 2 2 5 5" xfId="10754" xr:uid="{F7DCC484-A31B-43E5-AB18-06D993C46E26}"/>
    <cellStyle name="Normal 8 4 2 2 6" xfId="2652" xr:uid="{00000000-0005-0000-0000-0000E21D0000}"/>
    <cellStyle name="Normal 8 4 2 2 6 2" xfId="6935" xr:uid="{00000000-0005-0000-0000-0000E31D0000}"/>
    <cellStyle name="Normal 8 4 2 2 6 2 2" xfId="23826" xr:uid="{10533F39-8203-4127-BE2F-751401F44B73}"/>
    <cellStyle name="Normal 8 4 2 2 6 2 3" xfId="15385" xr:uid="{D6CCDFA3-C7B5-4E47-AB18-233AFEF15E11}"/>
    <cellStyle name="Normal 8 4 2 2 6 3" xfId="19608" xr:uid="{229F492A-FBEE-416A-B101-5057916B5D04}"/>
    <cellStyle name="Normal 8 4 2 2 6 4" xfId="11167" xr:uid="{7F75B0ED-71B5-4DFB-B38B-137C9244AE7F}"/>
    <cellStyle name="Normal 8 4 2 2 7" xfId="4870" xr:uid="{00000000-0005-0000-0000-0000E41D0000}"/>
    <cellStyle name="Normal 8 4 2 2 7 2" xfId="21761" xr:uid="{3C0769E9-DEC9-41E8-99DB-FB888721BEC7}"/>
    <cellStyle name="Normal 8 4 2 2 7 3" xfId="13320" xr:uid="{DBCF8E6A-0B4E-47B1-985E-6BA60C4582F7}"/>
    <cellStyle name="Normal 8 4 2 2 8" xfId="17543" xr:uid="{B39FD64A-BFC7-495C-8A4E-A05A2E1766E5}"/>
    <cellStyle name="Normal 8 4 2 2 9" xfId="9102" xr:uid="{569299C7-A458-4AAB-A375-FB1B12A1F187}"/>
    <cellStyle name="Normal 8 4 2 3" xfId="971" xr:uid="{00000000-0005-0000-0000-0000E51D0000}"/>
    <cellStyle name="Normal 8 4 2 3 2" xfId="3205" xr:uid="{00000000-0005-0000-0000-0000E61D0000}"/>
    <cellStyle name="Normal 8 4 2 3 2 2" xfId="7427" xr:uid="{00000000-0005-0000-0000-0000E71D0000}"/>
    <cellStyle name="Normal 8 4 2 3 2 2 2" xfId="24318" xr:uid="{5878FACF-427A-421A-A4DE-BB03C1465F3E}"/>
    <cellStyle name="Normal 8 4 2 3 2 2 3" xfId="15877" xr:uid="{1E83F5ED-61EC-4DA9-98C4-EEC4E70FF8B6}"/>
    <cellStyle name="Normal 8 4 2 3 2 3" xfId="20100" xr:uid="{D2EC2AD2-E7BC-40B4-AFE6-E0185570243D}"/>
    <cellStyle name="Normal 8 4 2 3 2 4" xfId="11659" xr:uid="{88AF599F-9D33-437A-9348-A63FC9CC0AE4}"/>
    <cellStyle name="Normal 8 4 2 3 3" xfId="5282" xr:uid="{00000000-0005-0000-0000-0000E81D0000}"/>
    <cellStyle name="Normal 8 4 2 3 3 2" xfId="22173" xr:uid="{1F2B3A26-4576-4282-BE77-E37F41E6C987}"/>
    <cellStyle name="Normal 8 4 2 3 3 3" xfId="13732" xr:uid="{D7F5A798-2F8B-4693-A971-FACEDF63B77C}"/>
    <cellStyle name="Normal 8 4 2 3 4" xfId="17955" xr:uid="{52616116-EA21-44D8-8736-768A2172A406}"/>
    <cellStyle name="Normal 8 4 2 3 5" xfId="9514" xr:uid="{7045BC7B-C9A9-48C6-A08C-B35B36B0A62E}"/>
    <cellStyle name="Normal 8 4 2 4" xfId="1388" xr:uid="{00000000-0005-0000-0000-0000E91D0000}"/>
    <cellStyle name="Normal 8 4 2 4 2" xfId="3618" xr:uid="{00000000-0005-0000-0000-0000EA1D0000}"/>
    <cellStyle name="Normal 8 4 2 4 2 2" xfId="7840" xr:uid="{00000000-0005-0000-0000-0000EB1D0000}"/>
    <cellStyle name="Normal 8 4 2 4 2 2 2" xfId="24731" xr:uid="{0267F63E-413B-40CD-9CFD-69F667ADE935}"/>
    <cellStyle name="Normal 8 4 2 4 2 2 3" xfId="16290" xr:uid="{F51E27F8-48EA-4C16-8C45-23D209F83FA2}"/>
    <cellStyle name="Normal 8 4 2 4 2 3" xfId="20513" xr:uid="{AC4EDA87-6549-42D0-946D-2E10CF41BA90}"/>
    <cellStyle name="Normal 8 4 2 4 2 4" xfId="12072" xr:uid="{008FD776-77F6-45CC-8664-BE943E409E34}"/>
    <cellStyle name="Normal 8 4 2 4 3" xfId="5695" xr:uid="{00000000-0005-0000-0000-0000EC1D0000}"/>
    <cellStyle name="Normal 8 4 2 4 3 2" xfId="22586" xr:uid="{E1DFE662-718D-41DF-995B-9A538625E776}"/>
    <cellStyle name="Normal 8 4 2 4 3 3" xfId="14145" xr:uid="{1F26CE13-5EB2-4920-ACB5-66237CE9525C}"/>
    <cellStyle name="Normal 8 4 2 4 4" xfId="18368" xr:uid="{E0A81489-4434-40FB-96E1-7133682DF0BF}"/>
    <cellStyle name="Normal 8 4 2 4 5" xfId="9927" xr:uid="{8D2B3540-F8F3-4333-B3F1-24D3C1B2456D}"/>
    <cellStyle name="Normal 8 4 2 5" xfId="1801" xr:uid="{00000000-0005-0000-0000-0000ED1D0000}"/>
    <cellStyle name="Normal 8 4 2 5 2" xfId="4031" xr:uid="{00000000-0005-0000-0000-0000EE1D0000}"/>
    <cellStyle name="Normal 8 4 2 5 2 2" xfId="8253" xr:uid="{00000000-0005-0000-0000-0000EF1D0000}"/>
    <cellStyle name="Normal 8 4 2 5 2 2 2" xfId="25144" xr:uid="{D1C2BE83-D1B3-4B0D-8A45-ADD4756F1DD3}"/>
    <cellStyle name="Normal 8 4 2 5 2 2 3" xfId="16703" xr:uid="{FE96F8A9-AF97-4737-B344-9EA051889B2C}"/>
    <cellStyle name="Normal 8 4 2 5 2 3" xfId="20926" xr:uid="{C2138B89-65F6-40FA-8385-53B5ABC0A8AD}"/>
    <cellStyle name="Normal 8 4 2 5 2 4" xfId="12485" xr:uid="{616BE543-E06E-4FCE-A63F-08D9014DC8F9}"/>
    <cellStyle name="Normal 8 4 2 5 3" xfId="6108" xr:uid="{00000000-0005-0000-0000-0000F01D0000}"/>
    <cellStyle name="Normal 8 4 2 5 3 2" xfId="22999" xr:uid="{D2FD079A-3D1F-4038-97EF-E380B3EC89AB}"/>
    <cellStyle name="Normal 8 4 2 5 3 3" xfId="14558" xr:uid="{0DFED25A-5080-42D8-8AB5-9C46F9ACE2E8}"/>
    <cellStyle name="Normal 8 4 2 5 4" xfId="18781" xr:uid="{E18DB45B-BD95-4DB1-8836-ECB04BA50C08}"/>
    <cellStyle name="Normal 8 4 2 5 5" xfId="10340" xr:uid="{1963FB82-F985-4431-A6FA-3C026F813101}"/>
    <cellStyle name="Normal 8 4 2 6" xfId="2215" xr:uid="{00000000-0005-0000-0000-0000F11D0000}"/>
    <cellStyle name="Normal 8 4 2 6 2" xfId="4444" xr:uid="{00000000-0005-0000-0000-0000F21D0000}"/>
    <cellStyle name="Normal 8 4 2 6 2 2" xfId="8666" xr:uid="{00000000-0005-0000-0000-0000F31D0000}"/>
    <cellStyle name="Normal 8 4 2 6 2 2 2" xfId="25557" xr:uid="{04B880E9-4421-4E42-ABA7-5FAEE0C4FF7F}"/>
    <cellStyle name="Normal 8 4 2 6 2 2 3" xfId="17116" xr:uid="{3B49B2B9-2F60-4FFD-83D8-A805D9281C41}"/>
    <cellStyle name="Normal 8 4 2 6 2 3" xfId="21339" xr:uid="{0F5C1EF8-F83D-4AFD-A49A-4A22206CDA4B}"/>
    <cellStyle name="Normal 8 4 2 6 2 4" xfId="12898" xr:uid="{1EDEE997-2976-41E5-A99B-008FE82D7A2D}"/>
    <cellStyle name="Normal 8 4 2 6 3" xfId="6521" xr:uid="{00000000-0005-0000-0000-0000F41D0000}"/>
    <cellStyle name="Normal 8 4 2 6 3 2" xfId="23412" xr:uid="{87D9ABC0-1F08-40D1-AC76-09E2D7D3FB16}"/>
    <cellStyle name="Normal 8 4 2 6 3 3" xfId="14971" xr:uid="{6DE239F6-764F-40F4-A3E4-02DD10CF8981}"/>
    <cellStyle name="Normal 8 4 2 6 4" xfId="19194" xr:uid="{0EB20FFC-1716-4CFB-86BD-5F6301A209C0}"/>
    <cellStyle name="Normal 8 4 2 6 5" xfId="10753" xr:uid="{B025D72F-81C6-4CDF-B619-3D2C8A4D47D9}"/>
    <cellStyle name="Normal 8 4 2 7" xfId="2651" xr:uid="{00000000-0005-0000-0000-0000F51D0000}"/>
    <cellStyle name="Normal 8 4 2 7 2" xfId="6934" xr:uid="{00000000-0005-0000-0000-0000F61D0000}"/>
    <cellStyle name="Normal 8 4 2 7 2 2" xfId="23825" xr:uid="{ED197C86-B34D-433A-8500-21CA3DAC4BA4}"/>
    <cellStyle name="Normal 8 4 2 7 2 3" xfId="15384" xr:uid="{F82EB0E2-53B3-4DC6-81E4-FDFBC8B8B9A7}"/>
    <cellStyle name="Normal 8 4 2 7 3" xfId="19607" xr:uid="{4F2ECBAC-5737-454A-B91F-065B6C13B8FD}"/>
    <cellStyle name="Normal 8 4 2 7 4" xfId="11166" xr:uid="{3603D87B-072F-443D-82D0-90648053DCE3}"/>
    <cellStyle name="Normal 8 4 2 8" xfId="4869" xr:uid="{00000000-0005-0000-0000-0000F71D0000}"/>
    <cellStyle name="Normal 8 4 2 8 2" xfId="21760" xr:uid="{F506A3C1-30AE-4771-B446-25C7B93F063B}"/>
    <cellStyle name="Normal 8 4 2 8 3" xfId="13319" xr:uid="{ED27B875-3110-4289-8792-53FC03320F70}"/>
    <cellStyle name="Normal 8 4 2 9" xfId="17542" xr:uid="{830076BF-267E-47BE-8FB0-401F917B12AC}"/>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2 2 2" xfId="24320" xr:uid="{361964EE-1056-4849-987C-9278FB34FEE2}"/>
    <cellStyle name="Normal 8 4 3 2 2 2 3" xfId="15879" xr:uid="{D0385509-75C3-4763-A418-0D9BB50275AF}"/>
    <cellStyle name="Normal 8 4 3 2 2 3" xfId="20102" xr:uid="{C6B66BE5-158D-4467-A194-6A0CDCC56A8F}"/>
    <cellStyle name="Normal 8 4 3 2 2 4" xfId="11661" xr:uid="{A420B61D-7BA0-4314-86CC-E6A7B335DDEF}"/>
    <cellStyle name="Normal 8 4 3 2 3" xfId="5284" xr:uid="{00000000-0005-0000-0000-0000FC1D0000}"/>
    <cellStyle name="Normal 8 4 3 2 3 2" xfId="22175" xr:uid="{428B8C14-3A23-471E-8967-690C824A3775}"/>
    <cellStyle name="Normal 8 4 3 2 3 3" xfId="13734" xr:uid="{800E5E29-0F46-42FD-A262-9B8CB42D367D}"/>
    <cellStyle name="Normal 8 4 3 2 4" xfId="17957" xr:uid="{B6DA795B-F042-4C50-90DA-7B93EC0964E3}"/>
    <cellStyle name="Normal 8 4 3 2 5" xfId="9516" xr:uid="{DFD4562F-31A0-4C7E-B848-29313D884EA9}"/>
    <cellStyle name="Normal 8 4 3 3" xfId="1390" xr:uid="{00000000-0005-0000-0000-0000FD1D0000}"/>
    <cellStyle name="Normal 8 4 3 3 2" xfId="3620" xr:uid="{00000000-0005-0000-0000-0000FE1D0000}"/>
    <cellStyle name="Normal 8 4 3 3 2 2" xfId="7842" xr:uid="{00000000-0005-0000-0000-0000FF1D0000}"/>
    <cellStyle name="Normal 8 4 3 3 2 2 2" xfId="24733" xr:uid="{E59079E1-3B09-40CF-A0EB-C52DE36214B4}"/>
    <cellStyle name="Normal 8 4 3 3 2 2 3" xfId="16292" xr:uid="{E8587B90-715C-4579-88DA-EEC7E4DF29E5}"/>
    <cellStyle name="Normal 8 4 3 3 2 3" xfId="20515" xr:uid="{B7D06636-935C-4AA3-9D4D-E8C9C4EBEACF}"/>
    <cellStyle name="Normal 8 4 3 3 2 4" xfId="12074" xr:uid="{BFB8B481-CE14-4CDE-904C-DE3076AB7547}"/>
    <cellStyle name="Normal 8 4 3 3 3" xfId="5697" xr:uid="{00000000-0005-0000-0000-0000001E0000}"/>
    <cellStyle name="Normal 8 4 3 3 3 2" xfId="22588" xr:uid="{194F11B1-5E01-432F-8DAF-1F5DF846F6F1}"/>
    <cellStyle name="Normal 8 4 3 3 3 3" xfId="14147" xr:uid="{1F0CDE37-5245-4DA3-9C88-0B67F2835887}"/>
    <cellStyle name="Normal 8 4 3 3 4" xfId="18370" xr:uid="{6447103B-7226-4599-99A8-4BD1A001EF67}"/>
    <cellStyle name="Normal 8 4 3 3 5" xfId="9929" xr:uid="{B0405DEF-1C3C-4739-8F81-0881A02AB203}"/>
    <cellStyle name="Normal 8 4 3 4" xfId="1803" xr:uid="{00000000-0005-0000-0000-0000011E0000}"/>
    <cellStyle name="Normal 8 4 3 4 2" xfId="4033" xr:uid="{00000000-0005-0000-0000-0000021E0000}"/>
    <cellStyle name="Normal 8 4 3 4 2 2" xfId="8255" xr:uid="{00000000-0005-0000-0000-0000031E0000}"/>
    <cellStyle name="Normal 8 4 3 4 2 2 2" xfId="25146" xr:uid="{9EFE6E65-42F2-401A-8858-1E95A3FE9ADF}"/>
    <cellStyle name="Normal 8 4 3 4 2 2 3" xfId="16705" xr:uid="{5F2454A5-9BD9-4547-A7C6-CC6880594747}"/>
    <cellStyle name="Normal 8 4 3 4 2 3" xfId="20928" xr:uid="{0BFBF8D2-22AE-485E-85CF-9980C386223A}"/>
    <cellStyle name="Normal 8 4 3 4 2 4" xfId="12487" xr:uid="{35CE3164-B4B2-4C04-ACD9-BF38406F39AF}"/>
    <cellStyle name="Normal 8 4 3 4 3" xfId="6110" xr:uid="{00000000-0005-0000-0000-0000041E0000}"/>
    <cellStyle name="Normal 8 4 3 4 3 2" xfId="23001" xr:uid="{290C8C51-53AE-4E8B-AE39-F62071B73519}"/>
    <cellStyle name="Normal 8 4 3 4 3 3" xfId="14560" xr:uid="{378FF517-D01F-4101-A62E-230B5A5B8F70}"/>
    <cellStyle name="Normal 8 4 3 4 4" xfId="18783" xr:uid="{1EE8133C-B9E8-4317-96F0-CF3EC141B8EF}"/>
    <cellStyle name="Normal 8 4 3 4 5" xfId="10342" xr:uid="{F3FE9A54-D189-4A1B-978F-906DE3E6401E}"/>
    <cellStyle name="Normal 8 4 3 5" xfId="2217" xr:uid="{00000000-0005-0000-0000-0000051E0000}"/>
    <cellStyle name="Normal 8 4 3 5 2" xfId="4446" xr:uid="{00000000-0005-0000-0000-0000061E0000}"/>
    <cellStyle name="Normal 8 4 3 5 2 2" xfId="8668" xr:uid="{00000000-0005-0000-0000-0000071E0000}"/>
    <cellStyle name="Normal 8 4 3 5 2 2 2" xfId="25559" xr:uid="{1CC20487-1D95-4AAA-A24E-2C2612F062F0}"/>
    <cellStyle name="Normal 8 4 3 5 2 2 3" xfId="17118" xr:uid="{B83976D1-A4FC-401B-8D18-9315CC479E87}"/>
    <cellStyle name="Normal 8 4 3 5 2 3" xfId="21341" xr:uid="{6AE1CAE4-6F3B-4659-8D11-2AB665441D8D}"/>
    <cellStyle name="Normal 8 4 3 5 2 4" xfId="12900" xr:uid="{D05968D3-D0FF-441B-88E1-48274B3F4E68}"/>
    <cellStyle name="Normal 8 4 3 5 3" xfId="6523" xr:uid="{00000000-0005-0000-0000-0000081E0000}"/>
    <cellStyle name="Normal 8 4 3 5 3 2" xfId="23414" xr:uid="{4BFB9C2E-9D39-4653-B4F0-32B485684BF2}"/>
    <cellStyle name="Normal 8 4 3 5 3 3" xfId="14973" xr:uid="{CD6871AB-8744-4AF4-B6D8-2D7DA106260D}"/>
    <cellStyle name="Normal 8 4 3 5 4" xfId="19196" xr:uid="{B6DFC5EC-D317-4561-A492-A059BABA001B}"/>
    <cellStyle name="Normal 8 4 3 5 5" xfId="10755" xr:uid="{01BE4557-C2E2-4239-AC56-2D229CC89EDB}"/>
    <cellStyle name="Normal 8 4 3 6" xfId="2653" xr:uid="{00000000-0005-0000-0000-0000091E0000}"/>
    <cellStyle name="Normal 8 4 3 6 2" xfId="6936" xr:uid="{00000000-0005-0000-0000-00000A1E0000}"/>
    <cellStyle name="Normal 8 4 3 6 2 2" xfId="23827" xr:uid="{2E2B328D-9E0B-4F96-B421-658893E28890}"/>
    <cellStyle name="Normal 8 4 3 6 2 3" xfId="15386" xr:uid="{AAA7EC1F-462F-4AF9-A95C-3ADABC347933}"/>
    <cellStyle name="Normal 8 4 3 6 3" xfId="19609" xr:uid="{7CCFB991-35BB-4C25-A211-7D6D1E5E9C54}"/>
    <cellStyle name="Normal 8 4 3 6 4" xfId="11168" xr:uid="{3E9C597E-EF42-45C5-9400-18A87D8D1B5D}"/>
    <cellStyle name="Normal 8 4 3 7" xfId="4871" xr:uid="{00000000-0005-0000-0000-00000B1E0000}"/>
    <cellStyle name="Normal 8 4 3 7 2" xfId="21762" xr:uid="{4AC6F859-449E-46BE-BFCB-01EFADD01E68}"/>
    <cellStyle name="Normal 8 4 3 7 3" xfId="13321" xr:uid="{E585CC1A-2103-48B1-B3D7-4BEA89064480}"/>
    <cellStyle name="Normal 8 4 3 8" xfId="17544" xr:uid="{4690647E-2D92-4314-813E-5B00C5663B02}"/>
    <cellStyle name="Normal 8 4 3 9" xfId="9103" xr:uid="{256C3651-B393-4CC2-8780-A4A22E3B5089}"/>
    <cellStyle name="Normal 8 4 4" xfId="970" xr:uid="{00000000-0005-0000-0000-00000C1E0000}"/>
    <cellStyle name="Normal 8 4 4 2" xfId="3204" xr:uid="{00000000-0005-0000-0000-00000D1E0000}"/>
    <cellStyle name="Normal 8 4 4 2 2" xfId="7426" xr:uid="{00000000-0005-0000-0000-00000E1E0000}"/>
    <cellStyle name="Normal 8 4 4 2 2 2" xfId="24317" xr:uid="{4A0DFAE7-F876-493B-9A8D-8DD3EE944E69}"/>
    <cellStyle name="Normal 8 4 4 2 2 3" xfId="15876" xr:uid="{1FAB1A5D-FA07-4158-967E-A45F3C06BCF3}"/>
    <cellStyle name="Normal 8 4 4 2 3" xfId="20099" xr:uid="{89936D37-182E-4EDB-B0FF-09A3E90399BE}"/>
    <cellStyle name="Normal 8 4 4 2 4" xfId="11658" xr:uid="{0F235109-0EF1-462F-99B8-C75E4671729E}"/>
    <cellStyle name="Normal 8 4 4 3" xfId="5281" xr:uid="{00000000-0005-0000-0000-00000F1E0000}"/>
    <cellStyle name="Normal 8 4 4 3 2" xfId="22172" xr:uid="{410BC27D-337C-45A4-A30A-5761D75A42D4}"/>
    <cellStyle name="Normal 8 4 4 3 3" xfId="13731" xr:uid="{9E8EFC7A-6E35-4BD6-BB96-2E6E95EFD8C3}"/>
    <cellStyle name="Normal 8 4 4 4" xfId="17954" xr:uid="{DD02B9A5-A97F-4D6B-B357-E660B90DE469}"/>
    <cellStyle name="Normal 8 4 4 5" xfId="9513" xr:uid="{AA0CCDF9-7B23-4E1B-8E72-CBC67CB2E9CD}"/>
    <cellStyle name="Normal 8 4 5" xfId="1387" xr:uid="{00000000-0005-0000-0000-0000101E0000}"/>
    <cellStyle name="Normal 8 4 5 2" xfId="3617" xr:uid="{00000000-0005-0000-0000-0000111E0000}"/>
    <cellStyle name="Normal 8 4 5 2 2" xfId="7839" xr:uid="{00000000-0005-0000-0000-0000121E0000}"/>
    <cellStyle name="Normal 8 4 5 2 2 2" xfId="24730" xr:uid="{4C816A20-6769-4049-BD3B-410F31BBBF84}"/>
    <cellStyle name="Normal 8 4 5 2 2 3" xfId="16289" xr:uid="{691C218B-0878-4A17-A8AC-3F97B0470EB8}"/>
    <cellStyle name="Normal 8 4 5 2 3" xfId="20512" xr:uid="{F15230ED-CBD9-49BA-B826-C65885765201}"/>
    <cellStyle name="Normal 8 4 5 2 4" xfId="12071" xr:uid="{98DB2CE1-C816-45F0-A0CF-10A960445E49}"/>
    <cellStyle name="Normal 8 4 5 3" xfId="5694" xr:uid="{00000000-0005-0000-0000-0000131E0000}"/>
    <cellStyle name="Normal 8 4 5 3 2" xfId="22585" xr:uid="{CE7D0658-A30B-46CB-A044-1E4316E650E5}"/>
    <cellStyle name="Normal 8 4 5 3 3" xfId="14144" xr:uid="{5429F427-D095-4101-9FCB-03E66E428AEC}"/>
    <cellStyle name="Normal 8 4 5 4" xfId="18367" xr:uid="{54FDDA45-3705-40DD-BF2E-F910C5BBEDED}"/>
    <cellStyle name="Normal 8 4 5 5" xfId="9926" xr:uid="{1C9EEE46-31FB-4E56-B836-84336B51A429}"/>
    <cellStyle name="Normal 8 4 6" xfId="1800" xr:uid="{00000000-0005-0000-0000-0000141E0000}"/>
    <cellStyle name="Normal 8 4 6 2" xfId="4030" xr:uid="{00000000-0005-0000-0000-0000151E0000}"/>
    <cellStyle name="Normal 8 4 6 2 2" xfId="8252" xr:uid="{00000000-0005-0000-0000-0000161E0000}"/>
    <cellStyle name="Normal 8 4 6 2 2 2" xfId="25143" xr:uid="{270CB4D1-06BF-42AE-932F-8FDF4B61166C}"/>
    <cellStyle name="Normal 8 4 6 2 2 3" xfId="16702" xr:uid="{80727515-3E5B-4CB1-9AF1-C2B0B7202079}"/>
    <cellStyle name="Normal 8 4 6 2 3" xfId="20925" xr:uid="{8981AD38-DCA4-4E94-A65A-E8910892DB60}"/>
    <cellStyle name="Normal 8 4 6 2 4" xfId="12484" xr:uid="{5796331F-4338-4052-9349-B167B34843C5}"/>
    <cellStyle name="Normal 8 4 6 3" xfId="6107" xr:uid="{00000000-0005-0000-0000-0000171E0000}"/>
    <cellStyle name="Normal 8 4 6 3 2" xfId="22998" xr:uid="{9C42DAA9-A32E-4B1C-B0B6-260A1B223C78}"/>
    <cellStyle name="Normal 8 4 6 3 3" xfId="14557" xr:uid="{887C5BCE-A36D-4204-9C8D-ADA205F5849D}"/>
    <cellStyle name="Normal 8 4 6 4" xfId="18780" xr:uid="{26863551-D9CA-4828-B110-30BA650D00C2}"/>
    <cellStyle name="Normal 8 4 6 5" xfId="10339" xr:uid="{5590D5CC-5867-44C6-93AB-4EAFA9BC36A4}"/>
    <cellStyle name="Normal 8 4 7" xfId="2214" xr:uid="{00000000-0005-0000-0000-0000181E0000}"/>
    <cellStyle name="Normal 8 4 7 2" xfId="4443" xr:uid="{00000000-0005-0000-0000-0000191E0000}"/>
    <cellStyle name="Normal 8 4 7 2 2" xfId="8665" xr:uid="{00000000-0005-0000-0000-00001A1E0000}"/>
    <cellStyle name="Normal 8 4 7 2 2 2" xfId="25556" xr:uid="{3C218239-B872-4E9F-A897-3B7E5CA0E269}"/>
    <cellStyle name="Normal 8 4 7 2 2 3" xfId="17115" xr:uid="{C75A29AC-98F7-4BE2-B784-AF609EF99F49}"/>
    <cellStyle name="Normal 8 4 7 2 3" xfId="21338" xr:uid="{58476DDB-B377-4ED6-B207-BC7B98DDAE5B}"/>
    <cellStyle name="Normal 8 4 7 2 4" xfId="12897" xr:uid="{852078AE-9369-466A-BDAD-88927FD2DB86}"/>
    <cellStyle name="Normal 8 4 7 3" xfId="6520" xr:uid="{00000000-0005-0000-0000-00001B1E0000}"/>
    <cellStyle name="Normal 8 4 7 3 2" xfId="23411" xr:uid="{A91DE6A2-7D1D-4343-9C0A-DDD063F548B0}"/>
    <cellStyle name="Normal 8 4 7 3 3" xfId="14970" xr:uid="{E1A27F09-7F8E-4671-AC17-7624F1896F8C}"/>
    <cellStyle name="Normal 8 4 7 4" xfId="19193" xr:uid="{7FB84F34-ED64-458F-9625-01FE7932AEE9}"/>
    <cellStyle name="Normal 8 4 7 5" xfId="10752" xr:uid="{58F7A068-6D50-4C7A-A7B9-07BC1F98037A}"/>
    <cellStyle name="Normal 8 4 8" xfId="2650" xr:uid="{00000000-0005-0000-0000-00001C1E0000}"/>
    <cellStyle name="Normal 8 4 8 2" xfId="6933" xr:uid="{00000000-0005-0000-0000-00001D1E0000}"/>
    <cellStyle name="Normal 8 4 8 2 2" xfId="23824" xr:uid="{AA18AB86-EB62-4B15-A8B4-C6A592C1E334}"/>
    <cellStyle name="Normal 8 4 8 2 3" xfId="15383" xr:uid="{6A443793-C916-4A76-A0FD-F16799F23F7A}"/>
    <cellStyle name="Normal 8 4 8 3" xfId="19606" xr:uid="{73BB30A0-016F-4948-B11E-0B8361373C71}"/>
    <cellStyle name="Normal 8 4 8 4" xfId="11165" xr:uid="{CBF31D91-589A-457C-81CD-2599F8A3A7D0}"/>
    <cellStyle name="Normal 8 4 9" xfId="4868" xr:uid="{00000000-0005-0000-0000-00001E1E0000}"/>
    <cellStyle name="Normal 8 4 9 2" xfId="21759" xr:uid="{745F28DE-6624-4DBC-8504-7E43F632A49F}"/>
    <cellStyle name="Normal 8 4 9 3" xfId="13318" xr:uid="{9158416F-F0F1-40FF-B871-91911F65C0BC}"/>
    <cellStyle name="Normal 8 5" xfId="507" xr:uid="{00000000-0005-0000-0000-00001F1E0000}"/>
    <cellStyle name="Normal 8 5 10" xfId="9104" xr:uid="{3FE5013F-5720-4BF8-B095-2977D1F585E8}"/>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2 2 2" xfId="24322" xr:uid="{BA69BF58-2227-4AAF-B16D-4DFE119AD039}"/>
    <cellStyle name="Normal 8 5 2 2 2 2 3" xfId="15881" xr:uid="{41CCE92C-1675-49DD-BD3A-68A1EB3FDA33}"/>
    <cellStyle name="Normal 8 5 2 2 2 3" xfId="20104" xr:uid="{E0A4A50E-913A-4BB6-90A7-1EC5488FDE93}"/>
    <cellStyle name="Normal 8 5 2 2 2 4" xfId="11663" xr:uid="{840AC290-CAFF-4813-A99A-B0C9B2B645DC}"/>
    <cellStyle name="Normal 8 5 2 2 3" xfId="5286" xr:uid="{00000000-0005-0000-0000-0000241E0000}"/>
    <cellStyle name="Normal 8 5 2 2 3 2" xfId="22177" xr:uid="{16E8D00C-E602-40F2-909E-43350A1EA912}"/>
    <cellStyle name="Normal 8 5 2 2 3 3" xfId="13736" xr:uid="{371ACB78-7BB0-49E1-9F01-8309720E82F9}"/>
    <cellStyle name="Normal 8 5 2 2 4" xfId="17959" xr:uid="{DD9C0229-DE38-42DA-B5A7-311602A48307}"/>
    <cellStyle name="Normal 8 5 2 2 5" xfId="9518" xr:uid="{F6E32F5E-BF47-4368-BA01-3610C72E8A47}"/>
    <cellStyle name="Normal 8 5 2 3" xfId="1392" xr:uid="{00000000-0005-0000-0000-0000251E0000}"/>
    <cellStyle name="Normal 8 5 2 3 2" xfId="3622" xr:uid="{00000000-0005-0000-0000-0000261E0000}"/>
    <cellStyle name="Normal 8 5 2 3 2 2" xfId="7844" xr:uid="{00000000-0005-0000-0000-0000271E0000}"/>
    <cellStyle name="Normal 8 5 2 3 2 2 2" xfId="24735" xr:uid="{68D887AD-52D1-48B7-AA24-A84776A2D433}"/>
    <cellStyle name="Normal 8 5 2 3 2 2 3" xfId="16294" xr:uid="{1D7FC6AF-E51F-49EC-A083-0B08048A9F2F}"/>
    <cellStyle name="Normal 8 5 2 3 2 3" xfId="20517" xr:uid="{DC902BFD-CB4D-4E5B-BD06-FE28441F630D}"/>
    <cellStyle name="Normal 8 5 2 3 2 4" xfId="12076" xr:uid="{5FBAE2D4-39CD-4191-81D8-C4103F2A2B1B}"/>
    <cellStyle name="Normal 8 5 2 3 3" xfId="5699" xr:uid="{00000000-0005-0000-0000-0000281E0000}"/>
    <cellStyle name="Normal 8 5 2 3 3 2" xfId="22590" xr:uid="{7C76840E-4E41-4078-9CE9-B61B6D99444A}"/>
    <cellStyle name="Normal 8 5 2 3 3 3" xfId="14149" xr:uid="{ADB6CC1B-F15F-4CA7-8FF8-B5B605E52F21}"/>
    <cellStyle name="Normal 8 5 2 3 4" xfId="18372" xr:uid="{F532FAA6-E5EA-4F78-A908-89D47C60E8B8}"/>
    <cellStyle name="Normal 8 5 2 3 5" xfId="9931" xr:uid="{6B95D259-5DFC-4938-A060-0ABC45312C37}"/>
    <cellStyle name="Normal 8 5 2 4" xfId="1805" xr:uid="{00000000-0005-0000-0000-0000291E0000}"/>
    <cellStyle name="Normal 8 5 2 4 2" xfId="4035" xr:uid="{00000000-0005-0000-0000-00002A1E0000}"/>
    <cellStyle name="Normal 8 5 2 4 2 2" xfId="8257" xr:uid="{00000000-0005-0000-0000-00002B1E0000}"/>
    <cellStyle name="Normal 8 5 2 4 2 2 2" xfId="25148" xr:uid="{EFE1335F-F19B-4CC0-B0E9-8B0C6A325327}"/>
    <cellStyle name="Normal 8 5 2 4 2 2 3" xfId="16707" xr:uid="{141D5D53-6084-4DEE-B931-B60880E2D6DF}"/>
    <cellStyle name="Normal 8 5 2 4 2 3" xfId="20930" xr:uid="{629F575D-0CE2-4C93-B740-BCD19A944148}"/>
    <cellStyle name="Normal 8 5 2 4 2 4" xfId="12489" xr:uid="{CEBFDD47-2F9C-4C41-92ED-5964E95D8256}"/>
    <cellStyle name="Normal 8 5 2 4 3" xfId="6112" xr:uid="{00000000-0005-0000-0000-00002C1E0000}"/>
    <cellStyle name="Normal 8 5 2 4 3 2" xfId="23003" xr:uid="{F38B521C-3FB1-4F82-B3DC-EC67283E50B7}"/>
    <cellStyle name="Normal 8 5 2 4 3 3" xfId="14562" xr:uid="{8672BFDB-72EC-40FB-B02B-8EC613EA065E}"/>
    <cellStyle name="Normal 8 5 2 4 4" xfId="18785" xr:uid="{7BA66985-A315-40D8-A143-82E797A44245}"/>
    <cellStyle name="Normal 8 5 2 4 5" xfId="10344" xr:uid="{EC6BE745-E3F6-4149-9C2B-7F902DB0C76A}"/>
    <cellStyle name="Normal 8 5 2 5" xfId="2219" xr:uid="{00000000-0005-0000-0000-00002D1E0000}"/>
    <cellStyle name="Normal 8 5 2 5 2" xfId="4448" xr:uid="{00000000-0005-0000-0000-00002E1E0000}"/>
    <cellStyle name="Normal 8 5 2 5 2 2" xfId="8670" xr:uid="{00000000-0005-0000-0000-00002F1E0000}"/>
    <cellStyle name="Normal 8 5 2 5 2 2 2" xfId="25561" xr:uid="{2DFBD104-7F39-4EC5-BA9F-C0E752E28E30}"/>
    <cellStyle name="Normal 8 5 2 5 2 2 3" xfId="17120" xr:uid="{7F9DE4A8-6C1E-4375-B9FD-084AC9A5C1CA}"/>
    <cellStyle name="Normal 8 5 2 5 2 3" xfId="21343" xr:uid="{A72C25CB-6A90-4E88-8909-9FF8C3AA99EF}"/>
    <cellStyle name="Normal 8 5 2 5 2 4" xfId="12902" xr:uid="{4614BF60-7D23-473D-A8BD-84A00A19EB13}"/>
    <cellStyle name="Normal 8 5 2 5 3" xfId="6525" xr:uid="{00000000-0005-0000-0000-0000301E0000}"/>
    <cellStyle name="Normal 8 5 2 5 3 2" xfId="23416" xr:uid="{6862864D-0529-4CEB-8B63-5404E28B9F3A}"/>
    <cellStyle name="Normal 8 5 2 5 3 3" xfId="14975" xr:uid="{C31D5786-1EB8-4B95-A83C-1461E796AEDD}"/>
    <cellStyle name="Normal 8 5 2 5 4" xfId="19198" xr:uid="{1C394E4B-B914-4F57-ABC8-3C86E27BA693}"/>
    <cellStyle name="Normal 8 5 2 5 5" xfId="10757" xr:uid="{84997D4A-4880-4B3C-87B6-6607C036C395}"/>
    <cellStyle name="Normal 8 5 2 6" xfId="2655" xr:uid="{00000000-0005-0000-0000-0000311E0000}"/>
    <cellStyle name="Normal 8 5 2 6 2" xfId="6938" xr:uid="{00000000-0005-0000-0000-0000321E0000}"/>
    <cellStyle name="Normal 8 5 2 6 2 2" xfId="23829" xr:uid="{F3B4E3E3-604D-4F4B-8507-6C5A3E43672A}"/>
    <cellStyle name="Normal 8 5 2 6 2 3" xfId="15388" xr:uid="{54D89B0D-6979-4F6D-9C16-16BCBFB3A6D1}"/>
    <cellStyle name="Normal 8 5 2 6 3" xfId="19611" xr:uid="{4657C7CF-10D8-4997-9C8F-474A188511A7}"/>
    <cellStyle name="Normal 8 5 2 6 4" xfId="11170" xr:uid="{376001A0-A7B5-434B-A017-3AA8CE7791D9}"/>
    <cellStyle name="Normal 8 5 2 7" xfId="4873" xr:uid="{00000000-0005-0000-0000-0000331E0000}"/>
    <cellStyle name="Normal 8 5 2 7 2" xfId="21764" xr:uid="{10122181-096F-486C-823E-878D9B23C038}"/>
    <cellStyle name="Normal 8 5 2 7 3" xfId="13323" xr:uid="{8C6D874C-CE40-4EB9-BCCC-913D105BE68E}"/>
    <cellStyle name="Normal 8 5 2 8" xfId="17546" xr:uid="{761844EF-DD27-4AC3-A719-3F76F183B8F0}"/>
    <cellStyle name="Normal 8 5 2 9" xfId="9105" xr:uid="{CC58884B-CF49-4373-8A76-3D72558FAC32}"/>
    <cellStyle name="Normal 8 5 3" xfId="974" xr:uid="{00000000-0005-0000-0000-0000341E0000}"/>
    <cellStyle name="Normal 8 5 3 2" xfId="3208" xr:uid="{00000000-0005-0000-0000-0000351E0000}"/>
    <cellStyle name="Normal 8 5 3 2 2" xfId="7430" xr:uid="{00000000-0005-0000-0000-0000361E0000}"/>
    <cellStyle name="Normal 8 5 3 2 2 2" xfId="24321" xr:uid="{7CE0FF57-E54B-4A37-8008-AE3292B0F611}"/>
    <cellStyle name="Normal 8 5 3 2 2 3" xfId="15880" xr:uid="{44429FBC-10F7-42E1-83C3-D70A08BE3D08}"/>
    <cellStyle name="Normal 8 5 3 2 3" xfId="20103" xr:uid="{57823245-8F70-4E94-9800-D2E3314926F4}"/>
    <cellStyle name="Normal 8 5 3 2 4" xfId="11662" xr:uid="{CC11168E-A0DF-4EE8-89BC-66975EC54292}"/>
    <cellStyle name="Normal 8 5 3 3" xfId="5285" xr:uid="{00000000-0005-0000-0000-0000371E0000}"/>
    <cellStyle name="Normal 8 5 3 3 2" xfId="22176" xr:uid="{5D9FD707-E55B-46B8-A4EB-EC563F003014}"/>
    <cellStyle name="Normal 8 5 3 3 3" xfId="13735" xr:uid="{F5C1DEA2-9574-4400-ADDA-70A11CFE5308}"/>
    <cellStyle name="Normal 8 5 3 4" xfId="17958" xr:uid="{AE9C78A7-8848-405C-9672-8069E200E2D4}"/>
    <cellStyle name="Normal 8 5 3 5" xfId="9517" xr:uid="{2EFAB0AB-B7CF-4816-9338-42765458A138}"/>
    <cellStyle name="Normal 8 5 4" xfId="1391" xr:uid="{00000000-0005-0000-0000-0000381E0000}"/>
    <cellStyle name="Normal 8 5 4 2" xfId="3621" xr:uid="{00000000-0005-0000-0000-0000391E0000}"/>
    <cellStyle name="Normal 8 5 4 2 2" xfId="7843" xr:uid="{00000000-0005-0000-0000-00003A1E0000}"/>
    <cellStyle name="Normal 8 5 4 2 2 2" xfId="24734" xr:uid="{52FC1012-79AB-4B23-BA73-911C9B0C5C71}"/>
    <cellStyle name="Normal 8 5 4 2 2 3" xfId="16293" xr:uid="{26CBBD89-0D23-4814-B4BF-3FFDBC70BE66}"/>
    <cellStyle name="Normal 8 5 4 2 3" xfId="20516" xr:uid="{A33491B7-E7C8-495F-80AC-36A8BFE59831}"/>
    <cellStyle name="Normal 8 5 4 2 4" xfId="12075" xr:uid="{298432FB-545A-41D2-A4C7-BB25EE7EBA6F}"/>
    <cellStyle name="Normal 8 5 4 3" xfId="5698" xr:uid="{00000000-0005-0000-0000-00003B1E0000}"/>
    <cellStyle name="Normal 8 5 4 3 2" xfId="22589" xr:uid="{4F6A8B1C-3040-4889-A719-891AD0DB14B9}"/>
    <cellStyle name="Normal 8 5 4 3 3" xfId="14148" xr:uid="{8CA2606B-348E-494B-A651-F4FEBC757228}"/>
    <cellStyle name="Normal 8 5 4 4" xfId="18371" xr:uid="{D831E04B-57AC-4925-AB14-038F45AF10BC}"/>
    <cellStyle name="Normal 8 5 4 5" xfId="9930" xr:uid="{15617876-AF95-413A-898E-E0337BAD7568}"/>
    <cellStyle name="Normal 8 5 5" xfId="1804" xr:uid="{00000000-0005-0000-0000-00003C1E0000}"/>
    <cellStyle name="Normal 8 5 5 2" xfId="4034" xr:uid="{00000000-0005-0000-0000-00003D1E0000}"/>
    <cellStyle name="Normal 8 5 5 2 2" xfId="8256" xr:uid="{00000000-0005-0000-0000-00003E1E0000}"/>
    <cellStyle name="Normal 8 5 5 2 2 2" xfId="25147" xr:uid="{84FC9E17-9F60-480F-8CA3-B1680787B60D}"/>
    <cellStyle name="Normal 8 5 5 2 2 3" xfId="16706" xr:uid="{C36DCBA7-B0F6-49DB-9DD1-E46BCC638EF4}"/>
    <cellStyle name="Normal 8 5 5 2 3" xfId="20929" xr:uid="{5264CD95-E2F9-4B33-9DAC-4223618B91B4}"/>
    <cellStyle name="Normal 8 5 5 2 4" xfId="12488" xr:uid="{AFCDDF74-6DFF-469B-99EB-FDBE31EAB65D}"/>
    <cellStyle name="Normal 8 5 5 3" xfId="6111" xr:uid="{00000000-0005-0000-0000-00003F1E0000}"/>
    <cellStyle name="Normal 8 5 5 3 2" xfId="23002" xr:uid="{4E5D81E2-AEA0-4BD1-9F90-2002C37EC3E0}"/>
    <cellStyle name="Normal 8 5 5 3 3" xfId="14561" xr:uid="{C7B940CF-AB8E-430A-B656-5BF13BD0D8F9}"/>
    <cellStyle name="Normal 8 5 5 4" xfId="18784" xr:uid="{31E8CB1C-4694-4690-8E66-67023485F77E}"/>
    <cellStyle name="Normal 8 5 5 5" xfId="10343" xr:uid="{F2168FF4-D4F1-4D6B-80FD-3DB9393491AB}"/>
    <cellStyle name="Normal 8 5 6" xfId="2218" xr:uid="{00000000-0005-0000-0000-0000401E0000}"/>
    <cellStyle name="Normal 8 5 6 2" xfId="4447" xr:uid="{00000000-0005-0000-0000-0000411E0000}"/>
    <cellStyle name="Normal 8 5 6 2 2" xfId="8669" xr:uid="{00000000-0005-0000-0000-0000421E0000}"/>
    <cellStyle name="Normal 8 5 6 2 2 2" xfId="25560" xr:uid="{590AE305-ABCC-425C-A4FE-9BD3EF8114DA}"/>
    <cellStyle name="Normal 8 5 6 2 2 3" xfId="17119" xr:uid="{F6520C0E-546D-4B7B-BF66-B035FAA93697}"/>
    <cellStyle name="Normal 8 5 6 2 3" xfId="21342" xr:uid="{87207F8D-CA8A-4F85-AADB-F9C8C223B9D3}"/>
    <cellStyle name="Normal 8 5 6 2 4" xfId="12901" xr:uid="{9781AA9E-8A3D-40EA-8BB5-191F88DB9B84}"/>
    <cellStyle name="Normal 8 5 6 3" xfId="6524" xr:uid="{00000000-0005-0000-0000-0000431E0000}"/>
    <cellStyle name="Normal 8 5 6 3 2" xfId="23415" xr:uid="{84EB9D4E-BF51-4559-BDB0-BC241763F52B}"/>
    <cellStyle name="Normal 8 5 6 3 3" xfId="14974" xr:uid="{2FD64547-5923-4597-904C-0E7E7818E34C}"/>
    <cellStyle name="Normal 8 5 6 4" xfId="19197" xr:uid="{75D22EEB-EF80-41A6-B6C4-29B0C4C8FFFB}"/>
    <cellStyle name="Normal 8 5 6 5" xfId="10756" xr:uid="{38306F7B-6C9C-4787-B517-DB47B1C1F6EC}"/>
    <cellStyle name="Normal 8 5 7" xfId="2654" xr:uid="{00000000-0005-0000-0000-0000441E0000}"/>
    <cellStyle name="Normal 8 5 7 2" xfId="6937" xr:uid="{00000000-0005-0000-0000-0000451E0000}"/>
    <cellStyle name="Normal 8 5 7 2 2" xfId="23828" xr:uid="{B4D08851-19D1-48C9-BBFD-483D76D48058}"/>
    <cellStyle name="Normal 8 5 7 2 3" xfId="15387" xr:uid="{5B1DA973-7796-479A-93B3-CC28010935FA}"/>
    <cellStyle name="Normal 8 5 7 3" xfId="19610" xr:uid="{C39792AD-3FA7-4C5C-9807-E7DDD926F8E6}"/>
    <cellStyle name="Normal 8 5 7 4" xfId="11169" xr:uid="{F2BB17FC-45D2-4FFB-B7CB-15F391B7FC63}"/>
    <cellStyle name="Normal 8 5 8" xfId="4872" xr:uid="{00000000-0005-0000-0000-0000461E0000}"/>
    <cellStyle name="Normal 8 5 8 2" xfId="21763" xr:uid="{0670E7B3-94BC-4062-9C6F-14B9FF1D446E}"/>
    <cellStyle name="Normal 8 5 8 3" xfId="13322" xr:uid="{1C04E33D-7C73-4057-B1A5-7E0AC0867DCD}"/>
    <cellStyle name="Normal 8 5 9" xfId="17545" xr:uid="{6555DC92-D305-41E8-8979-61AC885ABC6B}"/>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2 2 2" xfId="24323" xr:uid="{D0CD7EC4-6AAB-41E4-867C-ECD97CA28E83}"/>
    <cellStyle name="Normal 8 6 2 2 2 3" xfId="15882" xr:uid="{8AB6439E-7C2C-44A7-BA2F-92BD366C9DCE}"/>
    <cellStyle name="Normal 8 6 2 2 3" xfId="20105" xr:uid="{5EC651AF-B69B-40A6-A15B-18EEF872A246}"/>
    <cellStyle name="Normal 8 6 2 2 4" xfId="11664" xr:uid="{15AC7C69-2A6F-4B95-882B-66BBBC138179}"/>
    <cellStyle name="Normal 8 6 2 3" xfId="5287" xr:uid="{00000000-0005-0000-0000-00004B1E0000}"/>
    <cellStyle name="Normal 8 6 2 3 2" xfId="22178" xr:uid="{09A9AF55-6987-432F-8BEB-ACEA03E8FAC5}"/>
    <cellStyle name="Normal 8 6 2 3 3" xfId="13737" xr:uid="{BF2A788D-C526-462D-AB41-A5B613F81843}"/>
    <cellStyle name="Normal 8 6 2 4" xfId="17960" xr:uid="{08CAB852-083B-44FA-8A11-204935E4DC4F}"/>
    <cellStyle name="Normal 8 6 2 5" xfId="9519" xr:uid="{B013BF8A-46E5-4812-8E33-45387092BDA1}"/>
    <cellStyle name="Normal 8 6 3" xfId="1393" xr:uid="{00000000-0005-0000-0000-00004C1E0000}"/>
    <cellStyle name="Normal 8 6 3 2" xfId="3623" xr:uid="{00000000-0005-0000-0000-00004D1E0000}"/>
    <cellStyle name="Normal 8 6 3 2 2" xfId="7845" xr:uid="{00000000-0005-0000-0000-00004E1E0000}"/>
    <cellStyle name="Normal 8 6 3 2 2 2" xfId="24736" xr:uid="{67B9E8A8-1239-4198-B188-173208350729}"/>
    <cellStyle name="Normal 8 6 3 2 2 3" xfId="16295" xr:uid="{49F455BC-F9C1-4D8D-9E0A-226483F804D0}"/>
    <cellStyle name="Normal 8 6 3 2 3" xfId="20518" xr:uid="{F113D2B5-833B-4451-AC75-7720E5AD3782}"/>
    <cellStyle name="Normal 8 6 3 2 4" xfId="12077" xr:uid="{FB612632-0296-4589-975F-3FB6B143AC43}"/>
    <cellStyle name="Normal 8 6 3 3" xfId="5700" xr:uid="{00000000-0005-0000-0000-00004F1E0000}"/>
    <cellStyle name="Normal 8 6 3 3 2" xfId="22591" xr:uid="{5A4270BA-14F5-44FD-BBA1-CF4A28238BC1}"/>
    <cellStyle name="Normal 8 6 3 3 3" xfId="14150" xr:uid="{238D1A0C-1072-4672-867D-84B8B886AE4C}"/>
    <cellStyle name="Normal 8 6 3 4" xfId="18373" xr:uid="{EAE104E7-53B3-4975-9102-86BADCD839EE}"/>
    <cellStyle name="Normal 8 6 3 5" xfId="9932" xr:uid="{A5FFFEEC-37CB-41B0-BE44-1D526F23FF6B}"/>
    <cellStyle name="Normal 8 6 4" xfId="1806" xr:uid="{00000000-0005-0000-0000-0000501E0000}"/>
    <cellStyle name="Normal 8 6 4 2" xfId="4036" xr:uid="{00000000-0005-0000-0000-0000511E0000}"/>
    <cellStyle name="Normal 8 6 4 2 2" xfId="8258" xr:uid="{00000000-0005-0000-0000-0000521E0000}"/>
    <cellStyle name="Normal 8 6 4 2 2 2" xfId="25149" xr:uid="{BB5C0DE2-33CC-4887-8C47-CE93A651582D}"/>
    <cellStyle name="Normal 8 6 4 2 2 3" xfId="16708" xr:uid="{744261B6-AB0C-4378-AB76-CE1294746C15}"/>
    <cellStyle name="Normal 8 6 4 2 3" xfId="20931" xr:uid="{BB6798F2-1CA8-4663-8F2F-F9BE2E5649EC}"/>
    <cellStyle name="Normal 8 6 4 2 4" xfId="12490" xr:uid="{B3AA69F4-B3CB-4E6B-A550-83DD39858569}"/>
    <cellStyle name="Normal 8 6 4 3" xfId="6113" xr:uid="{00000000-0005-0000-0000-0000531E0000}"/>
    <cellStyle name="Normal 8 6 4 3 2" xfId="23004" xr:uid="{98883662-1E06-43E1-BDCB-02A1BE7A49F0}"/>
    <cellStyle name="Normal 8 6 4 3 3" xfId="14563" xr:uid="{3D67B126-A801-4FB8-BDB8-42105B8D5382}"/>
    <cellStyle name="Normal 8 6 4 4" xfId="18786" xr:uid="{FDAE959B-8383-4B5E-B354-DCA32416A830}"/>
    <cellStyle name="Normal 8 6 4 5" xfId="10345" xr:uid="{213D7F3C-86BE-4E4A-A835-EFB80178C7DD}"/>
    <cellStyle name="Normal 8 6 5" xfId="2220" xr:uid="{00000000-0005-0000-0000-0000541E0000}"/>
    <cellStyle name="Normal 8 6 5 2" xfId="4449" xr:uid="{00000000-0005-0000-0000-0000551E0000}"/>
    <cellStyle name="Normal 8 6 5 2 2" xfId="8671" xr:uid="{00000000-0005-0000-0000-0000561E0000}"/>
    <cellStyle name="Normal 8 6 5 2 2 2" xfId="25562" xr:uid="{74454F85-21F5-4DFE-AF06-280CB604DD14}"/>
    <cellStyle name="Normal 8 6 5 2 2 3" xfId="17121" xr:uid="{8E97C459-2D1A-40A8-B572-09AB6A234F56}"/>
    <cellStyle name="Normal 8 6 5 2 3" xfId="21344" xr:uid="{03C25125-D026-4B78-9CDF-CE6C8DDAF5A0}"/>
    <cellStyle name="Normal 8 6 5 2 4" xfId="12903" xr:uid="{06CB34B5-8E2C-4B64-A4D9-296B25BDCC3A}"/>
    <cellStyle name="Normal 8 6 5 3" xfId="6526" xr:uid="{00000000-0005-0000-0000-0000571E0000}"/>
    <cellStyle name="Normal 8 6 5 3 2" xfId="23417" xr:uid="{B10F8575-C368-4793-AD5E-5BC92F61DE60}"/>
    <cellStyle name="Normal 8 6 5 3 3" xfId="14976" xr:uid="{C1B42A88-1A2D-4BCD-A3BC-C4C0FAA0E7C0}"/>
    <cellStyle name="Normal 8 6 5 4" xfId="19199" xr:uid="{502D8B72-27A0-492E-82E6-FD1084FA284C}"/>
    <cellStyle name="Normal 8 6 5 5" xfId="10758" xr:uid="{F7F6632C-699C-4A12-9101-3E8D1C2640E8}"/>
    <cellStyle name="Normal 8 6 6" xfId="2656" xr:uid="{00000000-0005-0000-0000-0000581E0000}"/>
    <cellStyle name="Normal 8 6 6 2" xfId="6939" xr:uid="{00000000-0005-0000-0000-0000591E0000}"/>
    <cellStyle name="Normal 8 6 6 2 2" xfId="23830" xr:uid="{07249378-9E64-42CA-B550-6E36C61D9D75}"/>
    <cellStyle name="Normal 8 6 6 2 3" xfId="15389" xr:uid="{0D727803-0D3F-4019-9D4C-33368FD098AA}"/>
    <cellStyle name="Normal 8 6 6 3" xfId="19612" xr:uid="{825A1AED-5C91-484C-8137-216DB3B8CAF4}"/>
    <cellStyle name="Normal 8 6 6 4" xfId="11171" xr:uid="{FFE707E3-0879-4482-9929-8D5643DDB267}"/>
    <cellStyle name="Normal 8 6 7" xfId="4874" xr:uid="{00000000-0005-0000-0000-00005A1E0000}"/>
    <cellStyle name="Normal 8 6 7 2" xfId="21765" xr:uid="{FF14D15A-A8BA-47BE-8D36-4794F7A6C491}"/>
    <cellStyle name="Normal 8 6 7 3" xfId="13324" xr:uid="{6B7BB387-3363-46D8-B524-2F9049F11388}"/>
    <cellStyle name="Normal 8 6 8" xfId="17547" xr:uid="{FDCEAEDC-12FE-416E-B014-57E4A615E0D7}"/>
    <cellStyle name="Normal 8 6 9" xfId="9106" xr:uid="{4D20EE80-CFBD-4A00-826A-277399736AA3}"/>
    <cellStyle name="Normal 8 7" xfId="945" xr:uid="{00000000-0005-0000-0000-00005B1E0000}"/>
    <cellStyle name="Normal 8 7 2" xfId="3179" xr:uid="{00000000-0005-0000-0000-00005C1E0000}"/>
    <cellStyle name="Normal 8 7 2 2" xfId="7401" xr:uid="{00000000-0005-0000-0000-00005D1E0000}"/>
    <cellStyle name="Normal 8 7 2 2 2" xfId="24292" xr:uid="{C935AEC4-21C3-4385-9CEB-7487CE9C3FBA}"/>
    <cellStyle name="Normal 8 7 2 2 3" xfId="15851" xr:uid="{40FD81D5-07F3-4CF1-A9FB-5968ADB6ABB1}"/>
    <cellStyle name="Normal 8 7 2 3" xfId="20074" xr:uid="{7CFD57A2-9FCF-4022-BA80-80A7324812FC}"/>
    <cellStyle name="Normal 8 7 2 4" xfId="11633" xr:uid="{2F954BD6-1110-4868-96DF-D4B503C033B7}"/>
    <cellStyle name="Normal 8 7 3" xfId="5256" xr:uid="{00000000-0005-0000-0000-00005E1E0000}"/>
    <cellStyle name="Normal 8 7 3 2" xfId="22147" xr:uid="{F578213D-B49F-4E14-8FE8-5C3496280325}"/>
    <cellStyle name="Normal 8 7 3 3" xfId="13706" xr:uid="{87B68AD5-FCCA-4A06-9A70-E5917FBD0D42}"/>
    <cellStyle name="Normal 8 7 4" xfId="17929" xr:uid="{C1F0C48D-2D48-474B-A03E-196E33C6837D}"/>
    <cellStyle name="Normal 8 7 5" xfId="9488" xr:uid="{24B994B5-B620-4D3F-BC34-DDE3B87DC0F4}"/>
    <cellStyle name="Normal 8 8" xfId="1362" xr:uid="{00000000-0005-0000-0000-00005F1E0000}"/>
    <cellStyle name="Normal 8 8 2" xfId="3592" xr:uid="{00000000-0005-0000-0000-0000601E0000}"/>
    <cellStyle name="Normal 8 8 2 2" xfId="7814" xr:uid="{00000000-0005-0000-0000-0000611E0000}"/>
    <cellStyle name="Normal 8 8 2 2 2" xfId="24705" xr:uid="{BF1E6127-0428-4E62-A752-C951F1C32D61}"/>
    <cellStyle name="Normal 8 8 2 2 3" xfId="16264" xr:uid="{861AB8A4-B6B7-418C-827C-407BB5E66231}"/>
    <cellStyle name="Normal 8 8 2 3" xfId="20487" xr:uid="{1C6ACD50-D806-42A2-AC33-55F371495FAD}"/>
    <cellStyle name="Normal 8 8 2 4" xfId="12046" xr:uid="{B3DF28D1-A7C1-4174-80AF-31A394F74B07}"/>
    <cellStyle name="Normal 8 8 3" xfId="5669" xr:uid="{00000000-0005-0000-0000-0000621E0000}"/>
    <cellStyle name="Normal 8 8 3 2" xfId="22560" xr:uid="{CC8E84D9-6D79-413C-8744-53328F3327B3}"/>
    <cellStyle name="Normal 8 8 3 3" xfId="14119" xr:uid="{25F991BC-3451-48B9-884C-EDF65CCD10D6}"/>
    <cellStyle name="Normal 8 8 4" xfId="18342" xr:uid="{A1FC8E69-E82D-4AEE-B360-B40702DA1A5C}"/>
    <cellStyle name="Normal 8 8 5" xfId="9901" xr:uid="{DA3F7FA3-89A2-4FE4-8FAA-20C265804F40}"/>
    <cellStyle name="Normal 8 9" xfId="1775" xr:uid="{00000000-0005-0000-0000-0000631E0000}"/>
    <cellStyle name="Normal 8 9 2" xfId="4005" xr:uid="{00000000-0005-0000-0000-0000641E0000}"/>
    <cellStyle name="Normal 8 9 2 2" xfId="8227" xr:uid="{00000000-0005-0000-0000-0000651E0000}"/>
    <cellStyle name="Normal 8 9 2 2 2" xfId="25118" xr:uid="{1A7EB216-E2A6-4D7C-AD5E-1BC50D225FB7}"/>
    <cellStyle name="Normal 8 9 2 2 3" xfId="16677" xr:uid="{4D5D14E3-5C04-43D4-A11D-7BAFE9AC9824}"/>
    <cellStyle name="Normal 8 9 2 3" xfId="20900" xr:uid="{5C8E7E50-5AAB-484C-A4D4-8345BDA51DF6}"/>
    <cellStyle name="Normal 8 9 2 4" xfId="12459" xr:uid="{D496348C-7579-40DA-B8AA-7A94E31C058B}"/>
    <cellStyle name="Normal 8 9 3" xfId="6082" xr:uid="{00000000-0005-0000-0000-0000661E0000}"/>
    <cellStyle name="Normal 8 9 3 2" xfId="22973" xr:uid="{877BFB35-81A6-4049-9401-FD9478A84009}"/>
    <cellStyle name="Normal 8 9 3 3" xfId="14532" xr:uid="{F6252309-B909-460B-B733-330D99BA051B}"/>
    <cellStyle name="Normal 8 9 4" xfId="18755" xr:uid="{B926A4B7-A522-4B11-8519-754807603BB3}"/>
    <cellStyle name="Normal 8 9 5" xfId="10314" xr:uid="{BFCB947E-C27E-4064-A306-39C7A1B05F9E}"/>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0 2 2" xfId="23831" xr:uid="{C7AEC4BA-FB8A-4337-A3B0-A2CD48BE2C69}"/>
    <cellStyle name="Normal 9 2 10 2 3" xfId="15390" xr:uid="{A38C235F-749D-4ABA-B4B4-A36290418414}"/>
    <cellStyle name="Normal 9 2 10 3" xfId="19613" xr:uid="{4D141FDA-69F0-4A04-B50C-7A3A9A53351A}"/>
    <cellStyle name="Normal 9 2 10 4" xfId="11172" xr:uid="{6CF20D1B-C0AC-4C4C-83A3-F9B10DBE76BF}"/>
    <cellStyle name="Normal 9 2 11" xfId="4875" xr:uid="{00000000-0005-0000-0000-00006B1E0000}"/>
    <cellStyle name="Normal 9 2 11 2" xfId="21766" xr:uid="{EEC144C3-B289-48AF-9F98-12334E22EBDC}"/>
    <cellStyle name="Normal 9 2 11 3" xfId="13325" xr:uid="{915F67A3-9F38-4D36-8EA4-4D378E3C549D}"/>
    <cellStyle name="Normal 9 2 12" xfId="17548" xr:uid="{68B271DD-015C-458C-8A9B-17F1CFC70DF7}"/>
    <cellStyle name="Normal 9 2 13" xfId="9107" xr:uid="{93BC8F61-F05D-4D1D-9D34-1683B64BEB28}"/>
    <cellStyle name="Normal 9 2 2" xfId="512" xr:uid="{00000000-0005-0000-0000-00006C1E0000}"/>
    <cellStyle name="Normal 9 2 2 10" xfId="4876" xr:uid="{00000000-0005-0000-0000-00006D1E0000}"/>
    <cellStyle name="Normal 9 2 2 10 2" xfId="21767" xr:uid="{68395BF2-26B7-4DA4-95A7-3BA563299982}"/>
    <cellStyle name="Normal 9 2 2 10 3" xfId="13326" xr:uid="{B37C3DED-CE90-401A-86E8-6F0965B25707}"/>
    <cellStyle name="Normal 9 2 2 11" xfId="17549" xr:uid="{5A7068DA-EFA2-4581-84C7-BDFE2FB0F04F}"/>
    <cellStyle name="Normal 9 2 2 12" xfId="9108" xr:uid="{01A1F255-8D2B-4095-BE63-0F98065B8554}"/>
    <cellStyle name="Normal 9 2 2 2" xfId="513" xr:uid="{00000000-0005-0000-0000-00006E1E0000}"/>
    <cellStyle name="Normal 9 2 2 2 10" xfId="17550" xr:uid="{8DE81EB4-86A8-4FDD-991C-880C0F6DB71A}"/>
    <cellStyle name="Normal 9 2 2 2 11" xfId="9109" xr:uid="{1BDD7544-3ACE-4EAB-81A5-37BCE8106FF1}"/>
    <cellStyle name="Normal 9 2 2 2 2" xfId="514" xr:uid="{00000000-0005-0000-0000-00006F1E0000}"/>
    <cellStyle name="Normal 9 2 2 2 2 10" xfId="9110" xr:uid="{6915F156-2072-4ED1-AF63-88638FA2AD5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2 2 2" xfId="24328" xr:uid="{DBB73D7E-2BCF-46B0-9602-674E312F8DE8}"/>
    <cellStyle name="Normal 9 2 2 2 2 2 2 2 2 3" xfId="15887" xr:uid="{18858EF5-2BEC-4F69-961F-D55838CD5BD2}"/>
    <cellStyle name="Normal 9 2 2 2 2 2 2 2 3" xfId="20110" xr:uid="{07B5B6F1-CFAB-4B33-B6B9-AB20BEF8BF11}"/>
    <cellStyle name="Normal 9 2 2 2 2 2 2 2 4" xfId="11669" xr:uid="{28EA7F77-8330-4F34-82E1-DC1DC8ACDAAE}"/>
    <cellStyle name="Normal 9 2 2 2 2 2 2 3" xfId="5292" xr:uid="{00000000-0005-0000-0000-0000741E0000}"/>
    <cellStyle name="Normal 9 2 2 2 2 2 2 3 2" xfId="22183" xr:uid="{2B1C17B7-1476-414F-A593-7F69F7D544AC}"/>
    <cellStyle name="Normal 9 2 2 2 2 2 2 3 3" xfId="13742" xr:uid="{B31C8557-01D7-4E94-B56D-DF49405DD5F5}"/>
    <cellStyle name="Normal 9 2 2 2 2 2 2 4" xfId="17965" xr:uid="{B42623C3-8F54-4EFB-9004-027FDBB19932}"/>
    <cellStyle name="Normal 9 2 2 2 2 2 2 5" xfId="9524" xr:uid="{ED7C39BB-CAE3-4356-831E-BFFF2573E6AA}"/>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2 2 2" xfId="24741" xr:uid="{5218A1B0-5F21-4AD4-8102-79A4B0F33E3F}"/>
    <cellStyle name="Normal 9 2 2 2 2 2 3 2 2 3" xfId="16300" xr:uid="{BF859B7F-FF1B-40EE-9F2A-820671FF0040}"/>
    <cellStyle name="Normal 9 2 2 2 2 2 3 2 3" xfId="20523" xr:uid="{6E063D6F-61F2-4908-91DD-B889F711F450}"/>
    <cellStyle name="Normal 9 2 2 2 2 2 3 2 4" xfId="12082" xr:uid="{62B98DC0-B7A2-4C38-8BFB-B4C91351DDB4}"/>
    <cellStyle name="Normal 9 2 2 2 2 2 3 3" xfId="5705" xr:uid="{00000000-0005-0000-0000-0000781E0000}"/>
    <cellStyle name="Normal 9 2 2 2 2 2 3 3 2" xfId="22596" xr:uid="{1D18CB4C-7ED4-49F9-A23E-021E97A67917}"/>
    <cellStyle name="Normal 9 2 2 2 2 2 3 3 3" xfId="14155" xr:uid="{3C35E110-C3C1-4B4D-9AB7-006A0EC26B21}"/>
    <cellStyle name="Normal 9 2 2 2 2 2 3 4" xfId="18378" xr:uid="{5666F6B8-14AE-4E6B-9CB1-C4160BE5BAF8}"/>
    <cellStyle name="Normal 9 2 2 2 2 2 3 5" xfId="9937" xr:uid="{E814965C-A10E-49B5-8A7B-3CFF90AA6156}"/>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2 2 2" xfId="25154" xr:uid="{4FA674D5-8808-4517-8F55-F019A599B3E4}"/>
    <cellStyle name="Normal 9 2 2 2 2 2 4 2 2 3" xfId="16713" xr:uid="{B6CD7946-10E0-4419-ADBA-59CD8D1B3B43}"/>
    <cellStyle name="Normal 9 2 2 2 2 2 4 2 3" xfId="20936" xr:uid="{BE72CC35-29C3-42ED-B30F-3728DE1BB3CC}"/>
    <cellStyle name="Normal 9 2 2 2 2 2 4 2 4" xfId="12495" xr:uid="{5FE8CA73-ABAB-4D81-872F-B059F2875A19}"/>
    <cellStyle name="Normal 9 2 2 2 2 2 4 3" xfId="6118" xr:uid="{00000000-0005-0000-0000-00007C1E0000}"/>
    <cellStyle name="Normal 9 2 2 2 2 2 4 3 2" xfId="23009" xr:uid="{611C813B-80C3-472A-BFDE-AE7CE33F9F65}"/>
    <cellStyle name="Normal 9 2 2 2 2 2 4 3 3" xfId="14568" xr:uid="{577873FC-098C-4371-B36E-B19F5D8C6958}"/>
    <cellStyle name="Normal 9 2 2 2 2 2 4 4" xfId="18791" xr:uid="{82BEB75F-BF04-4BAE-AECB-6674A50BF59A}"/>
    <cellStyle name="Normal 9 2 2 2 2 2 4 5" xfId="10350" xr:uid="{D4B27722-7FD4-4E34-BA40-C61384681357}"/>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2 2 2" xfId="25567" xr:uid="{BDA0715A-F016-4091-89F3-ABAB8275A7C8}"/>
    <cellStyle name="Normal 9 2 2 2 2 2 5 2 2 3" xfId="17126" xr:uid="{314055ED-9186-4310-B34B-8B59B94CC3F4}"/>
    <cellStyle name="Normal 9 2 2 2 2 2 5 2 3" xfId="21349" xr:uid="{33B907A4-C32E-48F4-BC60-485D1516776F}"/>
    <cellStyle name="Normal 9 2 2 2 2 2 5 2 4" xfId="12908" xr:uid="{01EDC304-0867-49E5-A286-B3B9CFF12661}"/>
    <cellStyle name="Normal 9 2 2 2 2 2 5 3" xfId="6531" xr:uid="{00000000-0005-0000-0000-0000801E0000}"/>
    <cellStyle name="Normal 9 2 2 2 2 2 5 3 2" xfId="23422" xr:uid="{42B7C374-880D-45AA-A27B-81FB65BB1881}"/>
    <cellStyle name="Normal 9 2 2 2 2 2 5 3 3" xfId="14981" xr:uid="{3E15C409-FD49-4EE6-B91B-48FE9E847B9A}"/>
    <cellStyle name="Normal 9 2 2 2 2 2 5 4" xfId="19204" xr:uid="{30FB6785-8813-4259-9BC3-934A7C79B02F}"/>
    <cellStyle name="Normal 9 2 2 2 2 2 5 5" xfId="10763" xr:uid="{FFD670C3-91FD-4D28-99F0-FAD716A0261E}"/>
    <cellStyle name="Normal 9 2 2 2 2 2 6" xfId="2661" xr:uid="{00000000-0005-0000-0000-0000811E0000}"/>
    <cellStyle name="Normal 9 2 2 2 2 2 6 2" xfId="6944" xr:uid="{00000000-0005-0000-0000-0000821E0000}"/>
    <cellStyle name="Normal 9 2 2 2 2 2 6 2 2" xfId="23835" xr:uid="{816C7BE1-1303-4B6F-B6BB-B014889358AD}"/>
    <cellStyle name="Normal 9 2 2 2 2 2 6 2 3" xfId="15394" xr:uid="{5577AB42-F283-49BD-BBC8-FAFFD8BC2D18}"/>
    <cellStyle name="Normal 9 2 2 2 2 2 6 3" xfId="19617" xr:uid="{074FB415-3CBE-41C5-B71D-AC31D5F70AD3}"/>
    <cellStyle name="Normal 9 2 2 2 2 2 6 4" xfId="11176" xr:uid="{C70F1E6A-766F-4452-8A33-1D0D7FA38168}"/>
    <cellStyle name="Normal 9 2 2 2 2 2 7" xfId="4879" xr:uid="{00000000-0005-0000-0000-0000831E0000}"/>
    <cellStyle name="Normal 9 2 2 2 2 2 7 2" xfId="21770" xr:uid="{8109B649-83A9-4A48-BA86-D1817CDC0BE6}"/>
    <cellStyle name="Normal 9 2 2 2 2 2 7 3" xfId="13329" xr:uid="{2C222F6A-2073-4FCD-A1E4-ADA09EB4EF51}"/>
    <cellStyle name="Normal 9 2 2 2 2 2 8" xfId="17552" xr:uid="{A7C2EDB5-643F-4357-B86C-5A4E9CB6D79F}"/>
    <cellStyle name="Normal 9 2 2 2 2 2 9" xfId="9111" xr:uid="{E4A286EC-0067-4515-91AF-7EBE9423CBC3}"/>
    <cellStyle name="Normal 9 2 2 2 2 3" xfId="981" xr:uid="{00000000-0005-0000-0000-0000841E0000}"/>
    <cellStyle name="Normal 9 2 2 2 2 3 2" xfId="3214" xr:uid="{00000000-0005-0000-0000-0000851E0000}"/>
    <cellStyle name="Normal 9 2 2 2 2 3 2 2" xfId="7436" xr:uid="{00000000-0005-0000-0000-0000861E0000}"/>
    <cellStyle name="Normal 9 2 2 2 2 3 2 2 2" xfId="24327" xr:uid="{16A3AB22-22AB-4E65-A8AC-01C1984C8587}"/>
    <cellStyle name="Normal 9 2 2 2 2 3 2 2 3" xfId="15886" xr:uid="{FCC35057-C479-4C16-97CD-BC100EF85394}"/>
    <cellStyle name="Normal 9 2 2 2 2 3 2 3" xfId="20109" xr:uid="{EBDFDB71-E8F0-449B-9ED4-51D2CF782199}"/>
    <cellStyle name="Normal 9 2 2 2 2 3 2 4" xfId="11668" xr:uid="{D4444562-2CFF-4FCC-A670-493F05725C3F}"/>
    <cellStyle name="Normal 9 2 2 2 2 3 3" xfId="5291" xr:uid="{00000000-0005-0000-0000-0000871E0000}"/>
    <cellStyle name="Normal 9 2 2 2 2 3 3 2" xfId="22182" xr:uid="{E16C2DBE-BAB3-4451-9B8C-24105D0CA452}"/>
    <cellStyle name="Normal 9 2 2 2 2 3 3 3" xfId="13741" xr:uid="{1CDFABFD-0011-4D74-B581-FD909AE0DFFD}"/>
    <cellStyle name="Normal 9 2 2 2 2 3 4" xfId="17964" xr:uid="{01BC713C-2E80-4D66-97B3-1F05A18F7F20}"/>
    <cellStyle name="Normal 9 2 2 2 2 3 5" xfId="9523" xr:uid="{4A172318-3C5C-4004-AC68-E9D5BC5EED6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2 2 2" xfId="24740" xr:uid="{85D826C3-B7D3-4190-B3AA-987B6F360996}"/>
    <cellStyle name="Normal 9 2 2 2 2 4 2 2 3" xfId="16299" xr:uid="{2E4764A0-1A46-4434-A35F-44582F3AA814}"/>
    <cellStyle name="Normal 9 2 2 2 2 4 2 3" xfId="20522" xr:uid="{B76C3E21-A51A-4E19-8C8A-3B955A32DBB3}"/>
    <cellStyle name="Normal 9 2 2 2 2 4 2 4" xfId="12081" xr:uid="{4E8B7C99-EA9E-4743-A692-D13A6714B75F}"/>
    <cellStyle name="Normal 9 2 2 2 2 4 3" xfId="5704" xr:uid="{00000000-0005-0000-0000-00008B1E0000}"/>
    <cellStyle name="Normal 9 2 2 2 2 4 3 2" xfId="22595" xr:uid="{943E2ED5-BA6E-4C03-A111-04B010E73F3F}"/>
    <cellStyle name="Normal 9 2 2 2 2 4 3 3" xfId="14154" xr:uid="{F8823CF4-CFC5-4E6B-A2BF-FC9691067C8E}"/>
    <cellStyle name="Normal 9 2 2 2 2 4 4" xfId="18377" xr:uid="{EAB14B74-4272-4E01-AD2C-44922B6F6063}"/>
    <cellStyle name="Normal 9 2 2 2 2 4 5" xfId="9936" xr:uid="{D5CC4C51-5509-4073-911B-FB5E803888EE}"/>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2 2 2" xfId="25153" xr:uid="{3E3B7871-C888-4DE9-AA7B-D4B38B7CC939}"/>
    <cellStyle name="Normal 9 2 2 2 2 5 2 2 3" xfId="16712" xr:uid="{7A5B448B-7104-40E1-877C-2544C1AD025B}"/>
    <cellStyle name="Normal 9 2 2 2 2 5 2 3" xfId="20935" xr:uid="{E7060265-C17C-4765-BA6B-0497A7FE06C9}"/>
    <cellStyle name="Normal 9 2 2 2 2 5 2 4" xfId="12494" xr:uid="{E478C5E8-0EB3-4A33-AEB6-76A3F0FFEA90}"/>
    <cellStyle name="Normal 9 2 2 2 2 5 3" xfId="6117" xr:uid="{00000000-0005-0000-0000-00008F1E0000}"/>
    <cellStyle name="Normal 9 2 2 2 2 5 3 2" xfId="23008" xr:uid="{DFF339FA-CF4F-4AB0-B8D1-93820CAD4A8A}"/>
    <cellStyle name="Normal 9 2 2 2 2 5 3 3" xfId="14567" xr:uid="{2E98F5C9-F82E-4F2E-B309-A5C8826006A6}"/>
    <cellStyle name="Normal 9 2 2 2 2 5 4" xfId="18790" xr:uid="{9F7ECC52-78CC-4435-804E-0D3A86362C57}"/>
    <cellStyle name="Normal 9 2 2 2 2 5 5" xfId="10349" xr:uid="{6C7C4983-07FA-45C0-AB45-6B938A0201E7}"/>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2 2 2" xfId="25566" xr:uid="{D0338358-AFE0-479A-A92A-627DF7071201}"/>
    <cellStyle name="Normal 9 2 2 2 2 6 2 2 3" xfId="17125" xr:uid="{92FD22F5-6F79-4238-AA21-8B4884384E5A}"/>
    <cellStyle name="Normal 9 2 2 2 2 6 2 3" xfId="21348" xr:uid="{EEC0594D-852E-4BF8-A229-5B9118AA22A9}"/>
    <cellStyle name="Normal 9 2 2 2 2 6 2 4" xfId="12907" xr:uid="{3E92438F-85F1-47E2-AC9F-FAAF0D18F7FB}"/>
    <cellStyle name="Normal 9 2 2 2 2 6 3" xfId="6530" xr:uid="{00000000-0005-0000-0000-0000931E0000}"/>
    <cellStyle name="Normal 9 2 2 2 2 6 3 2" xfId="23421" xr:uid="{315E8AF6-0283-4144-BD4E-C89D805A62DB}"/>
    <cellStyle name="Normal 9 2 2 2 2 6 3 3" xfId="14980" xr:uid="{697028DE-5889-41B0-9E69-D30A4ECC9CF8}"/>
    <cellStyle name="Normal 9 2 2 2 2 6 4" xfId="19203" xr:uid="{A52106A6-1A34-43C5-8A63-EF0F924FB633}"/>
    <cellStyle name="Normal 9 2 2 2 2 6 5" xfId="10762" xr:uid="{EB9D39A6-4437-405E-9C75-B66E542AE82C}"/>
    <cellStyle name="Normal 9 2 2 2 2 7" xfId="2660" xr:uid="{00000000-0005-0000-0000-0000941E0000}"/>
    <cellStyle name="Normal 9 2 2 2 2 7 2" xfId="6943" xr:uid="{00000000-0005-0000-0000-0000951E0000}"/>
    <cellStyle name="Normal 9 2 2 2 2 7 2 2" xfId="23834" xr:uid="{E2E87D53-26EB-47FB-B3F7-E17ABB4B9D90}"/>
    <cellStyle name="Normal 9 2 2 2 2 7 2 3" xfId="15393" xr:uid="{6DA16F05-CB85-458B-B823-FA22B1B905F8}"/>
    <cellStyle name="Normal 9 2 2 2 2 7 3" xfId="19616" xr:uid="{61359C70-7640-4D16-A1BA-19FD9417BB3A}"/>
    <cellStyle name="Normal 9 2 2 2 2 7 4" xfId="11175" xr:uid="{45AD5009-3B65-4AB8-8800-B537D95192C5}"/>
    <cellStyle name="Normal 9 2 2 2 2 8" xfId="4878" xr:uid="{00000000-0005-0000-0000-0000961E0000}"/>
    <cellStyle name="Normal 9 2 2 2 2 8 2" xfId="21769" xr:uid="{593C83E9-84C1-46A1-9717-419D7F6AFDBB}"/>
    <cellStyle name="Normal 9 2 2 2 2 8 3" xfId="13328" xr:uid="{0A986BBD-50BA-40B1-AC0C-6A1BA9C04615}"/>
    <cellStyle name="Normal 9 2 2 2 2 9" xfId="17551" xr:uid="{515CB98F-C3EB-4CD4-8560-6C678F0E1CD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2 2 2" xfId="24329" xr:uid="{EEE11A5B-D14D-4747-B706-9EFC9D828DF7}"/>
    <cellStyle name="Normal 9 2 2 2 3 2 2 2 3" xfId="15888" xr:uid="{68C9DDE9-2CF0-4528-A8E8-F0182D8DA106}"/>
    <cellStyle name="Normal 9 2 2 2 3 2 2 3" xfId="20111" xr:uid="{910B9DED-0A96-49DD-AFAE-77FE05077292}"/>
    <cellStyle name="Normal 9 2 2 2 3 2 2 4" xfId="11670" xr:uid="{0100CC4C-357C-4252-A4F9-7672E4BE9EA2}"/>
    <cellStyle name="Normal 9 2 2 2 3 2 3" xfId="5293" xr:uid="{00000000-0005-0000-0000-00009B1E0000}"/>
    <cellStyle name="Normal 9 2 2 2 3 2 3 2" xfId="22184" xr:uid="{68316FE6-0543-4494-83F2-6E5A21F6F608}"/>
    <cellStyle name="Normal 9 2 2 2 3 2 3 3" xfId="13743" xr:uid="{05DEA89C-B2E2-4C7F-894C-85D8617CE4C4}"/>
    <cellStyle name="Normal 9 2 2 2 3 2 4" xfId="17966" xr:uid="{644C6F97-0FA2-49DD-897A-2B473AA4FE5A}"/>
    <cellStyle name="Normal 9 2 2 2 3 2 5" xfId="9525" xr:uid="{590CA616-1215-414D-96D4-4362857FFA11}"/>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2 2 2" xfId="24742" xr:uid="{E713627E-CBBD-4455-B6AB-7E0F83345BCE}"/>
    <cellStyle name="Normal 9 2 2 2 3 3 2 2 3" xfId="16301" xr:uid="{460CE444-765C-439B-95A5-BA9C68B02E98}"/>
    <cellStyle name="Normal 9 2 2 2 3 3 2 3" xfId="20524" xr:uid="{81F2254C-46A1-4326-992C-1CAE5ECA33EB}"/>
    <cellStyle name="Normal 9 2 2 2 3 3 2 4" xfId="12083" xr:uid="{171EDC16-C20B-4A33-9E4B-B8BF882B871C}"/>
    <cellStyle name="Normal 9 2 2 2 3 3 3" xfId="5706" xr:uid="{00000000-0005-0000-0000-00009F1E0000}"/>
    <cellStyle name="Normal 9 2 2 2 3 3 3 2" xfId="22597" xr:uid="{1B467CF7-C843-4E98-A5BA-45329ACFC229}"/>
    <cellStyle name="Normal 9 2 2 2 3 3 3 3" xfId="14156" xr:uid="{7A927B04-0280-479B-8E49-95619F822A17}"/>
    <cellStyle name="Normal 9 2 2 2 3 3 4" xfId="18379" xr:uid="{8BBC902F-B4CF-454B-990B-7E6DC8680D97}"/>
    <cellStyle name="Normal 9 2 2 2 3 3 5" xfId="9938" xr:uid="{245E340E-A7AE-47FF-8843-293BC97247A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2 2 2" xfId="25155" xr:uid="{E84059CC-F164-4895-A1A1-94F5BA63F8F8}"/>
    <cellStyle name="Normal 9 2 2 2 3 4 2 2 3" xfId="16714" xr:uid="{50F74A8F-090C-4DBA-B2F1-18A1BEE09BFD}"/>
    <cellStyle name="Normal 9 2 2 2 3 4 2 3" xfId="20937" xr:uid="{3AAAFF4E-7A32-4967-ADBC-81FA22E3789C}"/>
    <cellStyle name="Normal 9 2 2 2 3 4 2 4" xfId="12496" xr:uid="{094B44A0-1359-4C8D-98A4-00B0E1A7FD5A}"/>
    <cellStyle name="Normal 9 2 2 2 3 4 3" xfId="6119" xr:uid="{00000000-0005-0000-0000-0000A31E0000}"/>
    <cellStyle name="Normal 9 2 2 2 3 4 3 2" xfId="23010" xr:uid="{17C2CAA0-EF72-44C1-8C5B-FBED386B80B9}"/>
    <cellStyle name="Normal 9 2 2 2 3 4 3 3" xfId="14569" xr:uid="{DBCD8434-05A9-4742-A602-2BD4CDF58374}"/>
    <cellStyle name="Normal 9 2 2 2 3 4 4" xfId="18792" xr:uid="{5A759B85-9037-4BFB-96DE-B1A5FA07A80C}"/>
    <cellStyle name="Normal 9 2 2 2 3 4 5" xfId="10351" xr:uid="{9964F76B-63BA-4FB6-99CD-E437260272C7}"/>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2 2 2" xfId="25568" xr:uid="{6AB82628-867E-47A5-874D-2B7A57C162EF}"/>
    <cellStyle name="Normal 9 2 2 2 3 5 2 2 3" xfId="17127" xr:uid="{65338DE3-F2BB-4CBA-988E-FFF6115572A6}"/>
    <cellStyle name="Normal 9 2 2 2 3 5 2 3" xfId="21350" xr:uid="{BFF8080D-91E7-456B-BBD6-871D189D1E90}"/>
    <cellStyle name="Normal 9 2 2 2 3 5 2 4" xfId="12909" xr:uid="{5C1B6CBD-F0A5-462F-8E1D-ECFBF2B5A225}"/>
    <cellStyle name="Normal 9 2 2 2 3 5 3" xfId="6532" xr:uid="{00000000-0005-0000-0000-0000A71E0000}"/>
    <cellStyle name="Normal 9 2 2 2 3 5 3 2" xfId="23423" xr:uid="{AE85C8A0-6BFF-4D14-8CB5-FCD4D6DA5231}"/>
    <cellStyle name="Normal 9 2 2 2 3 5 3 3" xfId="14982" xr:uid="{A0E2B137-8AE9-4288-9FBB-E64BFA78D629}"/>
    <cellStyle name="Normal 9 2 2 2 3 5 4" xfId="19205" xr:uid="{30DAA973-C60E-483E-9DAE-CC1D30943EAC}"/>
    <cellStyle name="Normal 9 2 2 2 3 5 5" xfId="10764" xr:uid="{76292CA2-BDD5-47D1-A370-DF35E962DFA7}"/>
    <cellStyle name="Normal 9 2 2 2 3 6" xfId="2662" xr:uid="{00000000-0005-0000-0000-0000A81E0000}"/>
    <cellStyle name="Normal 9 2 2 2 3 6 2" xfId="6945" xr:uid="{00000000-0005-0000-0000-0000A91E0000}"/>
    <cellStyle name="Normal 9 2 2 2 3 6 2 2" xfId="23836" xr:uid="{87E184B4-0F34-45DC-BC03-5E6825A0B1C7}"/>
    <cellStyle name="Normal 9 2 2 2 3 6 2 3" xfId="15395" xr:uid="{AF9B4C29-07CB-4E00-B60C-C3AFED02F2F6}"/>
    <cellStyle name="Normal 9 2 2 2 3 6 3" xfId="19618" xr:uid="{EADD9AA3-069D-4B97-8771-06717448C4AE}"/>
    <cellStyle name="Normal 9 2 2 2 3 6 4" xfId="11177" xr:uid="{05D14680-12D2-4300-BD01-D57536990B9C}"/>
    <cellStyle name="Normal 9 2 2 2 3 7" xfId="4880" xr:uid="{00000000-0005-0000-0000-0000AA1E0000}"/>
    <cellStyle name="Normal 9 2 2 2 3 7 2" xfId="21771" xr:uid="{05C09BD0-A5AD-48F2-A4F2-6F926F8C65AA}"/>
    <cellStyle name="Normal 9 2 2 2 3 7 3" xfId="13330" xr:uid="{D85038DF-28EB-4582-B5E9-14A14E88DE17}"/>
    <cellStyle name="Normal 9 2 2 2 3 8" xfId="17553" xr:uid="{DD3DE8B2-96C3-475E-8A1C-7BCDA57883B0}"/>
    <cellStyle name="Normal 9 2 2 2 3 9" xfId="9112" xr:uid="{38E0A363-5299-4657-8059-1905B02E5137}"/>
    <cellStyle name="Normal 9 2 2 2 4" xfId="980" xr:uid="{00000000-0005-0000-0000-0000AB1E0000}"/>
    <cellStyle name="Normal 9 2 2 2 4 2" xfId="3213" xr:uid="{00000000-0005-0000-0000-0000AC1E0000}"/>
    <cellStyle name="Normal 9 2 2 2 4 2 2" xfId="7435" xr:uid="{00000000-0005-0000-0000-0000AD1E0000}"/>
    <cellStyle name="Normal 9 2 2 2 4 2 2 2" xfId="24326" xr:uid="{88091B0D-44B4-42BB-BDF9-9DB944C6B8A3}"/>
    <cellStyle name="Normal 9 2 2 2 4 2 2 3" xfId="15885" xr:uid="{720F028B-418D-48DC-95B5-C385632CFD61}"/>
    <cellStyle name="Normal 9 2 2 2 4 2 3" xfId="20108" xr:uid="{4DE11592-EB61-4C08-B03F-148288D01206}"/>
    <cellStyle name="Normal 9 2 2 2 4 2 4" xfId="11667" xr:uid="{A74C62E0-C482-4270-BFE5-49EC617916B5}"/>
    <cellStyle name="Normal 9 2 2 2 4 3" xfId="5290" xr:uid="{00000000-0005-0000-0000-0000AE1E0000}"/>
    <cellStyle name="Normal 9 2 2 2 4 3 2" xfId="22181" xr:uid="{2C0AF573-2C3F-40BC-9D39-0A5C4DC7D8BA}"/>
    <cellStyle name="Normal 9 2 2 2 4 3 3" xfId="13740" xr:uid="{B0BAD945-F7DD-47C2-83B5-ED8EB62BA3FA}"/>
    <cellStyle name="Normal 9 2 2 2 4 4" xfId="17963" xr:uid="{98C254A8-5BDF-4880-8A91-71EE00CF352A}"/>
    <cellStyle name="Normal 9 2 2 2 4 5" xfId="9522" xr:uid="{47642878-FEF6-4F1C-A124-0A1CC62A306B}"/>
    <cellStyle name="Normal 9 2 2 2 5" xfId="1396" xr:uid="{00000000-0005-0000-0000-0000AF1E0000}"/>
    <cellStyle name="Normal 9 2 2 2 5 2" xfId="3626" xr:uid="{00000000-0005-0000-0000-0000B01E0000}"/>
    <cellStyle name="Normal 9 2 2 2 5 2 2" xfId="7848" xr:uid="{00000000-0005-0000-0000-0000B11E0000}"/>
    <cellStyle name="Normal 9 2 2 2 5 2 2 2" xfId="24739" xr:uid="{FC970451-0188-4D8B-861B-AC99F8F37D31}"/>
    <cellStyle name="Normal 9 2 2 2 5 2 2 3" xfId="16298" xr:uid="{7152485A-848C-4011-B6C0-E36A9264C2B8}"/>
    <cellStyle name="Normal 9 2 2 2 5 2 3" xfId="20521" xr:uid="{89BD15C8-35D5-4C88-A78C-853DC3E34FF4}"/>
    <cellStyle name="Normal 9 2 2 2 5 2 4" xfId="12080" xr:uid="{162553C9-556E-418F-BE1D-1FBEDAC76164}"/>
    <cellStyle name="Normal 9 2 2 2 5 3" xfId="5703" xr:uid="{00000000-0005-0000-0000-0000B21E0000}"/>
    <cellStyle name="Normal 9 2 2 2 5 3 2" xfId="22594" xr:uid="{6B32AE83-EB99-4813-8C48-81B70DDD5B9F}"/>
    <cellStyle name="Normal 9 2 2 2 5 3 3" xfId="14153" xr:uid="{1090C24F-F40E-4D58-ACA0-EB22DD2447F1}"/>
    <cellStyle name="Normal 9 2 2 2 5 4" xfId="18376" xr:uid="{6387A4CC-2BC7-448D-816D-68637F964586}"/>
    <cellStyle name="Normal 9 2 2 2 5 5" xfId="9935" xr:uid="{D1B05757-DDA4-46F6-9C09-26A1CAFC9013}"/>
    <cellStyle name="Normal 9 2 2 2 6" xfId="1809" xr:uid="{00000000-0005-0000-0000-0000B31E0000}"/>
    <cellStyle name="Normal 9 2 2 2 6 2" xfId="4039" xr:uid="{00000000-0005-0000-0000-0000B41E0000}"/>
    <cellStyle name="Normal 9 2 2 2 6 2 2" xfId="8261" xr:uid="{00000000-0005-0000-0000-0000B51E0000}"/>
    <cellStyle name="Normal 9 2 2 2 6 2 2 2" xfId="25152" xr:uid="{AFCAAF59-B74E-4A6D-88CA-D3FB9A878674}"/>
    <cellStyle name="Normal 9 2 2 2 6 2 2 3" xfId="16711" xr:uid="{2DE2C77D-6803-41F3-A981-2312BE587F63}"/>
    <cellStyle name="Normal 9 2 2 2 6 2 3" xfId="20934" xr:uid="{FD61A15A-01AC-4AFC-8739-11E348F20967}"/>
    <cellStyle name="Normal 9 2 2 2 6 2 4" xfId="12493" xr:uid="{D8699D19-7451-4346-8EAF-1C18E8C28793}"/>
    <cellStyle name="Normal 9 2 2 2 6 3" xfId="6116" xr:uid="{00000000-0005-0000-0000-0000B61E0000}"/>
    <cellStyle name="Normal 9 2 2 2 6 3 2" xfId="23007" xr:uid="{21054A23-8C2E-4A6A-83B0-5633B1E23F75}"/>
    <cellStyle name="Normal 9 2 2 2 6 3 3" xfId="14566" xr:uid="{5D010260-BC9F-4577-858B-1F3ADA60686A}"/>
    <cellStyle name="Normal 9 2 2 2 6 4" xfId="18789" xr:uid="{16D5D60D-21A4-4130-BACA-20D8A5179EB6}"/>
    <cellStyle name="Normal 9 2 2 2 6 5" xfId="10348" xr:uid="{C1151003-19FD-4DD4-8052-1977B336D3FF}"/>
    <cellStyle name="Normal 9 2 2 2 7" xfId="2223" xr:uid="{00000000-0005-0000-0000-0000B71E0000}"/>
    <cellStyle name="Normal 9 2 2 2 7 2" xfId="4452" xr:uid="{00000000-0005-0000-0000-0000B81E0000}"/>
    <cellStyle name="Normal 9 2 2 2 7 2 2" xfId="8674" xr:uid="{00000000-0005-0000-0000-0000B91E0000}"/>
    <cellStyle name="Normal 9 2 2 2 7 2 2 2" xfId="25565" xr:uid="{4D5A35B0-6937-4D51-B3C4-12C52B2AB363}"/>
    <cellStyle name="Normal 9 2 2 2 7 2 2 3" xfId="17124" xr:uid="{6F883C5C-7FFB-4D12-87DE-E1D82E8E94D9}"/>
    <cellStyle name="Normal 9 2 2 2 7 2 3" xfId="21347" xr:uid="{34BF42D1-F12B-47DA-878A-11B106B93BB8}"/>
    <cellStyle name="Normal 9 2 2 2 7 2 4" xfId="12906" xr:uid="{A9D9746F-DEC7-4146-9C7A-BB9EEE901CA9}"/>
    <cellStyle name="Normal 9 2 2 2 7 3" xfId="6529" xr:uid="{00000000-0005-0000-0000-0000BA1E0000}"/>
    <cellStyle name="Normal 9 2 2 2 7 3 2" xfId="23420" xr:uid="{3EBD8D24-2EAD-4353-8B42-3CCEE79E4E29}"/>
    <cellStyle name="Normal 9 2 2 2 7 3 3" xfId="14979" xr:uid="{94F04027-F504-4990-AA01-343EF2450380}"/>
    <cellStyle name="Normal 9 2 2 2 7 4" xfId="19202" xr:uid="{3BF2B75E-8CE4-403D-8DE1-97DF86E6CE64}"/>
    <cellStyle name="Normal 9 2 2 2 7 5" xfId="10761" xr:uid="{8CDB3342-EBED-4C1E-8634-53550348F8AF}"/>
    <cellStyle name="Normal 9 2 2 2 8" xfId="2659" xr:uid="{00000000-0005-0000-0000-0000BB1E0000}"/>
    <cellStyle name="Normal 9 2 2 2 8 2" xfId="6942" xr:uid="{00000000-0005-0000-0000-0000BC1E0000}"/>
    <cellStyle name="Normal 9 2 2 2 8 2 2" xfId="23833" xr:uid="{6ED6B683-84A2-4EEC-B91A-6E835A2A9E37}"/>
    <cellStyle name="Normal 9 2 2 2 8 2 3" xfId="15392" xr:uid="{D3D76A2D-0F69-420E-A9CE-C9BC262A656E}"/>
    <cellStyle name="Normal 9 2 2 2 8 3" xfId="19615" xr:uid="{90C2B42A-6566-4312-B79F-DEACDFA334F0}"/>
    <cellStyle name="Normal 9 2 2 2 8 4" xfId="11174" xr:uid="{62B2823E-F8B5-4C02-8151-ACCB122F97BD}"/>
    <cellStyle name="Normal 9 2 2 2 9" xfId="4877" xr:uid="{00000000-0005-0000-0000-0000BD1E0000}"/>
    <cellStyle name="Normal 9 2 2 2 9 2" xfId="21768" xr:uid="{54A8F687-CE8A-4719-BF2A-88D8F1DB471D}"/>
    <cellStyle name="Normal 9 2 2 2 9 3" xfId="13327" xr:uid="{84AF41C5-EE84-47CA-A492-861724915828}"/>
    <cellStyle name="Normal 9 2 2 3" xfId="517" xr:uid="{00000000-0005-0000-0000-0000BE1E0000}"/>
    <cellStyle name="Normal 9 2 2 3 10" xfId="9113" xr:uid="{9DF2B417-40CF-45DD-B820-183670DF0E5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2 2 2" xfId="24331" xr:uid="{5DF8DF0F-8660-4C70-8F0C-6494D072E1C1}"/>
    <cellStyle name="Normal 9 2 2 3 2 2 2 2 3" xfId="15890" xr:uid="{D05A4AE3-C753-49D1-9DC1-CF8D1DC22CB6}"/>
    <cellStyle name="Normal 9 2 2 3 2 2 2 3" xfId="20113" xr:uid="{B18D1290-7F72-4CEA-BBB5-F709F54304C3}"/>
    <cellStyle name="Normal 9 2 2 3 2 2 2 4" xfId="11672" xr:uid="{8A1F8DD4-4B9D-4C4B-AA0B-B04E505F9CC1}"/>
    <cellStyle name="Normal 9 2 2 3 2 2 3" xfId="5295" xr:uid="{00000000-0005-0000-0000-0000C31E0000}"/>
    <cellStyle name="Normal 9 2 2 3 2 2 3 2" xfId="22186" xr:uid="{CAF22E7E-7D05-47FF-B6BA-D3E44D3B3DD6}"/>
    <cellStyle name="Normal 9 2 2 3 2 2 3 3" xfId="13745" xr:uid="{BFA01E57-6E75-4031-8791-431B0620D104}"/>
    <cellStyle name="Normal 9 2 2 3 2 2 4" xfId="17968" xr:uid="{E3031BF3-D107-4692-BD2C-B18A24769E96}"/>
    <cellStyle name="Normal 9 2 2 3 2 2 5" xfId="9527" xr:uid="{149160A1-56BB-4099-AB4B-50B3875A0933}"/>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2 2 2" xfId="24744" xr:uid="{DBA7DE67-679E-4661-AC37-B4D067480AB4}"/>
    <cellStyle name="Normal 9 2 2 3 2 3 2 2 3" xfId="16303" xr:uid="{B9E9D029-6F21-452D-8916-F83757BBBA8F}"/>
    <cellStyle name="Normal 9 2 2 3 2 3 2 3" xfId="20526" xr:uid="{FEBAA285-D5FD-4535-8E26-7ACBDB0C25B3}"/>
    <cellStyle name="Normal 9 2 2 3 2 3 2 4" xfId="12085" xr:uid="{97546048-51F1-486B-917F-95C533AC8A18}"/>
    <cellStyle name="Normal 9 2 2 3 2 3 3" xfId="5708" xr:uid="{00000000-0005-0000-0000-0000C71E0000}"/>
    <cellStyle name="Normal 9 2 2 3 2 3 3 2" xfId="22599" xr:uid="{54C45C0D-A80B-4E1F-AED5-AC9ECEC476A5}"/>
    <cellStyle name="Normal 9 2 2 3 2 3 3 3" xfId="14158" xr:uid="{510F8436-A01A-499C-884F-D08212989C92}"/>
    <cellStyle name="Normal 9 2 2 3 2 3 4" xfId="18381" xr:uid="{D23E9B43-9D1A-493B-ACE4-DE395C784E6F}"/>
    <cellStyle name="Normal 9 2 2 3 2 3 5" xfId="9940" xr:uid="{D6E22008-E94B-4932-9D90-4373F7799B33}"/>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2 2 2" xfId="25157" xr:uid="{9CD45710-8C78-4B28-8B55-2FDE1E566A1E}"/>
    <cellStyle name="Normal 9 2 2 3 2 4 2 2 3" xfId="16716" xr:uid="{5ADBB24E-E29D-4ABB-923C-A21453F43984}"/>
    <cellStyle name="Normal 9 2 2 3 2 4 2 3" xfId="20939" xr:uid="{39050CA9-E5B2-4CC4-BA4A-DCA002EDA7F1}"/>
    <cellStyle name="Normal 9 2 2 3 2 4 2 4" xfId="12498" xr:uid="{8F64A331-5C9D-4B23-B992-DA600676323F}"/>
    <cellStyle name="Normal 9 2 2 3 2 4 3" xfId="6121" xr:uid="{00000000-0005-0000-0000-0000CB1E0000}"/>
    <cellStyle name="Normal 9 2 2 3 2 4 3 2" xfId="23012" xr:uid="{01E9C542-0476-4BC2-8135-D8ED1F554F54}"/>
    <cellStyle name="Normal 9 2 2 3 2 4 3 3" xfId="14571" xr:uid="{AEB52CBE-1779-4496-A060-3F3B1126094B}"/>
    <cellStyle name="Normal 9 2 2 3 2 4 4" xfId="18794" xr:uid="{1F9E09BD-7FE9-4150-906F-18EBDB5021B0}"/>
    <cellStyle name="Normal 9 2 2 3 2 4 5" xfId="10353" xr:uid="{C6B3AA44-9DBF-4C2A-9A3A-4B1108EAFFB9}"/>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2 2 2" xfId="25570" xr:uid="{5C7BAB47-62CB-415A-82D3-C9C93373C1FE}"/>
    <cellStyle name="Normal 9 2 2 3 2 5 2 2 3" xfId="17129" xr:uid="{8AD9345F-72FD-4096-B4E8-F182E9D9D523}"/>
    <cellStyle name="Normal 9 2 2 3 2 5 2 3" xfId="21352" xr:uid="{EBD1358A-9FF4-4F55-A7DF-DCB3104D70B9}"/>
    <cellStyle name="Normal 9 2 2 3 2 5 2 4" xfId="12911" xr:uid="{F72CB2B4-A4F6-4D4A-8FC2-D62F1FAABE54}"/>
    <cellStyle name="Normal 9 2 2 3 2 5 3" xfId="6534" xr:uid="{00000000-0005-0000-0000-0000CF1E0000}"/>
    <cellStyle name="Normal 9 2 2 3 2 5 3 2" xfId="23425" xr:uid="{83130305-3264-420E-93D0-0504E8496CD5}"/>
    <cellStyle name="Normal 9 2 2 3 2 5 3 3" xfId="14984" xr:uid="{2758F183-7E9F-455F-B105-C303B2FDF70B}"/>
    <cellStyle name="Normal 9 2 2 3 2 5 4" xfId="19207" xr:uid="{3370D3A1-E21E-486F-8E2E-13EAAEA2274C}"/>
    <cellStyle name="Normal 9 2 2 3 2 5 5" xfId="10766" xr:uid="{C26AC624-A9E1-415D-921E-063043EDAE50}"/>
    <cellStyle name="Normal 9 2 2 3 2 6" xfId="2664" xr:uid="{00000000-0005-0000-0000-0000D01E0000}"/>
    <cellStyle name="Normal 9 2 2 3 2 6 2" xfId="6947" xr:uid="{00000000-0005-0000-0000-0000D11E0000}"/>
    <cellStyle name="Normal 9 2 2 3 2 6 2 2" xfId="23838" xr:uid="{44664A6D-ACAC-4B25-A8EB-80DFBF88838E}"/>
    <cellStyle name="Normal 9 2 2 3 2 6 2 3" xfId="15397" xr:uid="{1E7A0059-BC10-4CF2-ADE5-E4FE96279802}"/>
    <cellStyle name="Normal 9 2 2 3 2 6 3" xfId="19620" xr:uid="{92B0CBA1-DD5B-4B10-9991-03C58B1BF164}"/>
    <cellStyle name="Normal 9 2 2 3 2 6 4" xfId="11179" xr:uid="{F99E6EA7-D613-4437-80D1-2887DA0591BA}"/>
    <cellStyle name="Normal 9 2 2 3 2 7" xfId="4882" xr:uid="{00000000-0005-0000-0000-0000D21E0000}"/>
    <cellStyle name="Normal 9 2 2 3 2 7 2" xfId="21773" xr:uid="{BBF01D76-668A-4B5A-A5F8-9FED079FB7A8}"/>
    <cellStyle name="Normal 9 2 2 3 2 7 3" xfId="13332" xr:uid="{19454E7D-CDCE-43F4-BDF6-D6C70A863227}"/>
    <cellStyle name="Normal 9 2 2 3 2 8" xfId="17555" xr:uid="{AA1B51D1-7D10-4E86-A465-63CF23463B36}"/>
    <cellStyle name="Normal 9 2 2 3 2 9" xfId="9114" xr:uid="{96E1B6F1-710A-4786-AC3C-4C7DD3853DAC}"/>
    <cellStyle name="Normal 9 2 2 3 3" xfId="984" xr:uid="{00000000-0005-0000-0000-0000D31E0000}"/>
    <cellStyle name="Normal 9 2 2 3 3 2" xfId="3217" xr:uid="{00000000-0005-0000-0000-0000D41E0000}"/>
    <cellStyle name="Normal 9 2 2 3 3 2 2" xfId="7439" xr:uid="{00000000-0005-0000-0000-0000D51E0000}"/>
    <cellStyle name="Normal 9 2 2 3 3 2 2 2" xfId="24330" xr:uid="{55D7F20F-EB6B-4873-BF1F-8B54F70C7D03}"/>
    <cellStyle name="Normal 9 2 2 3 3 2 2 3" xfId="15889" xr:uid="{D47DC895-B3C0-4552-9201-366420D1FEFB}"/>
    <cellStyle name="Normal 9 2 2 3 3 2 3" xfId="20112" xr:uid="{0829DDB0-EB9B-43AB-834E-9584B603843C}"/>
    <cellStyle name="Normal 9 2 2 3 3 2 4" xfId="11671" xr:uid="{483E2ECD-35B7-45EE-83B7-3FF7D755E54A}"/>
    <cellStyle name="Normal 9 2 2 3 3 3" xfId="5294" xr:uid="{00000000-0005-0000-0000-0000D61E0000}"/>
    <cellStyle name="Normal 9 2 2 3 3 3 2" xfId="22185" xr:uid="{A5A28FF2-ECB6-4752-B49E-89CD8701FE35}"/>
    <cellStyle name="Normal 9 2 2 3 3 3 3" xfId="13744" xr:uid="{CCBD7138-4C8A-45FD-9CF9-42C0A8D588B2}"/>
    <cellStyle name="Normal 9 2 2 3 3 4" xfId="17967" xr:uid="{B617DB17-08E4-4FA1-88C1-0C0AB614F6A6}"/>
    <cellStyle name="Normal 9 2 2 3 3 5" xfId="9526" xr:uid="{3DCFFDF1-CFF0-4131-B33F-FE46C46C0BA8}"/>
    <cellStyle name="Normal 9 2 2 3 4" xfId="1400" xr:uid="{00000000-0005-0000-0000-0000D71E0000}"/>
    <cellStyle name="Normal 9 2 2 3 4 2" xfId="3630" xr:uid="{00000000-0005-0000-0000-0000D81E0000}"/>
    <cellStyle name="Normal 9 2 2 3 4 2 2" xfId="7852" xr:uid="{00000000-0005-0000-0000-0000D91E0000}"/>
    <cellStyle name="Normal 9 2 2 3 4 2 2 2" xfId="24743" xr:uid="{864F713F-5843-4717-8CC1-9162E36C6B49}"/>
    <cellStyle name="Normal 9 2 2 3 4 2 2 3" xfId="16302" xr:uid="{599A70AD-840D-4833-986F-F38B46CAE090}"/>
    <cellStyle name="Normal 9 2 2 3 4 2 3" xfId="20525" xr:uid="{A8CEF7D2-0FA1-4B1A-BAE9-0027497E779E}"/>
    <cellStyle name="Normal 9 2 2 3 4 2 4" xfId="12084" xr:uid="{E791410C-4701-4859-92F2-A6B6710CDE65}"/>
    <cellStyle name="Normal 9 2 2 3 4 3" xfId="5707" xr:uid="{00000000-0005-0000-0000-0000DA1E0000}"/>
    <cellStyle name="Normal 9 2 2 3 4 3 2" xfId="22598" xr:uid="{B6F7B8E7-1544-452C-AFF8-0832A97795BB}"/>
    <cellStyle name="Normal 9 2 2 3 4 3 3" xfId="14157" xr:uid="{47ECF895-87BC-4CA2-B8E1-93E8824C5831}"/>
    <cellStyle name="Normal 9 2 2 3 4 4" xfId="18380" xr:uid="{4D99F2DC-555A-472F-9745-CB06652A5F02}"/>
    <cellStyle name="Normal 9 2 2 3 4 5" xfId="9939" xr:uid="{20D4947A-38DC-4968-8F93-FB72CBFAD76C}"/>
    <cellStyle name="Normal 9 2 2 3 5" xfId="1813" xr:uid="{00000000-0005-0000-0000-0000DB1E0000}"/>
    <cellStyle name="Normal 9 2 2 3 5 2" xfId="4043" xr:uid="{00000000-0005-0000-0000-0000DC1E0000}"/>
    <cellStyle name="Normal 9 2 2 3 5 2 2" xfId="8265" xr:uid="{00000000-0005-0000-0000-0000DD1E0000}"/>
    <cellStyle name="Normal 9 2 2 3 5 2 2 2" xfId="25156" xr:uid="{FD37A6F4-5927-4035-931F-32CB17A75C23}"/>
    <cellStyle name="Normal 9 2 2 3 5 2 2 3" xfId="16715" xr:uid="{D60C524D-4184-4238-8117-1290244F0C87}"/>
    <cellStyle name="Normal 9 2 2 3 5 2 3" xfId="20938" xr:uid="{6284706B-21E3-4E93-886E-3E97241796A6}"/>
    <cellStyle name="Normal 9 2 2 3 5 2 4" xfId="12497" xr:uid="{A41EDDE7-58EF-457B-8325-87C3604E627D}"/>
    <cellStyle name="Normal 9 2 2 3 5 3" xfId="6120" xr:uid="{00000000-0005-0000-0000-0000DE1E0000}"/>
    <cellStyle name="Normal 9 2 2 3 5 3 2" xfId="23011" xr:uid="{E5405642-87F6-41FD-9436-FB89F92B6328}"/>
    <cellStyle name="Normal 9 2 2 3 5 3 3" xfId="14570" xr:uid="{C3F97EF1-C259-4177-9133-4033649EDEAC}"/>
    <cellStyle name="Normal 9 2 2 3 5 4" xfId="18793" xr:uid="{D58F3EEE-9C65-4DC8-8D51-98A46C6FD8CC}"/>
    <cellStyle name="Normal 9 2 2 3 5 5" xfId="10352" xr:uid="{FFCA5EFD-0F58-441F-9441-EC91B9DB37E2}"/>
    <cellStyle name="Normal 9 2 2 3 6" xfId="2227" xr:uid="{00000000-0005-0000-0000-0000DF1E0000}"/>
    <cellStyle name="Normal 9 2 2 3 6 2" xfId="4456" xr:uid="{00000000-0005-0000-0000-0000E01E0000}"/>
    <cellStyle name="Normal 9 2 2 3 6 2 2" xfId="8678" xr:uid="{00000000-0005-0000-0000-0000E11E0000}"/>
    <cellStyle name="Normal 9 2 2 3 6 2 2 2" xfId="25569" xr:uid="{8D20767A-4F4C-4EE0-A36B-099DCB760DCA}"/>
    <cellStyle name="Normal 9 2 2 3 6 2 2 3" xfId="17128" xr:uid="{45EE91E5-7462-4413-AB29-E733D274CCB3}"/>
    <cellStyle name="Normal 9 2 2 3 6 2 3" xfId="21351" xr:uid="{6F44D764-C010-4B87-8ECA-A7718ED9A116}"/>
    <cellStyle name="Normal 9 2 2 3 6 2 4" xfId="12910" xr:uid="{3DA16441-2994-4908-AFC0-D1C2963234A3}"/>
    <cellStyle name="Normal 9 2 2 3 6 3" xfId="6533" xr:uid="{00000000-0005-0000-0000-0000E21E0000}"/>
    <cellStyle name="Normal 9 2 2 3 6 3 2" xfId="23424" xr:uid="{75DDE5D2-D0D4-450F-86FC-1EE6F3268E0E}"/>
    <cellStyle name="Normal 9 2 2 3 6 3 3" xfId="14983" xr:uid="{52317BC8-9B42-4610-9C1F-15D85B7DB602}"/>
    <cellStyle name="Normal 9 2 2 3 6 4" xfId="19206" xr:uid="{B3A9D9A8-B153-44BD-B80E-6255EFBCF268}"/>
    <cellStyle name="Normal 9 2 2 3 6 5" xfId="10765" xr:uid="{ECB69016-E6C5-4E9B-8D82-F3DDA5359965}"/>
    <cellStyle name="Normal 9 2 2 3 7" xfId="2663" xr:uid="{00000000-0005-0000-0000-0000E31E0000}"/>
    <cellStyle name="Normal 9 2 2 3 7 2" xfId="6946" xr:uid="{00000000-0005-0000-0000-0000E41E0000}"/>
    <cellStyle name="Normal 9 2 2 3 7 2 2" xfId="23837" xr:uid="{8E95D0C1-BE2F-465F-8093-614F5C41F66A}"/>
    <cellStyle name="Normal 9 2 2 3 7 2 3" xfId="15396" xr:uid="{814DE1DE-5B6D-49D7-B93B-2FC59A5BC644}"/>
    <cellStyle name="Normal 9 2 2 3 7 3" xfId="19619" xr:uid="{AB6E71C9-22F9-4197-8815-CBE2340285F4}"/>
    <cellStyle name="Normal 9 2 2 3 7 4" xfId="11178" xr:uid="{84B893F4-125A-4AA8-9E9D-5C6628C06558}"/>
    <cellStyle name="Normal 9 2 2 3 8" xfId="4881" xr:uid="{00000000-0005-0000-0000-0000E51E0000}"/>
    <cellStyle name="Normal 9 2 2 3 8 2" xfId="21772" xr:uid="{ADCDFAE6-CF90-4424-8079-4A7D4F956F1B}"/>
    <cellStyle name="Normal 9 2 2 3 8 3" xfId="13331" xr:uid="{7B0EA8EB-3A42-408F-A761-6B57F81F391D}"/>
    <cellStyle name="Normal 9 2 2 3 9" xfId="17554" xr:uid="{5C8FAADD-ED1B-4A5A-AE97-8786ABF1F9EA}"/>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2 2 2" xfId="24332" xr:uid="{328CEB2D-64E5-4BEB-8514-A92800739C4B}"/>
    <cellStyle name="Normal 9 2 2 4 2 2 2 3" xfId="15891" xr:uid="{39C3FC4B-59CF-4174-B9B5-D1979E22DDB7}"/>
    <cellStyle name="Normal 9 2 2 4 2 2 3" xfId="20114" xr:uid="{DADF7299-6C7F-453A-9559-64D49D9EEEB0}"/>
    <cellStyle name="Normal 9 2 2 4 2 2 4" xfId="11673" xr:uid="{0E3B205D-8E88-46E9-AFF7-367BBB371C99}"/>
    <cellStyle name="Normal 9 2 2 4 2 3" xfId="5296" xr:uid="{00000000-0005-0000-0000-0000EA1E0000}"/>
    <cellStyle name="Normal 9 2 2 4 2 3 2" xfId="22187" xr:uid="{CE1DA7C0-4529-4BD9-A369-AED9955C1D77}"/>
    <cellStyle name="Normal 9 2 2 4 2 3 3" xfId="13746" xr:uid="{9290A916-3B61-4D32-BC89-91465055DC6B}"/>
    <cellStyle name="Normal 9 2 2 4 2 4" xfId="17969" xr:uid="{020081CE-65EC-4647-8E97-BD5D441B614F}"/>
    <cellStyle name="Normal 9 2 2 4 2 5" xfId="9528" xr:uid="{FEE20626-03DD-419B-8EC2-F21BF227A203}"/>
    <cellStyle name="Normal 9 2 2 4 3" xfId="1402" xr:uid="{00000000-0005-0000-0000-0000EB1E0000}"/>
    <cellStyle name="Normal 9 2 2 4 3 2" xfId="3632" xr:uid="{00000000-0005-0000-0000-0000EC1E0000}"/>
    <cellStyle name="Normal 9 2 2 4 3 2 2" xfId="7854" xr:uid="{00000000-0005-0000-0000-0000ED1E0000}"/>
    <cellStyle name="Normal 9 2 2 4 3 2 2 2" xfId="24745" xr:uid="{4E84256D-4EC4-4881-A8B7-62FE119C5871}"/>
    <cellStyle name="Normal 9 2 2 4 3 2 2 3" xfId="16304" xr:uid="{971EB451-2A6F-43B5-9F69-4B5CB7D6FFCE}"/>
    <cellStyle name="Normal 9 2 2 4 3 2 3" xfId="20527" xr:uid="{E059F400-7B3B-43D1-8788-E99320E6F63F}"/>
    <cellStyle name="Normal 9 2 2 4 3 2 4" xfId="12086" xr:uid="{37222557-8313-46C5-8BB4-A913577BE164}"/>
    <cellStyle name="Normal 9 2 2 4 3 3" xfId="5709" xr:uid="{00000000-0005-0000-0000-0000EE1E0000}"/>
    <cellStyle name="Normal 9 2 2 4 3 3 2" xfId="22600" xr:uid="{776F49F2-3B76-4E3E-9A80-D5C74441D185}"/>
    <cellStyle name="Normal 9 2 2 4 3 3 3" xfId="14159" xr:uid="{59BBE1F4-59EC-457F-A63E-53565328BDAB}"/>
    <cellStyle name="Normal 9 2 2 4 3 4" xfId="18382" xr:uid="{B043E0C8-DC9B-445F-BA1E-F0A067C967B0}"/>
    <cellStyle name="Normal 9 2 2 4 3 5" xfId="9941" xr:uid="{D1E0AFF0-4A37-4C25-8F89-DBF281E75184}"/>
    <cellStyle name="Normal 9 2 2 4 4" xfId="1815" xr:uid="{00000000-0005-0000-0000-0000EF1E0000}"/>
    <cellStyle name="Normal 9 2 2 4 4 2" xfId="4045" xr:uid="{00000000-0005-0000-0000-0000F01E0000}"/>
    <cellStyle name="Normal 9 2 2 4 4 2 2" xfId="8267" xr:uid="{00000000-0005-0000-0000-0000F11E0000}"/>
    <cellStyle name="Normal 9 2 2 4 4 2 2 2" xfId="25158" xr:uid="{13F680DC-9CE3-49C5-918D-501BDB263EA3}"/>
    <cellStyle name="Normal 9 2 2 4 4 2 2 3" xfId="16717" xr:uid="{1AA073AD-01A6-44CA-B095-144E406C424D}"/>
    <cellStyle name="Normal 9 2 2 4 4 2 3" xfId="20940" xr:uid="{F37325A9-2DAA-4428-8828-402F1310EEAD}"/>
    <cellStyle name="Normal 9 2 2 4 4 2 4" xfId="12499" xr:uid="{00521255-CC9F-4FD6-8A8D-307D6F10EF7A}"/>
    <cellStyle name="Normal 9 2 2 4 4 3" xfId="6122" xr:uid="{00000000-0005-0000-0000-0000F21E0000}"/>
    <cellStyle name="Normal 9 2 2 4 4 3 2" xfId="23013" xr:uid="{DC50ADBD-8918-49FA-B272-89A72DA3B34A}"/>
    <cellStyle name="Normal 9 2 2 4 4 3 3" xfId="14572" xr:uid="{82489E4A-2EF8-424C-81CC-880DCF5DC12D}"/>
    <cellStyle name="Normal 9 2 2 4 4 4" xfId="18795" xr:uid="{DD55C7B5-64F7-42BA-A690-04D18E36F990}"/>
    <cellStyle name="Normal 9 2 2 4 4 5" xfId="10354" xr:uid="{4A07A433-1D6D-44E5-B658-CAA9F60B4C99}"/>
    <cellStyle name="Normal 9 2 2 4 5" xfId="2229" xr:uid="{00000000-0005-0000-0000-0000F31E0000}"/>
    <cellStyle name="Normal 9 2 2 4 5 2" xfId="4458" xr:uid="{00000000-0005-0000-0000-0000F41E0000}"/>
    <cellStyle name="Normal 9 2 2 4 5 2 2" xfId="8680" xr:uid="{00000000-0005-0000-0000-0000F51E0000}"/>
    <cellStyle name="Normal 9 2 2 4 5 2 2 2" xfId="25571" xr:uid="{B8DBFE51-82D6-4649-BC99-F9675516C825}"/>
    <cellStyle name="Normal 9 2 2 4 5 2 2 3" xfId="17130" xr:uid="{2167832B-E200-46A6-A0DC-998B5C751EFD}"/>
    <cellStyle name="Normal 9 2 2 4 5 2 3" xfId="21353" xr:uid="{AC60F477-2189-4244-9AE8-F7F8C16C70AD}"/>
    <cellStyle name="Normal 9 2 2 4 5 2 4" xfId="12912" xr:uid="{23ACEE30-C108-4F2B-BF2D-CF8F578F2956}"/>
    <cellStyle name="Normal 9 2 2 4 5 3" xfId="6535" xr:uid="{00000000-0005-0000-0000-0000F61E0000}"/>
    <cellStyle name="Normal 9 2 2 4 5 3 2" xfId="23426" xr:uid="{808071EC-5C62-407F-86D9-6A872C47443B}"/>
    <cellStyle name="Normal 9 2 2 4 5 3 3" xfId="14985" xr:uid="{689FA915-6E98-48F7-8121-FE5083C9A597}"/>
    <cellStyle name="Normal 9 2 2 4 5 4" xfId="19208" xr:uid="{232CFD23-D070-4C74-870F-1ABA17D0D16D}"/>
    <cellStyle name="Normal 9 2 2 4 5 5" xfId="10767" xr:uid="{84A8568B-FE11-4C58-9767-05167C3CF872}"/>
    <cellStyle name="Normal 9 2 2 4 6" xfId="2665" xr:uid="{00000000-0005-0000-0000-0000F71E0000}"/>
    <cellStyle name="Normal 9 2 2 4 6 2" xfId="6948" xr:uid="{00000000-0005-0000-0000-0000F81E0000}"/>
    <cellStyle name="Normal 9 2 2 4 6 2 2" xfId="23839" xr:uid="{08D3583D-7CC7-4CD4-AD63-81046C67A575}"/>
    <cellStyle name="Normal 9 2 2 4 6 2 3" xfId="15398" xr:uid="{801E2BAB-25D8-45B4-8703-D0461D66C482}"/>
    <cellStyle name="Normal 9 2 2 4 6 3" xfId="19621" xr:uid="{DA82080D-9F42-48FE-9C1C-905CDF5C2FD5}"/>
    <cellStyle name="Normal 9 2 2 4 6 4" xfId="11180" xr:uid="{19E91C18-6347-4F77-B47B-E6F5FFAAB687}"/>
    <cellStyle name="Normal 9 2 2 4 7" xfId="4883" xr:uid="{00000000-0005-0000-0000-0000F91E0000}"/>
    <cellStyle name="Normal 9 2 2 4 7 2" xfId="21774" xr:uid="{302ABAB2-A7F0-4275-9923-492D545B38F8}"/>
    <cellStyle name="Normal 9 2 2 4 7 3" xfId="13333" xr:uid="{3C8CB709-ED26-4928-8DCA-9F813338CFA3}"/>
    <cellStyle name="Normal 9 2 2 4 8" xfId="17556" xr:uid="{028009A8-A51A-4842-BF3E-260274802005}"/>
    <cellStyle name="Normal 9 2 2 4 9" xfId="9115" xr:uid="{7975F1E2-E6A2-4218-A9E3-606F1C16C87E}"/>
    <cellStyle name="Normal 9 2 2 5" xfId="979" xr:uid="{00000000-0005-0000-0000-0000FA1E0000}"/>
    <cellStyle name="Normal 9 2 2 5 2" xfId="3212" xr:uid="{00000000-0005-0000-0000-0000FB1E0000}"/>
    <cellStyle name="Normal 9 2 2 5 2 2" xfId="7434" xr:uid="{00000000-0005-0000-0000-0000FC1E0000}"/>
    <cellStyle name="Normal 9 2 2 5 2 2 2" xfId="24325" xr:uid="{F673CBE4-9882-4BB6-A138-8AFE17B7E72F}"/>
    <cellStyle name="Normal 9 2 2 5 2 2 3" xfId="15884" xr:uid="{CEFB7011-26E2-4DC0-A1C4-CDDB534243C3}"/>
    <cellStyle name="Normal 9 2 2 5 2 3" xfId="20107" xr:uid="{2E83B5A4-8D22-4672-A049-A09E6265856E}"/>
    <cellStyle name="Normal 9 2 2 5 2 4" xfId="11666" xr:uid="{AB0EEB61-00F5-457A-A424-A2D6AF3765EC}"/>
    <cellStyle name="Normal 9 2 2 5 3" xfId="5289" xr:uid="{00000000-0005-0000-0000-0000FD1E0000}"/>
    <cellStyle name="Normal 9 2 2 5 3 2" xfId="22180" xr:uid="{BE9DC273-ADFB-4D32-B79C-CD617338CD3F}"/>
    <cellStyle name="Normal 9 2 2 5 3 3" xfId="13739" xr:uid="{C7B215AF-6DCA-4D25-972B-42B03D4C9D86}"/>
    <cellStyle name="Normal 9 2 2 5 4" xfId="17962" xr:uid="{00EF7868-FA94-4343-B50B-C43C447A7669}"/>
    <cellStyle name="Normal 9 2 2 5 5" xfId="9521" xr:uid="{8A900697-B48A-4E1A-8D8B-CF37E9E09035}"/>
    <cellStyle name="Normal 9 2 2 6" xfId="1395" xr:uid="{00000000-0005-0000-0000-0000FE1E0000}"/>
    <cellStyle name="Normal 9 2 2 6 2" xfId="3625" xr:uid="{00000000-0005-0000-0000-0000FF1E0000}"/>
    <cellStyle name="Normal 9 2 2 6 2 2" xfId="7847" xr:uid="{00000000-0005-0000-0000-0000001F0000}"/>
    <cellStyle name="Normal 9 2 2 6 2 2 2" xfId="24738" xr:uid="{AF5144AF-A014-4775-9267-68D23D0B1DD7}"/>
    <cellStyle name="Normal 9 2 2 6 2 2 3" xfId="16297" xr:uid="{09B192C9-A3A3-4322-A037-CB86874B45DC}"/>
    <cellStyle name="Normal 9 2 2 6 2 3" xfId="20520" xr:uid="{5DB8075F-A633-4C13-A62F-1E31914D3882}"/>
    <cellStyle name="Normal 9 2 2 6 2 4" xfId="12079" xr:uid="{58679C16-2C1A-41C8-8964-DB1564EDD40D}"/>
    <cellStyle name="Normal 9 2 2 6 3" xfId="5702" xr:uid="{00000000-0005-0000-0000-0000011F0000}"/>
    <cellStyle name="Normal 9 2 2 6 3 2" xfId="22593" xr:uid="{301ACDD0-92F3-412F-8D53-651CACFB18DF}"/>
    <cellStyle name="Normal 9 2 2 6 3 3" xfId="14152" xr:uid="{D7218C03-3FE5-44E9-BD60-B1B7C6F76D41}"/>
    <cellStyle name="Normal 9 2 2 6 4" xfId="18375" xr:uid="{66C6A8E5-CED9-4E43-A4A6-3B61DD17E643}"/>
    <cellStyle name="Normal 9 2 2 6 5" xfId="9934" xr:uid="{2F18DDF4-5BCC-4451-A45B-EFF3D25ACEE8}"/>
    <cellStyle name="Normal 9 2 2 7" xfId="1808" xr:uid="{00000000-0005-0000-0000-0000021F0000}"/>
    <cellStyle name="Normal 9 2 2 7 2" xfId="4038" xr:uid="{00000000-0005-0000-0000-0000031F0000}"/>
    <cellStyle name="Normal 9 2 2 7 2 2" xfId="8260" xr:uid="{00000000-0005-0000-0000-0000041F0000}"/>
    <cellStyle name="Normal 9 2 2 7 2 2 2" xfId="25151" xr:uid="{2B1E5EEB-D0B9-4141-8F2D-15E565D561C5}"/>
    <cellStyle name="Normal 9 2 2 7 2 2 3" xfId="16710" xr:uid="{BEC03617-2354-4502-B20B-7FBFF93BCEB3}"/>
    <cellStyle name="Normal 9 2 2 7 2 3" xfId="20933" xr:uid="{C25918FB-5F47-41CB-B2A6-E0C3164C8481}"/>
    <cellStyle name="Normal 9 2 2 7 2 4" xfId="12492" xr:uid="{CA3D7E13-3AE2-4825-A4CD-32A57B4016A5}"/>
    <cellStyle name="Normal 9 2 2 7 3" xfId="6115" xr:uid="{00000000-0005-0000-0000-0000051F0000}"/>
    <cellStyle name="Normal 9 2 2 7 3 2" xfId="23006" xr:uid="{D7DCB68A-637A-46BF-AF8F-4ED1ACAC6924}"/>
    <cellStyle name="Normal 9 2 2 7 3 3" xfId="14565" xr:uid="{3A70F450-2522-4D5E-B02D-55E6DF42319B}"/>
    <cellStyle name="Normal 9 2 2 7 4" xfId="18788" xr:uid="{05D3E291-BF3D-4D8D-8534-7EDA1427A8A4}"/>
    <cellStyle name="Normal 9 2 2 7 5" xfId="10347" xr:uid="{08E5BC83-7039-403E-9FDF-6F2106CE0EA4}"/>
    <cellStyle name="Normal 9 2 2 8" xfId="2222" xr:uid="{00000000-0005-0000-0000-0000061F0000}"/>
    <cellStyle name="Normal 9 2 2 8 2" xfId="4451" xr:uid="{00000000-0005-0000-0000-0000071F0000}"/>
    <cellStyle name="Normal 9 2 2 8 2 2" xfId="8673" xr:uid="{00000000-0005-0000-0000-0000081F0000}"/>
    <cellStyle name="Normal 9 2 2 8 2 2 2" xfId="25564" xr:uid="{C4E2E8F8-8A1B-4172-BFB2-F495BE865720}"/>
    <cellStyle name="Normal 9 2 2 8 2 2 3" xfId="17123" xr:uid="{071DC1B2-FA85-47A5-9A5F-B01F6BDB8D17}"/>
    <cellStyle name="Normal 9 2 2 8 2 3" xfId="21346" xr:uid="{7F10F81D-199C-407C-9AFC-D8C5D41D53DB}"/>
    <cellStyle name="Normal 9 2 2 8 2 4" xfId="12905" xr:uid="{AEACF77B-5284-42C9-84A2-FDA159F1DA22}"/>
    <cellStyle name="Normal 9 2 2 8 3" xfId="6528" xr:uid="{00000000-0005-0000-0000-0000091F0000}"/>
    <cellStyle name="Normal 9 2 2 8 3 2" xfId="23419" xr:uid="{08AF05BE-5BE6-42AF-A034-927E4F1B3469}"/>
    <cellStyle name="Normal 9 2 2 8 3 3" xfId="14978" xr:uid="{B2D11A25-94CC-466E-A58F-FB4EE1E8CB7D}"/>
    <cellStyle name="Normal 9 2 2 8 4" xfId="19201" xr:uid="{B37868AA-8A47-4641-AB2A-827CE3FA46AB}"/>
    <cellStyle name="Normal 9 2 2 8 5" xfId="10760" xr:uid="{9392314B-48ED-4485-BE53-9B795CF48B1C}"/>
    <cellStyle name="Normal 9 2 2 9" xfId="2658" xr:uid="{00000000-0005-0000-0000-00000A1F0000}"/>
    <cellStyle name="Normal 9 2 2 9 2" xfId="6941" xr:uid="{00000000-0005-0000-0000-00000B1F0000}"/>
    <cellStyle name="Normal 9 2 2 9 2 2" xfId="23832" xr:uid="{DACD7031-953B-4292-8C7F-D2EEB3058137}"/>
    <cellStyle name="Normal 9 2 2 9 2 3" xfId="15391" xr:uid="{099E7C80-B6A0-4569-9C0F-5999467DBA29}"/>
    <cellStyle name="Normal 9 2 2 9 3" xfId="19614" xr:uid="{ABEA8878-045F-428D-8119-2F80057C677B}"/>
    <cellStyle name="Normal 9 2 2 9 4" xfId="11173" xr:uid="{7FE2492E-8663-4C50-B236-9C3B5330CE34}"/>
    <cellStyle name="Normal 9 2 3" xfId="520" xr:uid="{00000000-0005-0000-0000-00000C1F0000}"/>
    <cellStyle name="Normal 9 2 3 10" xfId="17557" xr:uid="{F6DAB94A-B017-481B-96FB-F51DDC46255F}"/>
    <cellStyle name="Normal 9 2 3 11" xfId="9116" xr:uid="{F8789F22-9BAB-4BF4-95A6-EA45C9C22409}"/>
    <cellStyle name="Normal 9 2 3 2" xfId="521" xr:uid="{00000000-0005-0000-0000-00000D1F0000}"/>
    <cellStyle name="Normal 9 2 3 2 10" xfId="9117" xr:uid="{6A5F4A2D-69C1-45F7-B2BB-3D1E96DC8AE6}"/>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2 2 2" xfId="24335" xr:uid="{7DA0D11E-D9F1-4282-80AB-913201DED401}"/>
    <cellStyle name="Normal 9 2 3 2 2 2 2 2 3" xfId="15894" xr:uid="{84C1E1C1-11B9-44AD-A233-370243E86D8E}"/>
    <cellStyle name="Normal 9 2 3 2 2 2 2 3" xfId="20117" xr:uid="{70CCB51E-6D62-42DE-8305-20196E947F1F}"/>
    <cellStyle name="Normal 9 2 3 2 2 2 2 4" xfId="11676" xr:uid="{EB5947B0-B464-4F1A-B2C2-ADAAE4256138}"/>
    <cellStyle name="Normal 9 2 3 2 2 2 3" xfId="5299" xr:uid="{00000000-0005-0000-0000-0000121F0000}"/>
    <cellStyle name="Normal 9 2 3 2 2 2 3 2" xfId="22190" xr:uid="{5D2D8A71-CB83-459B-80A5-DB8763466C8E}"/>
    <cellStyle name="Normal 9 2 3 2 2 2 3 3" xfId="13749" xr:uid="{9378159F-35C1-47D0-A875-31681204C590}"/>
    <cellStyle name="Normal 9 2 3 2 2 2 4" xfId="17972" xr:uid="{7D836427-1FA6-4074-90A3-D13E8CC38FD7}"/>
    <cellStyle name="Normal 9 2 3 2 2 2 5" xfId="9531" xr:uid="{D8B3885D-A89F-4847-98BE-48C8756D04E3}"/>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2 2 2" xfId="24748" xr:uid="{9E01E618-DDB2-411E-8337-DAEBD4AF9559}"/>
    <cellStyle name="Normal 9 2 3 2 2 3 2 2 3" xfId="16307" xr:uid="{9E887C8B-AB86-4DBE-85F2-738F7E9A414A}"/>
    <cellStyle name="Normal 9 2 3 2 2 3 2 3" xfId="20530" xr:uid="{B84081E3-41DF-44DE-B108-52A9445B0701}"/>
    <cellStyle name="Normal 9 2 3 2 2 3 2 4" xfId="12089" xr:uid="{10A19317-9CA3-46EB-8078-956C035F84F6}"/>
    <cellStyle name="Normal 9 2 3 2 2 3 3" xfId="5712" xr:uid="{00000000-0005-0000-0000-0000161F0000}"/>
    <cellStyle name="Normal 9 2 3 2 2 3 3 2" xfId="22603" xr:uid="{B6A1C3B9-50C9-4855-B4B7-796EC73A25B7}"/>
    <cellStyle name="Normal 9 2 3 2 2 3 3 3" xfId="14162" xr:uid="{A4FA6506-542B-4872-B7A1-3C12B3BC8BFD}"/>
    <cellStyle name="Normal 9 2 3 2 2 3 4" xfId="18385" xr:uid="{BB5EEE1F-057B-4739-BE9D-926AC4459733}"/>
    <cellStyle name="Normal 9 2 3 2 2 3 5" xfId="9944" xr:uid="{82DCBE87-86A2-432A-87F1-7E66359A57C4}"/>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2 2 2" xfId="25161" xr:uid="{19389F07-CC35-4267-9E9C-BBC81C27ED8C}"/>
    <cellStyle name="Normal 9 2 3 2 2 4 2 2 3" xfId="16720" xr:uid="{76DB32A7-C81C-40E4-9A9E-7DB70C34D82C}"/>
    <cellStyle name="Normal 9 2 3 2 2 4 2 3" xfId="20943" xr:uid="{F53D7D36-3861-4FA1-9BDF-055CB65BBE18}"/>
    <cellStyle name="Normal 9 2 3 2 2 4 2 4" xfId="12502" xr:uid="{B1E22F8B-58BD-4ACE-88F0-C09E9E9121A3}"/>
    <cellStyle name="Normal 9 2 3 2 2 4 3" xfId="6125" xr:uid="{00000000-0005-0000-0000-00001A1F0000}"/>
    <cellStyle name="Normal 9 2 3 2 2 4 3 2" xfId="23016" xr:uid="{6AC3204E-DEBC-4852-B001-200928425B2B}"/>
    <cellStyle name="Normal 9 2 3 2 2 4 3 3" xfId="14575" xr:uid="{3DD187A5-352E-43CD-BA58-84D0D9DC8362}"/>
    <cellStyle name="Normal 9 2 3 2 2 4 4" xfId="18798" xr:uid="{DFB82535-F5B3-418D-84D7-11C42ACE3A4B}"/>
    <cellStyle name="Normal 9 2 3 2 2 4 5" xfId="10357" xr:uid="{3AA5115F-BC5C-4D41-8AC0-18F583F1BB94}"/>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2 2 2" xfId="25574" xr:uid="{1A246FCC-2E9A-4317-96A1-1035BA1A2FC8}"/>
    <cellStyle name="Normal 9 2 3 2 2 5 2 2 3" xfId="17133" xr:uid="{2637DFE7-B479-4B89-A70B-014C5E41FD90}"/>
    <cellStyle name="Normal 9 2 3 2 2 5 2 3" xfId="21356" xr:uid="{5706BA6D-442C-4DBB-961E-83DB8B611DEF}"/>
    <cellStyle name="Normal 9 2 3 2 2 5 2 4" xfId="12915" xr:uid="{0939332E-A5D2-4222-9B88-8E989861159C}"/>
    <cellStyle name="Normal 9 2 3 2 2 5 3" xfId="6538" xr:uid="{00000000-0005-0000-0000-00001E1F0000}"/>
    <cellStyle name="Normal 9 2 3 2 2 5 3 2" xfId="23429" xr:uid="{CC048975-1214-4867-BA9A-AF99DE579EE8}"/>
    <cellStyle name="Normal 9 2 3 2 2 5 3 3" xfId="14988" xr:uid="{BFC5D261-6904-44AD-9756-940FBDB4741F}"/>
    <cellStyle name="Normal 9 2 3 2 2 5 4" xfId="19211" xr:uid="{6F7699C8-F658-4EA1-99F9-379424E47579}"/>
    <cellStyle name="Normal 9 2 3 2 2 5 5" xfId="10770" xr:uid="{24E9BEE3-E339-415A-96DF-7F3A76066E93}"/>
    <cellStyle name="Normal 9 2 3 2 2 6" xfId="2668" xr:uid="{00000000-0005-0000-0000-00001F1F0000}"/>
    <cellStyle name="Normal 9 2 3 2 2 6 2" xfId="6951" xr:uid="{00000000-0005-0000-0000-0000201F0000}"/>
    <cellStyle name="Normal 9 2 3 2 2 6 2 2" xfId="23842" xr:uid="{F96452FA-5C78-4A0C-B336-E4A6DAFD3FE1}"/>
    <cellStyle name="Normal 9 2 3 2 2 6 2 3" xfId="15401" xr:uid="{9AF0B3FB-E41D-4E04-AE46-5B2594A6A22D}"/>
    <cellStyle name="Normal 9 2 3 2 2 6 3" xfId="19624" xr:uid="{EC649D58-1EC4-4DA8-8135-BB3EDF7D5D7E}"/>
    <cellStyle name="Normal 9 2 3 2 2 6 4" xfId="11183" xr:uid="{3B419A57-E960-48B9-8CBD-A64E4EDDF002}"/>
    <cellStyle name="Normal 9 2 3 2 2 7" xfId="4886" xr:uid="{00000000-0005-0000-0000-0000211F0000}"/>
    <cellStyle name="Normal 9 2 3 2 2 7 2" xfId="21777" xr:uid="{6AB7484B-A53C-482C-A6B1-236A6E29A612}"/>
    <cellStyle name="Normal 9 2 3 2 2 7 3" xfId="13336" xr:uid="{4E7CDAB4-58BC-4EEB-9612-E970CA0CA709}"/>
    <cellStyle name="Normal 9 2 3 2 2 8" xfId="17559" xr:uid="{017B3AF2-E9CB-4828-B479-8186C21AC8E7}"/>
    <cellStyle name="Normal 9 2 3 2 2 9" xfId="9118" xr:uid="{DFA922FD-000B-490B-A7C8-C94386750FA8}"/>
    <cellStyle name="Normal 9 2 3 2 3" xfId="988" xr:uid="{00000000-0005-0000-0000-0000221F0000}"/>
    <cellStyle name="Normal 9 2 3 2 3 2" xfId="3221" xr:uid="{00000000-0005-0000-0000-0000231F0000}"/>
    <cellStyle name="Normal 9 2 3 2 3 2 2" xfId="7443" xr:uid="{00000000-0005-0000-0000-0000241F0000}"/>
    <cellStyle name="Normal 9 2 3 2 3 2 2 2" xfId="24334" xr:uid="{DC6BE13F-E4FF-4591-85A7-4D1EEECB893B}"/>
    <cellStyle name="Normal 9 2 3 2 3 2 2 3" xfId="15893" xr:uid="{B5830437-C421-4D02-A31E-224688261641}"/>
    <cellStyle name="Normal 9 2 3 2 3 2 3" xfId="20116" xr:uid="{3650EF27-F532-469B-837B-BCF87704B484}"/>
    <cellStyle name="Normal 9 2 3 2 3 2 4" xfId="11675" xr:uid="{A1416D7B-667D-46F1-846F-E85B900BBCFD}"/>
    <cellStyle name="Normal 9 2 3 2 3 3" xfId="5298" xr:uid="{00000000-0005-0000-0000-0000251F0000}"/>
    <cellStyle name="Normal 9 2 3 2 3 3 2" xfId="22189" xr:uid="{BCCDEA26-0C11-4688-8CA4-5B38EA7BDAC2}"/>
    <cellStyle name="Normal 9 2 3 2 3 3 3" xfId="13748" xr:uid="{446207FE-52C6-400B-B845-5EBF966B7596}"/>
    <cellStyle name="Normal 9 2 3 2 3 4" xfId="17971" xr:uid="{55D92F8D-F805-4D76-89DB-4FF7ADAD63B9}"/>
    <cellStyle name="Normal 9 2 3 2 3 5" xfId="9530" xr:uid="{50576802-E12A-405E-A4CA-D15798943541}"/>
    <cellStyle name="Normal 9 2 3 2 4" xfId="1404" xr:uid="{00000000-0005-0000-0000-0000261F0000}"/>
    <cellStyle name="Normal 9 2 3 2 4 2" xfId="3634" xr:uid="{00000000-0005-0000-0000-0000271F0000}"/>
    <cellStyle name="Normal 9 2 3 2 4 2 2" xfId="7856" xr:uid="{00000000-0005-0000-0000-0000281F0000}"/>
    <cellStyle name="Normal 9 2 3 2 4 2 2 2" xfId="24747" xr:uid="{72DD7328-4B66-4E4D-ABAA-C25E9383058D}"/>
    <cellStyle name="Normal 9 2 3 2 4 2 2 3" xfId="16306" xr:uid="{C2C9DED2-51D5-429E-A2D8-3C74F85A388E}"/>
    <cellStyle name="Normal 9 2 3 2 4 2 3" xfId="20529" xr:uid="{75B75D3D-7041-4924-8360-AAA9681EA746}"/>
    <cellStyle name="Normal 9 2 3 2 4 2 4" xfId="12088" xr:uid="{910410DF-47B3-48F2-A76C-BCC1F2EC91E8}"/>
    <cellStyle name="Normal 9 2 3 2 4 3" xfId="5711" xr:uid="{00000000-0005-0000-0000-0000291F0000}"/>
    <cellStyle name="Normal 9 2 3 2 4 3 2" xfId="22602" xr:uid="{40F626AA-0120-438F-B9AE-3C66FBC03E94}"/>
    <cellStyle name="Normal 9 2 3 2 4 3 3" xfId="14161" xr:uid="{870FF7C9-721D-4E56-99DE-6E7B85068A59}"/>
    <cellStyle name="Normal 9 2 3 2 4 4" xfId="18384" xr:uid="{9E05FC19-09FA-4297-9C3D-711800BD8C91}"/>
    <cellStyle name="Normal 9 2 3 2 4 5" xfId="9943" xr:uid="{4FD93A38-DFB2-4EAC-8978-6E478A3A3526}"/>
    <cellStyle name="Normal 9 2 3 2 5" xfId="1817" xr:uid="{00000000-0005-0000-0000-00002A1F0000}"/>
    <cellStyle name="Normal 9 2 3 2 5 2" xfId="4047" xr:uid="{00000000-0005-0000-0000-00002B1F0000}"/>
    <cellStyle name="Normal 9 2 3 2 5 2 2" xfId="8269" xr:uid="{00000000-0005-0000-0000-00002C1F0000}"/>
    <cellStyle name="Normal 9 2 3 2 5 2 2 2" xfId="25160" xr:uid="{6F3538D2-9920-4AA7-A1A0-65621A99C0FB}"/>
    <cellStyle name="Normal 9 2 3 2 5 2 2 3" xfId="16719" xr:uid="{7F30DD6F-439D-48FF-9C1D-2ACEF9D0F295}"/>
    <cellStyle name="Normal 9 2 3 2 5 2 3" xfId="20942" xr:uid="{1CF9FD4A-3BD0-4DCD-9749-693E0ABB36C3}"/>
    <cellStyle name="Normal 9 2 3 2 5 2 4" xfId="12501" xr:uid="{93BC0422-B8BE-468F-A8F6-39F447F14C4E}"/>
    <cellStyle name="Normal 9 2 3 2 5 3" xfId="6124" xr:uid="{00000000-0005-0000-0000-00002D1F0000}"/>
    <cellStyle name="Normal 9 2 3 2 5 3 2" xfId="23015" xr:uid="{B7B8DCEE-A52D-4305-A62C-1BD1EA608B60}"/>
    <cellStyle name="Normal 9 2 3 2 5 3 3" xfId="14574" xr:uid="{D86905BF-1127-4E23-8690-D99EA376E660}"/>
    <cellStyle name="Normal 9 2 3 2 5 4" xfId="18797" xr:uid="{AF055653-3577-412E-A83C-6E971FAE2737}"/>
    <cellStyle name="Normal 9 2 3 2 5 5" xfId="10356" xr:uid="{3FCC0A12-A4C1-43E9-9BDF-CA5B013FAFE2}"/>
    <cellStyle name="Normal 9 2 3 2 6" xfId="2231" xr:uid="{00000000-0005-0000-0000-00002E1F0000}"/>
    <cellStyle name="Normal 9 2 3 2 6 2" xfId="4460" xr:uid="{00000000-0005-0000-0000-00002F1F0000}"/>
    <cellStyle name="Normal 9 2 3 2 6 2 2" xfId="8682" xr:uid="{00000000-0005-0000-0000-0000301F0000}"/>
    <cellStyle name="Normal 9 2 3 2 6 2 2 2" xfId="25573" xr:uid="{3740BA51-6087-42B5-A2AD-5F49B31B4994}"/>
    <cellStyle name="Normal 9 2 3 2 6 2 2 3" xfId="17132" xr:uid="{EE1BBDF8-F11C-4046-A1B9-22AD0E9DB1E2}"/>
    <cellStyle name="Normal 9 2 3 2 6 2 3" xfId="21355" xr:uid="{FB726B14-C3FC-4316-8FB2-E6306EC15054}"/>
    <cellStyle name="Normal 9 2 3 2 6 2 4" xfId="12914" xr:uid="{DC7CC358-7CC5-4A56-AF8F-E92695ED97B3}"/>
    <cellStyle name="Normal 9 2 3 2 6 3" xfId="6537" xr:uid="{00000000-0005-0000-0000-0000311F0000}"/>
    <cellStyle name="Normal 9 2 3 2 6 3 2" xfId="23428" xr:uid="{3BD69A4A-5030-445E-BD8C-CC919B28C8D4}"/>
    <cellStyle name="Normal 9 2 3 2 6 3 3" xfId="14987" xr:uid="{F586FD46-FE17-4868-9C02-B4D169FFCA84}"/>
    <cellStyle name="Normal 9 2 3 2 6 4" xfId="19210" xr:uid="{FF391FDB-0413-4A5F-844D-820900297B26}"/>
    <cellStyle name="Normal 9 2 3 2 6 5" xfId="10769" xr:uid="{19713466-CF67-4BA0-9CBC-0676337CDD8B}"/>
    <cellStyle name="Normal 9 2 3 2 7" xfId="2667" xr:uid="{00000000-0005-0000-0000-0000321F0000}"/>
    <cellStyle name="Normal 9 2 3 2 7 2" xfId="6950" xr:uid="{00000000-0005-0000-0000-0000331F0000}"/>
    <cellStyle name="Normal 9 2 3 2 7 2 2" xfId="23841" xr:uid="{74E4BA2F-DBAF-4275-A7AE-835CEC33ECC2}"/>
    <cellStyle name="Normal 9 2 3 2 7 2 3" xfId="15400" xr:uid="{F3B70CC3-A107-4366-A75E-05E2051E0172}"/>
    <cellStyle name="Normal 9 2 3 2 7 3" xfId="19623" xr:uid="{6BB63761-EE9B-4757-BB05-DEAAEE391728}"/>
    <cellStyle name="Normal 9 2 3 2 7 4" xfId="11182" xr:uid="{4CE1ECB3-A686-47C4-93E0-D42138DDD89C}"/>
    <cellStyle name="Normal 9 2 3 2 8" xfId="4885" xr:uid="{00000000-0005-0000-0000-0000341F0000}"/>
    <cellStyle name="Normal 9 2 3 2 8 2" xfId="21776" xr:uid="{9F2B250C-ADA5-444B-9215-D51D5DFB3477}"/>
    <cellStyle name="Normal 9 2 3 2 8 3" xfId="13335" xr:uid="{099E2CB2-1C97-4A86-8149-F60BED1091DE}"/>
    <cellStyle name="Normal 9 2 3 2 9" xfId="17558" xr:uid="{270B64D3-AE3F-4F67-BE25-46AA85AAF6D2}"/>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2 2 2" xfId="24336" xr:uid="{34D56DB2-9BCC-42B1-B6F0-9CAB4FA1415D}"/>
    <cellStyle name="Normal 9 2 3 3 2 2 2 3" xfId="15895" xr:uid="{404964C7-278C-4CF1-820B-1CB9F33FA628}"/>
    <cellStyle name="Normal 9 2 3 3 2 2 3" xfId="20118" xr:uid="{496C4B48-2953-42F9-B942-33531871CDDF}"/>
    <cellStyle name="Normal 9 2 3 3 2 2 4" xfId="11677" xr:uid="{AACA4B54-CF8E-4421-9137-3AE0FE2E2F9D}"/>
    <cellStyle name="Normal 9 2 3 3 2 3" xfId="5300" xr:uid="{00000000-0005-0000-0000-0000391F0000}"/>
    <cellStyle name="Normal 9 2 3 3 2 3 2" xfId="22191" xr:uid="{B9705074-0DD1-466D-9DB3-73EDBB91DCBD}"/>
    <cellStyle name="Normal 9 2 3 3 2 3 3" xfId="13750" xr:uid="{E9630C01-3032-4D19-BDBE-A4A48A67B0CB}"/>
    <cellStyle name="Normal 9 2 3 3 2 4" xfId="17973" xr:uid="{4CAA0975-4F95-47E6-8B9B-534263E771E8}"/>
    <cellStyle name="Normal 9 2 3 3 2 5" xfId="9532" xr:uid="{5A7CECFD-3E92-4F63-A806-4532D7270EE6}"/>
    <cellStyle name="Normal 9 2 3 3 3" xfId="1406" xr:uid="{00000000-0005-0000-0000-00003A1F0000}"/>
    <cellStyle name="Normal 9 2 3 3 3 2" xfId="3636" xr:uid="{00000000-0005-0000-0000-00003B1F0000}"/>
    <cellStyle name="Normal 9 2 3 3 3 2 2" xfId="7858" xr:uid="{00000000-0005-0000-0000-00003C1F0000}"/>
    <cellStyle name="Normal 9 2 3 3 3 2 2 2" xfId="24749" xr:uid="{2560A7E1-E78F-4423-887A-34304993EFF0}"/>
    <cellStyle name="Normal 9 2 3 3 3 2 2 3" xfId="16308" xr:uid="{D6D94AED-6575-4E9A-84B1-F1DC53690F92}"/>
    <cellStyle name="Normal 9 2 3 3 3 2 3" xfId="20531" xr:uid="{4D000B3F-8817-466A-A975-F334EE405208}"/>
    <cellStyle name="Normal 9 2 3 3 3 2 4" xfId="12090" xr:uid="{1B8C0EE0-B0C4-420E-8EC1-476E588D8976}"/>
    <cellStyle name="Normal 9 2 3 3 3 3" xfId="5713" xr:uid="{00000000-0005-0000-0000-00003D1F0000}"/>
    <cellStyle name="Normal 9 2 3 3 3 3 2" xfId="22604" xr:uid="{925E685E-257C-406C-BADB-4D3D2D695671}"/>
    <cellStyle name="Normal 9 2 3 3 3 3 3" xfId="14163" xr:uid="{05B0662C-D685-4E6D-9D3D-E61469375464}"/>
    <cellStyle name="Normal 9 2 3 3 3 4" xfId="18386" xr:uid="{E948DAB7-8B74-49A9-905A-3B3F4C73B74F}"/>
    <cellStyle name="Normal 9 2 3 3 3 5" xfId="9945" xr:uid="{C7CEF8E7-D243-4413-B2F2-1BB1F9D349B0}"/>
    <cellStyle name="Normal 9 2 3 3 4" xfId="1819" xr:uid="{00000000-0005-0000-0000-00003E1F0000}"/>
    <cellStyle name="Normal 9 2 3 3 4 2" xfId="4049" xr:uid="{00000000-0005-0000-0000-00003F1F0000}"/>
    <cellStyle name="Normal 9 2 3 3 4 2 2" xfId="8271" xr:uid="{00000000-0005-0000-0000-0000401F0000}"/>
    <cellStyle name="Normal 9 2 3 3 4 2 2 2" xfId="25162" xr:uid="{94F48FB8-0EFC-455C-9AF5-B584DF9AA94B}"/>
    <cellStyle name="Normal 9 2 3 3 4 2 2 3" xfId="16721" xr:uid="{ADD12589-D806-45F7-AD74-5F3879445A75}"/>
    <cellStyle name="Normal 9 2 3 3 4 2 3" xfId="20944" xr:uid="{6F1C20AA-DFD2-499E-AAE9-6A26BF08F826}"/>
    <cellStyle name="Normal 9 2 3 3 4 2 4" xfId="12503" xr:uid="{0D6C0844-BFEA-45D2-81A0-4C802DECBA72}"/>
    <cellStyle name="Normal 9 2 3 3 4 3" xfId="6126" xr:uid="{00000000-0005-0000-0000-0000411F0000}"/>
    <cellStyle name="Normal 9 2 3 3 4 3 2" xfId="23017" xr:uid="{4617BF7F-E53E-42B7-86E9-807D5A3A92B4}"/>
    <cellStyle name="Normal 9 2 3 3 4 3 3" xfId="14576" xr:uid="{97304628-1B83-48B7-A8A4-8E8F2633775E}"/>
    <cellStyle name="Normal 9 2 3 3 4 4" xfId="18799" xr:uid="{0BD4360E-E1EA-4BDD-9DC8-C9F2B9B18C4F}"/>
    <cellStyle name="Normal 9 2 3 3 4 5" xfId="10358" xr:uid="{B0EF5B8B-B16E-4AE1-96E7-F5F5EDE3BEE1}"/>
    <cellStyle name="Normal 9 2 3 3 5" xfId="2233" xr:uid="{00000000-0005-0000-0000-0000421F0000}"/>
    <cellStyle name="Normal 9 2 3 3 5 2" xfId="4462" xr:uid="{00000000-0005-0000-0000-0000431F0000}"/>
    <cellStyle name="Normal 9 2 3 3 5 2 2" xfId="8684" xr:uid="{00000000-0005-0000-0000-0000441F0000}"/>
    <cellStyle name="Normal 9 2 3 3 5 2 2 2" xfId="25575" xr:uid="{7A9904BA-2CF5-46AF-B5A6-D3D7B03D1EC2}"/>
    <cellStyle name="Normal 9 2 3 3 5 2 2 3" xfId="17134" xr:uid="{574890B4-1C5B-491B-8EEF-0921E6B4ABC4}"/>
    <cellStyle name="Normal 9 2 3 3 5 2 3" xfId="21357" xr:uid="{F170D59E-FCBA-4AB7-AA18-9E4F07EC35B6}"/>
    <cellStyle name="Normal 9 2 3 3 5 2 4" xfId="12916" xr:uid="{AD6AA740-316A-4670-8D01-857C1A9A0AAD}"/>
    <cellStyle name="Normal 9 2 3 3 5 3" xfId="6539" xr:uid="{00000000-0005-0000-0000-0000451F0000}"/>
    <cellStyle name="Normal 9 2 3 3 5 3 2" xfId="23430" xr:uid="{494342CF-403A-47C3-8D21-F459A3E23779}"/>
    <cellStyle name="Normal 9 2 3 3 5 3 3" xfId="14989" xr:uid="{3334DE73-F181-4997-AF7B-7D8FA38750F4}"/>
    <cellStyle name="Normal 9 2 3 3 5 4" xfId="19212" xr:uid="{8A38334C-948A-481E-B1C3-5B7155D9754C}"/>
    <cellStyle name="Normal 9 2 3 3 5 5" xfId="10771" xr:uid="{9214F953-A0DB-49E5-A343-CF9A2A2C562C}"/>
    <cellStyle name="Normal 9 2 3 3 6" xfId="2669" xr:uid="{00000000-0005-0000-0000-0000461F0000}"/>
    <cellStyle name="Normal 9 2 3 3 6 2" xfId="6952" xr:uid="{00000000-0005-0000-0000-0000471F0000}"/>
    <cellStyle name="Normal 9 2 3 3 6 2 2" xfId="23843" xr:uid="{92134CB3-D61B-42B9-965B-240F2E6753E3}"/>
    <cellStyle name="Normal 9 2 3 3 6 2 3" xfId="15402" xr:uid="{B26DE86C-FFE8-45C9-881E-449416628E5A}"/>
    <cellStyle name="Normal 9 2 3 3 6 3" xfId="19625" xr:uid="{E1D0B0FC-8F7C-44F0-8824-D1EC70D2987D}"/>
    <cellStyle name="Normal 9 2 3 3 6 4" xfId="11184" xr:uid="{4C206614-B02A-4828-B167-BCFC4262C449}"/>
    <cellStyle name="Normal 9 2 3 3 7" xfId="4887" xr:uid="{00000000-0005-0000-0000-0000481F0000}"/>
    <cellStyle name="Normal 9 2 3 3 7 2" xfId="21778" xr:uid="{79121692-D4E2-4F51-A523-9C7D538739E3}"/>
    <cellStyle name="Normal 9 2 3 3 7 3" xfId="13337" xr:uid="{D7E00C33-A9F3-484F-A2BF-F8213F011C32}"/>
    <cellStyle name="Normal 9 2 3 3 8" xfId="17560" xr:uid="{C0C5A208-BD50-4372-9DF9-8F2E6DA01256}"/>
    <cellStyle name="Normal 9 2 3 3 9" xfId="9119" xr:uid="{33158552-CAC4-4469-9851-351966CA6742}"/>
    <cellStyle name="Normal 9 2 3 4" xfId="987" xr:uid="{00000000-0005-0000-0000-0000491F0000}"/>
    <cellStyle name="Normal 9 2 3 4 2" xfId="3220" xr:uid="{00000000-0005-0000-0000-00004A1F0000}"/>
    <cellStyle name="Normal 9 2 3 4 2 2" xfId="7442" xr:uid="{00000000-0005-0000-0000-00004B1F0000}"/>
    <cellStyle name="Normal 9 2 3 4 2 2 2" xfId="24333" xr:uid="{D7292ACF-C4CF-4980-9A48-A0AF4AABB008}"/>
    <cellStyle name="Normal 9 2 3 4 2 2 3" xfId="15892" xr:uid="{912B47A9-27A1-446E-87E3-099FC53BBE79}"/>
    <cellStyle name="Normal 9 2 3 4 2 3" xfId="20115" xr:uid="{49E4F7F8-10E1-40BD-8223-D780C71CB2DD}"/>
    <cellStyle name="Normal 9 2 3 4 2 4" xfId="11674" xr:uid="{D0DB40F2-97CC-49E0-A389-85F0849B0A2E}"/>
    <cellStyle name="Normal 9 2 3 4 3" xfId="5297" xr:uid="{00000000-0005-0000-0000-00004C1F0000}"/>
    <cellStyle name="Normal 9 2 3 4 3 2" xfId="22188" xr:uid="{667B5EDD-A9E7-4A89-A8DF-EAFFB2589E62}"/>
    <cellStyle name="Normal 9 2 3 4 3 3" xfId="13747" xr:uid="{A7C8C21C-9DA8-41A5-AEA1-2FA6BC803678}"/>
    <cellStyle name="Normal 9 2 3 4 4" xfId="17970" xr:uid="{C924B3B4-4038-4CD0-B9E6-5E2D4D1C9FFE}"/>
    <cellStyle name="Normal 9 2 3 4 5" xfId="9529" xr:uid="{D06376AF-D7F2-42A8-BD05-D11BCED2192E}"/>
    <cellStyle name="Normal 9 2 3 5" xfId="1403" xr:uid="{00000000-0005-0000-0000-00004D1F0000}"/>
    <cellStyle name="Normal 9 2 3 5 2" xfId="3633" xr:uid="{00000000-0005-0000-0000-00004E1F0000}"/>
    <cellStyle name="Normal 9 2 3 5 2 2" xfId="7855" xr:uid="{00000000-0005-0000-0000-00004F1F0000}"/>
    <cellStyle name="Normal 9 2 3 5 2 2 2" xfId="24746" xr:uid="{77D1D1ED-2730-486F-BBDD-FDF5BDD6323E}"/>
    <cellStyle name="Normal 9 2 3 5 2 2 3" xfId="16305" xr:uid="{84426B86-45AF-47B8-BB73-5D4BED898336}"/>
    <cellStyle name="Normal 9 2 3 5 2 3" xfId="20528" xr:uid="{080D405F-4E43-4BF0-AA2B-0AA0D52DCA5C}"/>
    <cellStyle name="Normal 9 2 3 5 2 4" xfId="12087" xr:uid="{BA508829-F6EB-41C6-962E-06D20EFA1CB0}"/>
    <cellStyle name="Normal 9 2 3 5 3" xfId="5710" xr:uid="{00000000-0005-0000-0000-0000501F0000}"/>
    <cellStyle name="Normal 9 2 3 5 3 2" xfId="22601" xr:uid="{693CE400-795E-494F-BDA6-609071EFD65A}"/>
    <cellStyle name="Normal 9 2 3 5 3 3" xfId="14160" xr:uid="{0B0F46E0-E44D-4F37-829D-588EF23CCC19}"/>
    <cellStyle name="Normal 9 2 3 5 4" xfId="18383" xr:uid="{07757248-1471-4AA4-9467-308E5C46936B}"/>
    <cellStyle name="Normal 9 2 3 5 5" xfId="9942" xr:uid="{DC988998-9E6B-469E-BBBB-FF90FFA4E07F}"/>
    <cellStyle name="Normal 9 2 3 6" xfId="1816" xr:uid="{00000000-0005-0000-0000-0000511F0000}"/>
    <cellStyle name="Normal 9 2 3 6 2" xfId="4046" xr:uid="{00000000-0005-0000-0000-0000521F0000}"/>
    <cellStyle name="Normal 9 2 3 6 2 2" xfId="8268" xr:uid="{00000000-0005-0000-0000-0000531F0000}"/>
    <cellStyle name="Normal 9 2 3 6 2 2 2" xfId="25159" xr:uid="{89C9870E-90CB-420E-B728-CBE67E27E725}"/>
    <cellStyle name="Normal 9 2 3 6 2 2 3" xfId="16718" xr:uid="{39D0A31D-45E2-4202-AF7D-282D395051F9}"/>
    <cellStyle name="Normal 9 2 3 6 2 3" xfId="20941" xr:uid="{40512FCB-4349-4C57-897B-BD237C243993}"/>
    <cellStyle name="Normal 9 2 3 6 2 4" xfId="12500" xr:uid="{4FCF1813-ED35-4020-9DAC-2BE6C4F66ADB}"/>
    <cellStyle name="Normal 9 2 3 6 3" xfId="6123" xr:uid="{00000000-0005-0000-0000-0000541F0000}"/>
    <cellStyle name="Normal 9 2 3 6 3 2" xfId="23014" xr:uid="{C8EC3EF7-2BF9-4B33-A136-1FCFF2F191B0}"/>
    <cellStyle name="Normal 9 2 3 6 3 3" xfId="14573" xr:uid="{D13FCD38-2570-42B5-9AFF-B944507733DC}"/>
    <cellStyle name="Normal 9 2 3 6 4" xfId="18796" xr:uid="{97D753D8-D27D-435A-9154-739F48BA4539}"/>
    <cellStyle name="Normal 9 2 3 6 5" xfId="10355" xr:uid="{CA31B822-C684-4482-BBDC-A8A67FF92E29}"/>
    <cellStyle name="Normal 9 2 3 7" xfId="2230" xr:uid="{00000000-0005-0000-0000-0000551F0000}"/>
    <cellStyle name="Normal 9 2 3 7 2" xfId="4459" xr:uid="{00000000-0005-0000-0000-0000561F0000}"/>
    <cellStyle name="Normal 9 2 3 7 2 2" xfId="8681" xr:uid="{00000000-0005-0000-0000-0000571F0000}"/>
    <cellStyle name="Normal 9 2 3 7 2 2 2" xfId="25572" xr:uid="{0B1257A5-A3FD-4742-A65E-E31F7E90C108}"/>
    <cellStyle name="Normal 9 2 3 7 2 2 3" xfId="17131" xr:uid="{F72A675D-B832-4553-95EA-1FF117E7A332}"/>
    <cellStyle name="Normal 9 2 3 7 2 3" xfId="21354" xr:uid="{C84CCD3A-C18A-4EDF-87D3-788AB8EAE4E5}"/>
    <cellStyle name="Normal 9 2 3 7 2 4" xfId="12913" xr:uid="{DC3506D2-525F-46E5-B94E-BC8062BDAF7F}"/>
    <cellStyle name="Normal 9 2 3 7 3" xfId="6536" xr:uid="{00000000-0005-0000-0000-0000581F0000}"/>
    <cellStyle name="Normal 9 2 3 7 3 2" xfId="23427" xr:uid="{1613018E-DCAC-4B5B-BACA-2EB68BCD29F9}"/>
    <cellStyle name="Normal 9 2 3 7 3 3" xfId="14986" xr:uid="{CE482CAA-4F50-4F39-92A7-193BF986CD4B}"/>
    <cellStyle name="Normal 9 2 3 7 4" xfId="19209" xr:uid="{0B38E518-7D03-4816-A4B0-7953779F6034}"/>
    <cellStyle name="Normal 9 2 3 7 5" xfId="10768" xr:uid="{BEC05682-8ABB-49D4-A02A-A80849E64ABD}"/>
    <cellStyle name="Normal 9 2 3 8" xfId="2666" xr:uid="{00000000-0005-0000-0000-0000591F0000}"/>
    <cellStyle name="Normal 9 2 3 8 2" xfId="6949" xr:uid="{00000000-0005-0000-0000-00005A1F0000}"/>
    <cellStyle name="Normal 9 2 3 8 2 2" xfId="23840" xr:uid="{F7F6AB3E-70D6-4BF3-ACEB-0246F5D6E933}"/>
    <cellStyle name="Normal 9 2 3 8 2 3" xfId="15399" xr:uid="{15E3ADB1-51EA-4E7E-8080-C97B5CF40430}"/>
    <cellStyle name="Normal 9 2 3 8 3" xfId="19622" xr:uid="{B57725FE-2ECD-417E-87C9-5C9694E6E160}"/>
    <cellStyle name="Normal 9 2 3 8 4" xfId="11181" xr:uid="{77F41157-3E8A-491E-A2FF-E1F191FA5D8F}"/>
    <cellStyle name="Normal 9 2 3 9" xfId="4884" xr:uid="{00000000-0005-0000-0000-00005B1F0000}"/>
    <cellStyle name="Normal 9 2 3 9 2" xfId="21775" xr:uid="{9B132FCE-F533-48A5-AFD8-60F43A077721}"/>
    <cellStyle name="Normal 9 2 3 9 3" xfId="13334" xr:uid="{B8FF2E12-46EC-43CA-88D0-29D8AC35265C}"/>
    <cellStyle name="Normal 9 2 4" xfId="524" xr:uid="{00000000-0005-0000-0000-00005C1F0000}"/>
    <cellStyle name="Normal 9 2 4 10" xfId="9120" xr:uid="{7E5BC24C-6896-4451-B44C-3AE95F2657C1}"/>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2 2 2" xfId="24338" xr:uid="{AE19F00C-8245-423F-BE74-789B8DA969DE}"/>
    <cellStyle name="Normal 9 2 4 2 2 2 2 3" xfId="15897" xr:uid="{8C208DE7-F4AB-4B6B-9428-8D731ED22B9A}"/>
    <cellStyle name="Normal 9 2 4 2 2 2 3" xfId="20120" xr:uid="{A2D6BB12-AFD1-451C-A0E8-816035978080}"/>
    <cellStyle name="Normal 9 2 4 2 2 2 4" xfId="11679" xr:uid="{FB91492D-B1DE-4E28-AE35-997C8EBDBDBC}"/>
    <cellStyle name="Normal 9 2 4 2 2 3" xfId="5302" xr:uid="{00000000-0005-0000-0000-0000611F0000}"/>
    <cellStyle name="Normal 9 2 4 2 2 3 2" xfId="22193" xr:uid="{F7D39212-4179-4FAF-8EA3-E0BF5D867949}"/>
    <cellStyle name="Normal 9 2 4 2 2 3 3" xfId="13752" xr:uid="{038E4A46-DBFE-4F46-BDAB-6464C53A85EF}"/>
    <cellStyle name="Normal 9 2 4 2 2 4" xfId="17975" xr:uid="{DE2BDE20-4B71-445F-B01E-BAC7E7102F66}"/>
    <cellStyle name="Normal 9 2 4 2 2 5" xfId="9534" xr:uid="{35D2A40A-BD74-4416-88F1-C508C4F67D9F}"/>
    <cellStyle name="Normal 9 2 4 2 3" xfId="1408" xr:uid="{00000000-0005-0000-0000-0000621F0000}"/>
    <cellStyle name="Normal 9 2 4 2 3 2" xfId="3638" xr:uid="{00000000-0005-0000-0000-0000631F0000}"/>
    <cellStyle name="Normal 9 2 4 2 3 2 2" xfId="7860" xr:uid="{00000000-0005-0000-0000-0000641F0000}"/>
    <cellStyle name="Normal 9 2 4 2 3 2 2 2" xfId="24751" xr:uid="{143E490F-1D0C-4DC6-9FBC-9A8E45D7A041}"/>
    <cellStyle name="Normal 9 2 4 2 3 2 2 3" xfId="16310" xr:uid="{773210C0-111E-45BD-961C-2802F0882207}"/>
    <cellStyle name="Normal 9 2 4 2 3 2 3" xfId="20533" xr:uid="{68F03016-0C6B-4001-9864-4A86A380B58D}"/>
    <cellStyle name="Normal 9 2 4 2 3 2 4" xfId="12092" xr:uid="{C5653DBC-1633-4004-B716-F163B1A65A34}"/>
    <cellStyle name="Normal 9 2 4 2 3 3" xfId="5715" xr:uid="{00000000-0005-0000-0000-0000651F0000}"/>
    <cellStyle name="Normal 9 2 4 2 3 3 2" xfId="22606" xr:uid="{04D8E809-6282-4078-A4C0-9C8CA5805E8A}"/>
    <cellStyle name="Normal 9 2 4 2 3 3 3" xfId="14165" xr:uid="{50CA3F35-2E58-4976-B9AF-03294C8948BF}"/>
    <cellStyle name="Normal 9 2 4 2 3 4" xfId="18388" xr:uid="{A770C1FA-8F92-4633-9397-37F9C0F7601A}"/>
    <cellStyle name="Normal 9 2 4 2 3 5" xfId="9947" xr:uid="{E9A163AC-7E98-4A27-BC19-7CE8DC5BA82A}"/>
    <cellStyle name="Normal 9 2 4 2 4" xfId="1821" xr:uid="{00000000-0005-0000-0000-0000661F0000}"/>
    <cellStyle name="Normal 9 2 4 2 4 2" xfId="4051" xr:uid="{00000000-0005-0000-0000-0000671F0000}"/>
    <cellStyle name="Normal 9 2 4 2 4 2 2" xfId="8273" xr:uid="{00000000-0005-0000-0000-0000681F0000}"/>
    <cellStyle name="Normal 9 2 4 2 4 2 2 2" xfId="25164" xr:uid="{52C59D9D-6D87-4CE0-8ECD-C395CA626747}"/>
    <cellStyle name="Normal 9 2 4 2 4 2 2 3" xfId="16723" xr:uid="{13913444-4CE4-407D-944A-F06C62A95516}"/>
    <cellStyle name="Normal 9 2 4 2 4 2 3" xfId="20946" xr:uid="{3AD955E0-B83B-408A-A4D4-F54993166787}"/>
    <cellStyle name="Normal 9 2 4 2 4 2 4" xfId="12505" xr:uid="{1FB6B040-B277-4796-AD3F-5901EF7F2D14}"/>
    <cellStyle name="Normal 9 2 4 2 4 3" xfId="6128" xr:uid="{00000000-0005-0000-0000-0000691F0000}"/>
    <cellStyle name="Normal 9 2 4 2 4 3 2" xfId="23019" xr:uid="{4B5149BC-B3D7-49C2-B154-EFB1E451D485}"/>
    <cellStyle name="Normal 9 2 4 2 4 3 3" xfId="14578" xr:uid="{0F8A2339-1331-421C-8E32-DF980F150864}"/>
    <cellStyle name="Normal 9 2 4 2 4 4" xfId="18801" xr:uid="{9570C236-D539-4B5D-B132-87F2F794E629}"/>
    <cellStyle name="Normal 9 2 4 2 4 5" xfId="10360" xr:uid="{44277A0C-A6B3-4CB2-B447-855ED407E855}"/>
    <cellStyle name="Normal 9 2 4 2 5" xfId="2235" xr:uid="{00000000-0005-0000-0000-00006A1F0000}"/>
    <cellStyle name="Normal 9 2 4 2 5 2" xfId="4464" xr:uid="{00000000-0005-0000-0000-00006B1F0000}"/>
    <cellStyle name="Normal 9 2 4 2 5 2 2" xfId="8686" xr:uid="{00000000-0005-0000-0000-00006C1F0000}"/>
    <cellStyle name="Normal 9 2 4 2 5 2 2 2" xfId="25577" xr:uid="{5CBE989D-D5EB-48AC-976A-86B71EA0A54D}"/>
    <cellStyle name="Normal 9 2 4 2 5 2 2 3" xfId="17136" xr:uid="{027F2904-24ED-4E1F-A9B6-ED7ADE101D39}"/>
    <cellStyle name="Normal 9 2 4 2 5 2 3" xfId="21359" xr:uid="{CF1C6C5D-5EBA-4DA8-A4B9-B38ACF7F41EC}"/>
    <cellStyle name="Normal 9 2 4 2 5 2 4" xfId="12918" xr:uid="{E84B6BA4-AB6F-4B7F-983C-05FC26600664}"/>
    <cellStyle name="Normal 9 2 4 2 5 3" xfId="6541" xr:uid="{00000000-0005-0000-0000-00006D1F0000}"/>
    <cellStyle name="Normal 9 2 4 2 5 3 2" xfId="23432" xr:uid="{FA039BA0-08BE-4ED8-9711-55D103C3D902}"/>
    <cellStyle name="Normal 9 2 4 2 5 3 3" xfId="14991" xr:uid="{4034F531-0399-40F6-8052-2E42DAF50167}"/>
    <cellStyle name="Normal 9 2 4 2 5 4" xfId="19214" xr:uid="{5185FC57-58AA-4CD3-BB0E-2F83A3EA455F}"/>
    <cellStyle name="Normal 9 2 4 2 5 5" xfId="10773" xr:uid="{AF9F1830-A465-402E-B4C2-0EEB86DAF516}"/>
    <cellStyle name="Normal 9 2 4 2 6" xfId="2671" xr:uid="{00000000-0005-0000-0000-00006E1F0000}"/>
    <cellStyle name="Normal 9 2 4 2 6 2" xfId="6954" xr:uid="{00000000-0005-0000-0000-00006F1F0000}"/>
    <cellStyle name="Normal 9 2 4 2 6 2 2" xfId="23845" xr:uid="{F3513243-13D4-48CD-8303-8BBB8BBA522E}"/>
    <cellStyle name="Normal 9 2 4 2 6 2 3" xfId="15404" xr:uid="{FB42A550-2A3A-462D-B6DE-9A3896E81995}"/>
    <cellStyle name="Normal 9 2 4 2 6 3" xfId="19627" xr:uid="{F6B976FF-48A5-4312-A5DD-2F9664F8E82F}"/>
    <cellStyle name="Normal 9 2 4 2 6 4" xfId="11186" xr:uid="{034D38F0-F973-4C63-B9DF-C2DF97B44C5F}"/>
    <cellStyle name="Normal 9 2 4 2 7" xfId="4889" xr:uid="{00000000-0005-0000-0000-0000701F0000}"/>
    <cellStyle name="Normal 9 2 4 2 7 2" xfId="21780" xr:uid="{17ABF446-792E-4360-A723-ADE0DA799B21}"/>
    <cellStyle name="Normal 9 2 4 2 7 3" xfId="13339" xr:uid="{73E4ACC9-7B3D-4259-8BB0-0C0B6F60BC95}"/>
    <cellStyle name="Normal 9 2 4 2 8" xfId="17562" xr:uid="{C775E472-5370-460A-96B4-5A5AE4D195BB}"/>
    <cellStyle name="Normal 9 2 4 2 9" xfId="9121" xr:uid="{40C8253F-72D6-4EC4-BC5F-016AB8DE2A49}"/>
    <cellStyle name="Normal 9 2 4 3" xfId="991" xr:uid="{00000000-0005-0000-0000-0000711F0000}"/>
    <cellStyle name="Normal 9 2 4 3 2" xfId="3224" xr:uid="{00000000-0005-0000-0000-0000721F0000}"/>
    <cellStyle name="Normal 9 2 4 3 2 2" xfId="7446" xr:uid="{00000000-0005-0000-0000-0000731F0000}"/>
    <cellStyle name="Normal 9 2 4 3 2 2 2" xfId="24337" xr:uid="{20FF1016-57BB-4455-8F52-F6BC44346F00}"/>
    <cellStyle name="Normal 9 2 4 3 2 2 3" xfId="15896" xr:uid="{6F6E608C-1B57-444D-A057-D16AB75DAA7D}"/>
    <cellStyle name="Normal 9 2 4 3 2 3" xfId="20119" xr:uid="{B23D6536-7894-427F-8406-03BBC0EB2FDD}"/>
    <cellStyle name="Normal 9 2 4 3 2 4" xfId="11678" xr:uid="{BD3DEFAF-2996-475D-8A28-2F69A03FC950}"/>
    <cellStyle name="Normal 9 2 4 3 3" xfId="5301" xr:uid="{00000000-0005-0000-0000-0000741F0000}"/>
    <cellStyle name="Normal 9 2 4 3 3 2" xfId="22192" xr:uid="{FBAF987E-6033-4196-A640-3BBA9E832050}"/>
    <cellStyle name="Normal 9 2 4 3 3 3" xfId="13751" xr:uid="{F6BA8732-4F56-4AD5-856B-81469C9D2E52}"/>
    <cellStyle name="Normal 9 2 4 3 4" xfId="17974" xr:uid="{F2D78809-DC2F-427A-834F-69AE7F3F2903}"/>
    <cellStyle name="Normal 9 2 4 3 5" xfId="9533" xr:uid="{E40C2A59-AD36-4E24-A830-1083D12ADC8E}"/>
    <cellStyle name="Normal 9 2 4 4" xfId="1407" xr:uid="{00000000-0005-0000-0000-0000751F0000}"/>
    <cellStyle name="Normal 9 2 4 4 2" xfId="3637" xr:uid="{00000000-0005-0000-0000-0000761F0000}"/>
    <cellStyle name="Normal 9 2 4 4 2 2" xfId="7859" xr:uid="{00000000-0005-0000-0000-0000771F0000}"/>
    <cellStyle name="Normal 9 2 4 4 2 2 2" xfId="24750" xr:uid="{4C78AA63-D57B-4B16-93E8-2F425381518D}"/>
    <cellStyle name="Normal 9 2 4 4 2 2 3" xfId="16309" xr:uid="{A70EF273-A258-4FB0-981D-4146982B5B86}"/>
    <cellStyle name="Normal 9 2 4 4 2 3" xfId="20532" xr:uid="{ABAC4F54-F700-4D5A-9F25-52BB8EB967BC}"/>
    <cellStyle name="Normal 9 2 4 4 2 4" xfId="12091" xr:uid="{F2C04519-DAF3-4BD4-B14A-EF811E6A33A7}"/>
    <cellStyle name="Normal 9 2 4 4 3" xfId="5714" xr:uid="{00000000-0005-0000-0000-0000781F0000}"/>
    <cellStyle name="Normal 9 2 4 4 3 2" xfId="22605" xr:uid="{62DA3E57-63C7-45DB-B926-41E5341A8A1F}"/>
    <cellStyle name="Normal 9 2 4 4 3 3" xfId="14164" xr:uid="{CB8474CD-75C9-44A9-801D-F5872AA05383}"/>
    <cellStyle name="Normal 9 2 4 4 4" xfId="18387" xr:uid="{D5D6B2CD-96D7-4A42-AF16-4BA2337B4D74}"/>
    <cellStyle name="Normal 9 2 4 4 5" xfId="9946" xr:uid="{B37A4218-9B05-40A2-B63D-B9D7956566BE}"/>
    <cellStyle name="Normal 9 2 4 5" xfId="1820" xr:uid="{00000000-0005-0000-0000-0000791F0000}"/>
    <cellStyle name="Normal 9 2 4 5 2" xfId="4050" xr:uid="{00000000-0005-0000-0000-00007A1F0000}"/>
    <cellStyle name="Normal 9 2 4 5 2 2" xfId="8272" xr:uid="{00000000-0005-0000-0000-00007B1F0000}"/>
    <cellStyle name="Normal 9 2 4 5 2 2 2" xfId="25163" xr:uid="{E44D84C9-9E82-4059-BA05-2CD391E73268}"/>
    <cellStyle name="Normal 9 2 4 5 2 2 3" xfId="16722" xr:uid="{3FBE3FA2-08B1-4CC5-9C00-327A57719C63}"/>
    <cellStyle name="Normal 9 2 4 5 2 3" xfId="20945" xr:uid="{06ECDAD0-C6C1-4AE2-8ABB-8329A648051D}"/>
    <cellStyle name="Normal 9 2 4 5 2 4" xfId="12504" xr:uid="{E2B87612-C8F9-4B7B-80E4-9A15543512F7}"/>
    <cellStyle name="Normal 9 2 4 5 3" xfId="6127" xr:uid="{00000000-0005-0000-0000-00007C1F0000}"/>
    <cellStyle name="Normal 9 2 4 5 3 2" xfId="23018" xr:uid="{8DF4FAF8-04A9-4D14-B23E-D42A5D40934B}"/>
    <cellStyle name="Normal 9 2 4 5 3 3" xfId="14577" xr:uid="{1FFFFAA2-0FA4-4CEB-A24B-4896FB741918}"/>
    <cellStyle name="Normal 9 2 4 5 4" xfId="18800" xr:uid="{F0BE655F-A9BE-4055-AD3B-AEB5D5DA7318}"/>
    <cellStyle name="Normal 9 2 4 5 5" xfId="10359" xr:uid="{D4356624-05C0-46D4-8175-C9B7C2C86537}"/>
    <cellStyle name="Normal 9 2 4 6" xfId="2234" xr:uid="{00000000-0005-0000-0000-00007D1F0000}"/>
    <cellStyle name="Normal 9 2 4 6 2" xfId="4463" xr:uid="{00000000-0005-0000-0000-00007E1F0000}"/>
    <cellStyle name="Normal 9 2 4 6 2 2" xfId="8685" xr:uid="{00000000-0005-0000-0000-00007F1F0000}"/>
    <cellStyle name="Normal 9 2 4 6 2 2 2" xfId="25576" xr:uid="{35970989-0FD8-4EEF-9C42-29ABA7A950D8}"/>
    <cellStyle name="Normal 9 2 4 6 2 2 3" xfId="17135" xr:uid="{61AD5AE4-8643-41DA-946B-CFA1815F06C1}"/>
    <cellStyle name="Normal 9 2 4 6 2 3" xfId="21358" xr:uid="{36B5B19C-36AD-4968-A991-D6B3A04F3E67}"/>
    <cellStyle name="Normal 9 2 4 6 2 4" xfId="12917" xr:uid="{9A85BA7C-327F-4C1E-A689-99D8EB5E7959}"/>
    <cellStyle name="Normal 9 2 4 6 3" xfId="6540" xr:uid="{00000000-0005-0000-0000-0000801F0000}"/>
    <cellStyle name="Normal 9 2 4 6 3 2" xfId="23431" xr:uid="{592E6425-1621-4B4A-BACA-55871834C50D}"/>
    <cellStyle name="Normal 9 2 4 6 3 3" xfId="14990" xr:uid="{35D7FC30-67A6-4461-887E-F10AC6968029}"/>
    <cellStyle name="Normal 9 2 4 6 4" xfId="19213" xr:uid="{8D8E99B3-9AC9-4E33-A17C-2B68264C5862}"/>
    <cellStyle name="Normal 9 2 4 6 5" xfId="10772" xr:uid="{0568A906-E09A-40B7-B204-5CAC972666B9}"/>
    <cellStyle name="Normal 9 2 4 7" xfId="2670" xr:uid="{00000000-0005-0000-0000-0000811F0000}"/>
    <cellStyle name="Normal 9 2 4 7 2" xfId="6953" xr:uid="{00000000-0005-0000-0000-0000821F0000}"/>
    <cellStyle name="Normal 9 2 4 7 2 2" xfId="23844" xr:uid="{A8141A97-4447-4CD5-A5EE-A90ACD587717}"/>
    <cellStyle name="Normal 9 2 4 7 2 3" xfId="15403" xr:uid="{E90878B7-B789-4FEE-8CE8-67980C040B40}"/>
    <cellStyle name="Normal 9 2 4 7 3" xfId="19626" xr:uid="{F98D52D6-4997-4BA8-B58D-8C3332F7515E}"/>
    <cellStyle name="Normal 9 2 4 7 4" xfId="11185" xr:uid="{7AE32F8D-BA92-4A30-B3DF-DC3850E331E7}"/>
    <cellStyle name="Normal 9 2 4 8" xfId="4888" xr:uid="{00000000-0005-0000-0000-0000831F0000}"/>
    <cellStyle name="Normal 9 2 4 8 2" xfId="21779" xr:uid="{0F1E7F95-0381-45A0-A3AC-2241AABFCD12}"/>
    <cellStyle name="Normal 9 2 4 8 3" xfId="13338" xr:uid="{7B8E5D10-1B76-44A8-BBF2-DFA19F10D4CB}"/>
    <cellStyle name="Normal 9 2 4 9" xfId="17561" xr:uid="{30BF7E43-2D38-4E5B-BCBA-DE5B50C5E0C6}"/>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2 2 2" xfId="24339" xr:uid="{695BF081-0356-4DDE-B6FC-83D8F09C3995}"/>
    <cellStyle name="Normal 9 2 5 2 2 2 3" xfId="15898" xr:uid="{801FC825-9DE5-406A-BC4E-5BD9528B406A}"/>
    <cellStyle name="Normal 9 2 5 2 2 3" xfId="20121" xr:uid="{BD8EB9E9-D306-4F50-9AE6-39836E9C4998}"/>
    <cellStyle name="Normal 9 2 5 2 2 4" xfId="11680" xr:uid="{308DF411-2565-43F9-9C12-20D62E190482}"/>
    <cellStyle name="Normal 9 2 5 2 3" xfId="5303" xr:uid="{00000000-0005-0000-0000-0000881F0000}"/>
    <cellStyle name="Normal 9 2 5 2 3 2" xfId="22194" xr:uid="{AED90D5F-EB0F-497C-B373-4D455D2D5A20}"/>
    <cellStyle name="Normal 9 2 5 2 3 3" xfId="13753" xr:uid="{255E3389-8609-4B0C-B820-9FA15DA4F7B2}"/>
    <cellStyle name="Normal 9 2 5 2 4" xfId="17976" xr:uid="{7AF3AF50-EF72-4C96-A72F-FAF308677562}"/>
    <cellStyle name="Normal 9 2 5 2 5" xfId="9535" xr:uid="{97B65FFF-2C4B-439E-9DF2-25D507D9A34A}"/>
    <cellStyle name="Normal 9 2 5 3" xfId="1409" xr:uid="{00000000-0005-0000-0000-0000891F0000}"/>
    <cellStyle name="Normal 9 2 5 3 2" xfId="3639" xr:uid="{00000000-0005-0000-0000-00008A1F0000}"/>
    <cellStyle name="Normal 9 2 5 3 2 2" xfId="7861" xr:uid="{00000000-0005-0000-0000-00008B1F0000}"/>
    <cellStyle name="Normal 9 2 5 3 2 2 2" xfId="24752" xr:uid="{451DC522-BE77-41D6-B78A-F093684A47D7}"/>
    <cellStyle name="Normal 9 2 5 3 2 2 3" xfId="16311" xr:uid="{50D54D33-ADC6-44ED-AFCF-80E39135C3A1}"/>
    <cellStyle name="Normal 9 2 5 3 2 3" xfId="20534" xr:uid="{26F0B9D3-6AF1-45DA-BE11-4887889278F1}"/>
    <cellStyle name="Normal 9 2 5 3 2 4" xfId="12093" xr:uid="{C86534AC-FF42-4F2E-AF7F-9E1829C40002}"/>
    <cellStyle name="Normal 9 2 5 3 3" xfId="5716" xr:uid="{00000000-0005-0000-0000-00008C1F0000}"/>
    <cellStyle name="Normal 9 2 5 3 3 2" xfId="22607" xr:uid="{B6DA6AF9-D8EA-4CB5-894C-C01828D31093}"/>
    <cellStyle name="Normal 9 2 5 3 3 3" xfId="14166" xr:uid="{E4D3D97B-452C-406E-B4B1-19A589CE03BE}"/>
    <cellStyle name="Normal 9 2 5 3 4" xfId="18389" xr:uid="{EE08C868-4FC8-42D4-9AE2-47B5064DDF51}"/>
    <cellStyle name="Normal 9 2 5 3 5" xfId="9948" xr:uid="{EEFC6DBE-DBB6-452C-AC8B-2B73A6E419C4}"/>
    <cellStyle name="Normal 9 2 5 4" xfId="1822" xr:uid="{00000000-0005-0000-0000-00008D1F0000}"/>
    <cellStyle name="Normal 9 2 5 4 2" xfId="4052" xr:uid="{00000000-0005-0000-0000-00008E1F0000}"/>
    <cellStyle name="Normal 9 2 5 4 2 2" xfId="8274" xr:uid="{00000000-0005-0000-0000-00008F1F0000}"/>
    <cellStyle name="Normal 9 2 5 4 2 2 2" xfId="25165" xr:uid="{669F9AA5-2924-45A7-A415-3FB7A7F66F18}"/>
    <cellStyle name="Normal 9 2 5 4 2 2 3" xfId="16724" xr:uid="{BB6F3C2B-3E6C-4A86-8AB2-C5BD19E5AA46}"/>
    <cellStyle name="Normal 9 2 5 4 2 3" xfId="20947" xr:uid="{CA5E1577-DB58-4FCA-8187-B0DE8E3449CE}"/>
    <cellStyle name="Normal 9 2 5 4 2 4" xfId="12506" xr:uid="{A40930BD-2D43-4A59-B847-099ECF7C9867}"/>
    <cellStyle name="Normal 9 2 5 4 3" xfId="6129" xr:uid="{00000000-0005-0000-0000-0000901F0000}"/>
    <cellStyle name="Normal 9 2 5 4 3 2" xfId="23020" xr:uid="{AB9663F1-1914-4009-B656-29677890F6C4}"/>
    <cellStyle name="Normal 9 2 5 4 3 3" xfId="14579" xr:uid="{A351CFD7-559E-401A-9033-9DF9CD67F8DD}"/>
    <cellStyle name="Normal 9 2 5 4 4" xfId="18802" xr:uid="{AE6C38A3-C2CA-410E-B33A-788E8E2C9AE6}"/>
    <cellStyle name="Normal 9 2 5 4 5" xfId="10361" xr:uid="{E75C9B4C-CBD4-4A39-B237-480EC3549BB4}"/>
    <cellStyle name="Normal 9 2 5 5" xfId="2236" xr:uid="{00000000-0005-0000-0000-0000911F0000}"/>
    <cellStyle name="Normal 9 2 5 5 2" xfId="4465" xr:uid="{00000000-0005-0000-0000-0000921F0000}"/>
    <cellStyle name="Normal 9 2 5 5 2 2" xfId="8687" xr:uid="{00000000-0005-0000-0000-0000931F0000}"/>
    <cellStyle name="Normal 9 2 5 5 2 2 2" xfId="25578" xr:uid="{CB2DBF54-3130-4D33-B611-701F183F06C4}"/>
    <cellStyle name="Normal 9 2 5 5 2 2 3" xfId="17137" xr:uid="{2C032EC1-A5CE-469E-888F-8F2F648EF888}"/>
    <cellStyle name="Normal 9 2 5 5 2 3" xfId="21360" xr:uid="{7517B1A2-BCC6-4059-8231-02C07EF13193}"/>
    <cellStyle name="Normal 9 2 5 5 2 4" xfId="12919" xr:uid="{BB4F10F8-631D-4CD6-861F-251AE47C40C4}"/>
    <cellStyle name="Normal 9 2 5 5 3" xfId="6542" xr:uid="{00000000-0005-0000-0000-0000941F0000}"/>
    <cellStyle name="Normal 9 2 5 5 3 2" xfId="23433" xr:uid="{F8162149-EBEB-4AEA-9D26-A052BE97DA3F}"/>
    <cellStyle name="Normal 9 2 5 5 3 3" xfId="14992" xr:uid="{7E211750-40FF-4C7A-A33C-0001FB79417D}"/>
    <cellStyle name="Normal 9 2 5 5 4" xfId="19215" xr:uid="{35D477E9-C0AA-4793-A925-9709B71444D4}"/>
    <cellStyle name="Normal 9 2 5 5 5" xfId="10774" xr:uid="{8032DFB4-1BAC-4C55-B6A9-B64048297DE1}"/>
    <cellStyle name="Normal 9 2 5 6" xfId="2672" xr:uid="{00000000-0005-0000-0000-0000951F0000}"/>
    <cellStyle name="Normal 9 2 5 6 2" xfId="6955" xr:uid="{00000000-0005-0000-0000-0000961F0000}"/>
    <cellStyle name="Normal 9 2 5 6 2 2" xfId="23846" xr:uid="{C0FDB43E-CF29-4E98-AA29-1A5F1FA3EFA0}"/>
    <cellStyle name="Normal 9 2 5 6 2 3" xfId="15405" xr:uid="{FDA82622-6B5C-46F2-A0DE-591D1B150E1B}"/>
    <cellStyle name="Normal 9 2 5 6 3" xfId="19628" xr:uid="{1DFBCAF9-A3C5-404C-9496-A9FEABA03A46}"/>
    <cellStyle name="Normal 9 2 5 6 4" xfId="11187" xr:uid="{12B79DC9-F11E-4846-8CCC-8DE824575316}"/>
    <cellStyle name="Normal 9 2 5 7" xfId="4890" xr:uid="{00000000-0005-0000-0000-0000971F0000}"/>
    <cellStyle name="Normal 9 2 5 7 2" xfId="21781" xr:uid="{2C9B9519-35CD-48F4-AC8A-A5F1D8649931}"/>
    <cellStyle name="Normal 9 2 5 7 3" xfId="13340" xr:uid="{668CBB3C-9F48-4B02-A1F9-61DB8F273F63}"/>
    <cellStyle name="Normal 9 2 5 8" xfId="17563" xr:uid="{33C0AF71-F2E1-4BFF-A6C2-2DC191356622}"/>
    <cellStyle name="Normal 9 2 5 9" xfId="9122" xr:uid="{4EFB4DE1-ADD0-4412-BF91-03C4CFDA59EF}"/>
    <cellStyle name="Normal 9 2 6" xfId="978" xr:uid="{00000000-0005-0000-0000-0000981F0000}"/>
    <cellStyle name="Normal 9 2 6 2" xfId="3211" xr:uid="{00000000-0005-0000-0000-0000991F0000}"/>
    <cellStyle name="Normal 9 2 6 2 2" xfId="7433" xr:uid="{00000000-0005-0000-0000-00009A1F0000}"/>
    <cellStyle name="Normal 9 2 6 2 2 2" xfId="24324" xr:uid="{2495BBF0-13C7-4BA4-B2C5-F09570D43ACB}"/>
    <cellStyle name="Normal 9 2 6 2 2 3" xfId="15883" xr:uid="{5D603350-E58F-481C-B0C1-6C3E3EB726EA}"/>
    <cellStyle name="Normal 9 2 6 2 3" xfId="20106" xr:uid="{3A6AF7D9-5D99-4DAE-811B-CC4CFF9D4A59}"/>
    <cellStyle name="Normal 9 2 6 2 4" xfId="11665" xr:uid="{85BF890A-E2B9-4F39-AE34-58341A50161D}"/>
    <cellStyle name="Normal 9 2 6 3" xfId="5288" xr:uid="{00000000-0005-0000-0000-00009B1F0000}"/>
    <cellStyle name="Normal 9 2 6 3 2" xfId="22179" xr:uid="{87FE3437-E113-4BBB-88B0-C452C3EF444D}"/>
    <cellStyle name="Normal 9 2 6 3 3" xfId="13738" xr:uid="{157C3B92-47BC-4CE1-BA77-B0561BB025BC}"/>
    <cellStyle name="Normal 9 2 6 4" xfId="17961" xr:uid="{BD7654D4-ABE8-4B66-848B-689DD613E858}"/>
    <cellStyle name="Normal 9 2 6 5" xfId="9520" xr:uid="{CB671F3F-0AD0-487B-949F-CA45FD193915}"/>
    <cellStyle name="Normal 9 2 7" xfId="1394" xr:uid="{00000000-0005-0000-0000-00009C1F0000}"/>
    <cellStyle name="Normal 9 2 7 2" xfId="3624" xr:uid="{00000000-0005-0000-0000-00009D1F0000}"/>
    <cellStyle name="Normal 9 2 7 2 2" xfId="7846" xr:uid="{00000000-0005-0000-0000-00009E1F0000}"/>
    <cellStyle name="Normal 9 2 7 2 2 2" xfId="24737" xr:uid="{508C2E53-F529-4220-A7A2-50AAEC2B7C34}"/>
    <cellStyle name="Normal 9 2 7 2 2 3" xfId="16296" xr:uid="{F5C03599-3F07-4F12-B9E1-43FAC5BA228E}"/>
    <cellStyle name="Normal 9 2 7 2 3" xfId="20519" xr:uid="{16395A72-BD4B-4AF7-8614-0ECF060A0521}"/>
    <cellStyle name="Normal 9 2 7 2 4" xfId="12078" xr:uid="{111A491A-B07C-40B1-AB04-38E5FD45453A}"/>
    <cellStyle name="Normal 9 2 7 3" xfId="5701" xr:uid="{00000000-0005-0000-0000-00009F1F0000}"/>
    <cellStyle name="Normal 9 2 7 3 2" xfId="22592" xr:uid="{8F7B8CC0-DA54-4598-913A-77882B9485B4}"/>
    <cellStyle name="Normal 9 2 7 3 3" xfId="14151" xr:uid="{BE9A25F5-F831-47FE-B660-9D2A50CE554A}"/>
    <cellStyle name="Normal 9 2 7 4" xfId="18374" xr:uid="{A955E7B2-5D38-4B60-B959-DC06C6B9B59F}"/>
    <cellStyle name="Normal 9 2 7 5" xfId="9933" xr:uid="{F182ADE0-CD69-488F-9AA6-685FAB56DF1E}"/>
    <cellStyle name="Normal 9 2 8" xfId="1807" xr:uid="{00000000-0005-0000-0000-0000A01F0000}"/>
    <cellStyle name="Normal 9 2 8 2" xfId="4037" xr:uid="{00000000-0005-0000-0000-0000A11F0000}"/>
    <cellStyle name="Normal 9 2 8 2 2" xfId="8259" xr:uid="{00000000-0005-0000-0000-0000A21F0000}"/>
    <cellStyle name="Normal 9 2 8 2 2 2" xfId="25150" xr:uid="{30915DDC-614C-4047-8C8A-8A2067AECA87}"/>
    <cellStyle name="Normal 9 2 8 2 2 3" xfId="16709" xr:uid="{52842733-E983-4766-8857-B1E119F26F22}"/>
    <cellStyle name="Normal 9 2 8 2 3" xfId="20932" xr:uid="{E9C20A57-BE05-41D9-AA3E-6394D575911B}"/>
    <cellStyle name="Normal 9 2 8 2 4" xfId="12491" xr:uid="{0B298FAD-8E0D-40CC-AEE6-205B12CC7276}"/>
    <cellStyle name="Normal 9 2 8 3" xfId="6114" xr:uid="{00000000-0005-0000-0000-0000A31F0000}"/>
    <cellStyle name="Normal 9 2 8 3 2" xfId="23005" xr:uid="{C1AEF757-3B87-4D0B-A323-2BEE479CA7AC}"/>
    <cellStyle name="Normal 9 2 8 3 3" xfId="14564" xr:uid="{9CC80D93-9E1C-4742-BD64-DDED3361A428}"/>
    <cellStyle name="Normal 9 2 8 4" xfId="18787" xr:uid="{A496FE0A-241A-4F12-86BF-179D3603AC25}"/>
    <cellStyle name="Normal 9 2 8 5" xfId="10346" xr:uid="{9AA48554-5CEE-402A-9555-9BF8975889AF}"/>
    <cellStyle name="Normal 9 2 9" xfId="2221" xr:uid="{00000000-0005-0000-0000-0000A41F0000}"/>
    <cellStyle name="Normal 9 2 9 2" xfId="4450" xr:uid="{00000000-0005-0000-0000-0000A51F0000}"/>
    <cellStyle name="Normal 9 2 9 2 2" xfId="8672" xr:uid="{00000000-0005-0000-0000-0000A61F0000}"/>
    <cellStyle name="Normal 9 2 9 2 2 2" xfId="25563" xr:uid="{BF8F4AE6-CC0E-4047-B2DF-5E79C8CB58B8}"/>
    <cellStyle name="Normal 9 2 9 2 2 3" xfId="17122" xr:uid="{4142B005-7827-4287-9E09-3A3B2A9E65CF}"/>
    <cellStyle name="Normal 9 2 9 2 3" xfId="21345" xr:uid="{727F9ACE-E8D7-4224-9A5B-E9B2920C0346}"/>
    <cellStyle name="Normal 9 2 9 2 4" xfId="12904" xr:uid="{31613E8E-ABED-4DBA-A6B4-097CE862EDDB}"/>
    <cellStyle name="Normal 9 2 9 3" xfId="6527" xr:uid="{00000000-0005-0000-0000-0000A71F0000}"/>
    <cellStyle name="Normal 9 2 9 3 2" xfId="23418" xr:uid="{1090BFBF-DBAE-4182-AA15-D9CA6458D5FC}"/>
    <cellStyle name="Normal 9 2 9 3 3" xfId="14977" xr:uid="{985363B6-0BC5-4C06-8D16-E60AA2E17497}"/>
    <cellStyle name="Normal 9 2 9 4" xfId="19200" xr:uid="{2B41099C-6219-4794-969F-86CBFF579146}"/>
    <cellStyle name="Normal 9 2 9 5" xfId="10759" xr:uid="{A6520AE8-2E3B-4226-A06B-D4C4F0DC97A1}"/>
    <cellStyle name="Normal 9 3" xfId="527" xr:uid="{00000000-0005-0000-0000-0000A81F0000}"/>
    <cellStyle name="Normal 9 3 10" xfId="4891" xr:uid="{00000000-0005-0000-0000-0000A91F0000}"/>
    <cellStyle name="Normal 9 3 10 2" xfId="21782" xr:uid="{D4314110-699D-43C6-8C6B-BE1B1A4A0224}"/>
    <cellStyle name="Normal 9 3 10 3" xfId="13341" xr:uid="{F29BFBD4-A51D-410C-81F1-CD8E3DC48778}"/>
    <cellStyle name="Normal 9 3 11" xfId="17564" xr:uid="{101262F5-C152-48E8-9D80-CDD1AF2EC9B0}"/>
    <cellStyle name="Normal 9 3 12" xfId="9123" xr:uid="{FE108D62-75E4-47A5-BF50-63E103610275}"/>
    <cellStyle name="Normal 9 3 2" xfId="528" xr:uid="{00000000-0005-0000-0000-0000AA1F0000}"/>
    <cellStyle name="Normal 9 3 2 10" xfId="17565" xr:uid="{B1C1109C-1624-4A21-8A0A-F635A7A54F65}"/>
    <cellStyle name="Normal 9 3 2 11" xfId="9124" xr:uid="{CF89BFF7-5BD4-428A-9ED9-DB0AE5D6339A}"/>
    <cellStyle name="Normal 9 3 2 2" xfId="529" xr:uid="{00000000-0005-0000-0000-0000AB1F0000}"/>
    <cellStyle name="Normal 9 3 2 2 10" xfId="9125" xr:uid="{7CB4565F-DA15-41A4-BB88-26C2E370F65E}"/>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2 2 2" xfId="24343" xr:uid="{FD463315-24DD-446D-8645-4B21DDFBE971}"/>
    <cellStyle name="Normal 9 3 2 2 2 2 2 2 3" xfId="15902" xr:uid="{385988DF-25D8-4FE4-8FDB-41D4A6CA0A26}"/>
    <cellStyle name="Normal 9 3 2 2 2 2 2 3" xfId="20125" xr:uid="{50F48453-D7D2-4985-BAD8-BE1A5C5BBE4F}"/>
    <cellStyle name="Normal 9 3 2 2 2 2 2 4" xfId="11684" xr:uid="{82A05F1A-8838-4D3C-8D1B-F1CBA4B09260}"/>
    <cellStyle name="Normal 9 3 2 2 2 2 3" xfId="5307" xr:uid="{00000000-0005-0000-0000-0000B01F0000}"/>
    <cellStyle name="Normal 9 3 2 2 2 2 3 2" xfId="22198" xr:uid="{929622B9-E9D7-4F95-8B3F-0BE141A23109}"/>
    <cellStyle name="Normal 9 3 2 2 2 2 3 3" xfId="13757" xr:uid="{BBF7D3FD-2F1A-48DB-AE0B-B983F983C830}"/>
    <cellStyle name="Normal 9 3 2 2 2 2 4" xfId="17980" xr:uid="{8A8AB474-B915-47B4-A3CA-E1F56E4F00E3}"/>
    <cellStyle name="Normal 9 3 2 2 2 2 5" xfId="9539" xr:uid="{61C3E53C-F5E8-483C-8CF9-078348CB37EC}"/>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2 2 2" xfId="24756" xr:uid="{978FF40C-3B52-4BFA-AA8B-6E8E5A2D250A}"/>
    <cellStyle name="Normal 9 3 2 2 2 3 2 2 3" xfId="16315" xr:uid="{EEE37661-203B-4D42-8ADF-D0A79D2B3B3F}"/>
    <cellStyle name="Normal 9 3 2 2 2 3 2 3" xfId="20538" xr:uid="{C6A36B54-D6A1-4FB8-A439-2249296BC531}"/>
    <cellStyle name="Normal 9 3 2 2 2 3 2 4" xfId="12097" xr:uid="{29E5D0CB-B8D4-4DEC-88FE-2E307C0A1537}"/>
    <cellStyle name="Normal 9 3 2 2 2 3 3" xfId="5720" xr:uid="{00000000-0005-0000-0000-0000B41F0000}"/>
    <cellStyle name="Normal 9 3 2 2 2 3 3 2" xfId="22611" xr:uid="{F04F56D1-15C8-47FE-B90C-6DD087D8057B}"/>
    <cellStyle name="Normal 9 3 2 2 2 3 3 3" xfId="14170" xr:uid="{697AA079-D793-4F63-919F-6A0F6D8DC412}"/>
    <cellStyle name="Normal 9 3 2 2 2 3 4" xfId="18393" xr:uid="{3E8E4FF7-66B7-4120-BF13-C7018F2C32E3}"/>
    <cellStyle name="Normal 9 3 2 2 2 3 5" xfId="9952" xr:uid="{B9D0FCAE-1AEA-4AE9-BE88-95C8678618DC}"/>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2 2 2" xfId="25169" xr:uid="{318599C9-F860-4563-BFFC-ED4A7BB82C7C}"/>
    <cellStyle name="Normal 9 3 2 2 2 4 2 2 3" xfId="16728" xr:uid="{63AB908B-D9AD-4E04-A209-6D288EF60497}"/>
    <cellStyle name="Normal 9 3 2 2 2 4 2 3" xfId="20951" xr:uid="{8C6B5824-072C-43BA-BBA8-1D3EBB65196D}"/>
    <cellStyle name="Normal 9 3 2 2 2 4 2 4" xfId="12510" xr:uid="{B5E7D988-DBCB-4B57-B555-28EA3D64C790}"/>
    <cellStyle name="Normal 9 3 2 2 2 4 3" xfId="6133" xr:uid="{00000000-0005-0000-0000-0000B81F0000}"/>
    <cellStyle name="Normal 9 3 2 2 2 4 3 2" xfId="23024" xr:uid="{2FD0C2BB-3A31-48B1-9BA3-22C633E7CD9C}"/>
    <cellStyle name="Normal 9 3 2 2 2 4 3 3" xfId="14583" xr:uid="{4B533F76-674F-45CF-A328-51D0D592720E}"/>
    <cellStyle name="Normal 9 3 2 2 2 4 4" xfId="18806" xr:uid="{D4A94811-D073-4B7B-9306-58D8F97D2963}"/>
    <cellStyle name="Normal 9 3 2 2 2 4 5" xfId="10365" xr:uid="{B9F74FC2-CAAE-4748-BCCE-ACE8C1B01568}"/>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2 2 2" xfId="25582" xr:uid="{92383CF5-7027-4E1C-ABE1-A8C5D516EF4D}"/>
    <cellStyle name="Normal 9 3 2 2 2 5 2 2 3" xfId="17141" xr:uid="{08347B0F-6B4F-4309-9696-2695A734347F}"/>
    <cellStyle name="Normal 9 3 2 2 2 5 2 3" xfId="21364" xr:uid="{871A0900-1BF4-4BCC-A8E9-B39D0205A5E3}"/>
    <cellStyle name="Normal 9 3 2 2 2 5 2 4" xfId="12923" xr:uid="{0A8FB638-8EAA-4DD6-93F1-34A8D21E5C5F}"/>
    <cellStyle name="Normal 9 3 2 2 2 5 3" xfId="6546" xr:uid="{00000000-0005-0000-0000-0000BC1F0000}"/>
    <cellStyle name="Normal 9 3 2 2 2 5 3 2" xfId="23437" xr:uid="{2A6B6560-D627-48BD-B993-898CE4C59A36}"/>
    <cellStyle name="Normal 9 3 2 2 2 5 3 3" xfId="14996" xr:uid="{05C3B1BE-B5DD-4706-83A2-3B1B001FCD49}"/>
    <cellStyle name="Normal 9 3 2 2 2 5 4" xfId="19219" xr:uid="{64E8C07D-B2B1-478B-B72A-7D8CD3A302D8}"/>
    <cellStyle name="Normal 9 3 2 2 2 5 5" xfId="10778" xr:uid="{82DA4143-AFAD-4355-8013-4A4062C46155}"/>
    <cellStyle name="Normal 9 3 2 2 2 6" xfId="2676" xr:uid="{00000000-0005-0000-0000-0000BD1F0000}"/>
    <cellStyle name="Normal 9 3 2 2 2 6 2" xfId="6959" xr:uid="{00000000-0005-0000-0000-0000BE1F0000}"/>
    <cellStyle name="Normal 9 3 2 2 2 6 2 2" xfId="23850" xr:uid="{281278A9-3A1E-49ED-B601-2708F5DB16FA}"/>
    <cellStyle name="Normal 9 3 2 2 2 6 2 3" xfId="15409" xr:uid="{64E2A001-FA9E-41BE-9241-10F848C4EDB8}"/>
    <cellStyle name="Normal 9 3 2 2 2 6 3" xfId="19632" xr:uid="{AE8FF84E-3A95-438E-BDF7-76A3CD22F4A4}"/>
    <cellStyle name="Normal 9 3 2 2 2 6 4" xfId="11191" xr:uid="{5E3D079B-2A8D-454C-A73B-A1B85C084A1B}"/>
    <cellStyle name="Normal 9 3 2 2 2 7" xfId="4894" xr:uid="{00000000-0005-0000-0000-0000BF1F0000}"/>
    <cellStyle name="Normal 9 3 2 2 2 7 2" xfId="21785" xr:uid="{B88E29A3-AB55-467A-8AA6-0379F9D7E34B}"/>
    <cellStyle name="Normal 9 3 2 2 2 7 3" xfId="13344" xr:uid="{CEB5D5DD-BB6C-45BC-B48B-15BA5EA9E08E}"/>
    <cellStyle name="Normal 9 3 2 2 2 8" xfId="17567" xr:uid="{DA5E3CB1-4DA2-41DF-A68B-3B5A6D1191AA}"/>
    <cellStyle name="Normal 9 3 2 2 2 9" xfId="9126" xr:uid="{CA6DCD5A-FEA0-4072-BD7B-FF41FA62969D}"/>
    <cellStyle name="Normal 9 3 2 2 3" xfId="996" xr:uid="{00000000-0005-0000-0000-0000C01F0000}"/>
    <cellStyle name="Normal 9 3 2 2 3 2" xfId="3229" xr:uid="{00000000-0005-0000-0000-0000C11F0000}"/>
    <cellStyle name="Normal 9 3 2 2 3 2 2" xfId="7451" xr:uid="{00000000-0005-0000-0000-0000C21F0000}"/>
    <cellStyle name="Normal 9 3 2 2 3 2 2 2" xfId="24342" xr:uid="{FB94396A-8394-4D40-9474-BEF81E7570F4}"/>
    <cellStyle name="Normal 9 3 2 2 3 2 2 3" xfId="15901" xr:uid="{74B92B12-C3E7-4539-B823-8A9B9D62E441}"/>
    <cellStyle name="Normal 9 3 2 2 3 2 3" xfId="20124" xr:uid="{D1C5971B-76DA-4A35-8E2F-CC0B47EF1D85}"/>
    <cellStyle name="Normal 9 3 2 2 3 2 4" xfId="11683" xr:uid="{695DB4BB-587D-4354-A2DD-7A87D0529515}"/>
    <cellStyle name="Normal 9 3 2 2 3 3" xfId="5306" xr:uid="{00000000-0005-0000-0000-0000C31F0000}"/>
    <cellStyle name="Normal 9 3 2 2 3 3 2" xfId="22197" xr:uid="{B2D8FB5E-2584-4553-B433-A26C547F7CA4}"/>
    <cellStyle name="Normal 9 3 2 2 3 3 3" xfId="13756" xr:uid="{68C5E405-6862-4D47-B433-5770CB1B3C40}"/>
    <cellStyle name="Normal 9 3 2 2 3 4" xfId="17979" xr:uid="{BFEA24DC-5EE3-4ECF-B9DE-A4D22CE81797}"/>
    <cellStyle name="Normal 9 3 2 2 3 5" xfId="9538" xr:uid="{A70E2085-8F25-4189-8B40-F6256662E414}"/>
    <cellStyle name="Normal 9 3 2 2 4" xfId="1412" xr:uid="{00000000-0005-0000-0000-0000C41F0000}"/>
    <cellStyle name="Normal 9 3 2 2 4 2" xfId="3642" xr:uid="{00000000-0005-0000-0000-0000C51F0000}"/>
    <cellStyle name="Normal 9 3 2 2 4 2 2" xfId="7864" xr:uid="{00000000-0005-0000-0000-0000C61F0000}"/>
    <cellStyle name="Normal 9 3 2 2 4 2 2 2" xfId="24755" xr:uid="{4BE2531E-3256-42A3-8E94-9C0126D87C99}"/>
    <cellStyle name="Normal 9 3 2 2 4 2 2 3" xfId="16314" xr:uid="{2E86E157-E395-4C13-A20D-173E72546449}"/>
    <cellStyle name="Normal 9 3 2 2 4 2 3" xfId="20537" xr:uid="{16645DDD-784B-4990-8CA0-03B4C98BBFBD}"/>
    <cellStyle name="Normal 9 3 2 2 4 2 4" xfId="12096" xr:uid="{B454608D-6B5F-426F-BFA4-8F4B264D1420}"/>
    <cellStyle name="Normal 9 3 2 2 4 3" xfId="5719" xr:uid="{00000000-0005-0000-0000-0000C71F0000}"/>
    <cellStyle name="Normal 9 3 2 2 4 3 2" xfId="22610" xr:uid="{D7B6A194-57AB-4629-AFB7-133AE9154117}"/>
    <cellStyle name="Normal 9 3 2 2 4 3 3" xfId="14169" xr:uid="{97457C2F-9C67-44AD-9D15-2EE396B7889C}"/>
    <cellStyle name="Normal 9 3 2 2 4 4" xfId="18392" xr:uid="{9460B73E-BDC6-47B4-99E9-9CFB6E3E1CFA}"/>
    <cellStyle name="Normal 9 3 2 2 4 5" xfId="9951" xr:uid="{8EBFF566-1EE4-4136-991D-9E5DE4D2747B}"/>
    <cellStyle name="Normal 9 3 2 2 5" xfId="1825" xr:uid="{00000000-0005-0000-0000-0000C81F0000}"/>
    <cellStyle name="Normal 9 3 2 2 5 2" xfId="4055" xr:uid="{00000000-0005-0000-0000-0000C91F0000}"/>
    <cellStyle name="Normal 9 3 2 2 5 2 2" xfId="8277" xr:uid="{00000000-0005-0000-0000-0000CA1F0000}"/>
    <cellStyle name="Normal 9 3 2 2 5 2 2 2" xfId="25168" xr:uid="{7DE6079B-7DDE-463D-9641-B859229EB62A}"/>
    <cellStyle name="Normal 9 3 2 2 5 2 2 3" xfId="16727" xr:uid="{564FFFC6-3426-42AA-99F2-32FBF8BEFFDF}"/>
    <cellStyle name="Normal 9 3 2 2 5 2 3" xfId="20950" xr:uid="{8C1B0400-DA94-448E-A2B6-9884A088F3A0}"/>
    <cellStyle name="Normal 9 3 2 2 5 2 4" xfId="12509" xr:uid="{9E04AE02-BA6F-4DB9-8BAD-0EAAB015F043}"/>
    <cellStyle name="Normal 9 3 2 2 5 3" xfId="6132" xr:uid="{00000000-0005-0000-0000-0000CB1F0000}"/>
    <cellStyle name="Normal 9 3 2 2 5 3 2" xfId="23023" xr:uid="{F5BC486D-9187-4460-AEDD-B3C910CFFFC1}"/>
    <cellStyle name="Normal 9 3 2 2 5 3 3" xfId="14582" xr:uid="{B91B8EF9-8F3D-4D72-A745-69262E725992}"/>
    <cellStyle name="Normal 9 3 2 2 5 4" xfId="18805" xr:uid="{84B0888A-7FF4-46B0-9711-46BA1C765FAB}"/>
    <cellStyle name="Normal 9 3 2 2 5 5" xfId="10364" xr:uid="{4E806F3A-B6E0-4983-89A8-37A1792095B3}"/>
    <cellStyle name="Normal 9 3 2 2 6" xfId="2239" xr:uid="{00000000-0005-0000-0000-0000CC1F0000}"/>
    <cellStyle name="Normal 9 3 2 2 6 2" xfId="4468" xr:uid="{00000000-0005-0000-0000-0000CD1F0000}"/>
    <cellStyle name="Normal 9 3 2 2 6 2 2" xfId="8690" xr:uid="{00000000-0005-0000-0000-0000CE1F0000}"/>
    <cellStyle name="Normal 9 3 2 2 6 2 2 2" xfId="25581" xr:uid="{15FB4F09-78C4-4B3D-9A39-D3D62855F108}"/>
    <cellStyle name="Normal 9 3 2 2 6 2 2 3" xfId="17140" xr:uid="{208E6E5E-D60B-48C7-878F-0A7B9960D133}"/>
    <cellStyle name="Normal 9 3 2 2 6 2 3" xfId="21363" xr:uid="{DDA05454-9BBF-41B6-A467-4D46ED66B874}"/>
    <cellStyle name="Normal 9 3 2 2 6 2 4" xfId="12922" xr:uid="{22E9706B-9FE6-4F5E-9415-CDED06051B61}"/>
    <cellStyle name="Normal 9 3 2 2 6 3" xfId="6545" xr:uid="{00000000-0005-0000-0000-0000CF1F0000}"/>
    <cellStyle name="Normal 9 3 2 2 6 3 2" xfId="23436" xr:uid="{DE658109-5648-422F-9940-7AAE3EA346A0}"/>
    <cellStyle name="Normal 9 3 2 2 6 3 3" xfId="14995" xr:uid="{FF786CA3-E3B9-4D74-A291-D23D587AE392}"/>
    <cellStyle name="Normal 9 3 2 2 6 4" xfId="19218" xr:uid="{59E1DD91-D3F6-4623-BF35-19C090527ADD}"/>
    <cellStyle name="Normal 9 3 2 2 6 5" xfId="10777" xr:uid="{8136F395-CC76-436C-B3DF-8EB3BD8ABE2A}"/>
    <cellStyle name="Normal 9 3 2 2 7" xfId="2675" xr:uid="{00000000-0005-0000-0000-0000D01F0000}"/>
    <cellStyle name="Normal 9 3 2 2 7 2" xfId="6958" xr:uid="{00000000-0005-0000-0000-0000D11F0000}"/>
    <cellStyle name="Normal 9 3 2 2 7 2 2" xfId="23849" xr:uid="{A3E43B7F-F7C1-4281-A290-8D0D2036AA65}"/>
    <cellStyle name="Normal 9 3 2 2 7 2 3" xfId="15408" xr:uid="{88FE9A0A-8411-4F63-BA45-33E98C84832D}"/>
    <cellStyle name="Normal 9 3 2 2 7 3" xfId="19631" xr:uid="{038249C7-21C1-4593-8DCE-182911A65EF3}"/>
    <cellStyle name="Normal 9 3 2 2 7 4" xfId="11190" xr:uid="{F0DF3F53-5A08-4202-871F-7F8635917DCA}"/>
    <cellStyle name="Normal 9 3 2 2 8" xfId="4893" xr:uid="{00000000-0005-0000-0000-0000D21F0000}"/>
    <cellStyle name="Normal 9 3 2 2 8 2" xfId="21784" xr:uid="{FC08492E-5FDD-47DA-A198-6982D13628FA}"/>
    <cellStyle name="Normal 9 3 2 2 8 3" xfId="13343" xr:uid="{BEAAF864-9AB6-4FCC-93E8-8F5BFEBBCA96}"/>
    <cellStyle name="Normal 9 3 2 2 9" xfId="17566" xr:uid="{6EDA16B8-0C89-45B8-8AC6-823B0E4933E9}"/>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2 2 2" xfId="24344" xr:uid="{6DF9272A-58C1-42F6-9B29-B0A1D680BF8F}"/>
    <cellStyle name="Normal 9 3 2 3 2 2 2 3" xfId="15903" xr:uid="{C854FDA8-1E47-4C04-B805-52418C98BD61}"/>
    <cellStyle name="Normal 9 3 2 3 2 2 3" xfId="20126" xr:uid="{B01432E2-4AF7-486A-9757-AC40A74D8A0C}"/>
    <cellStyle name="Normal 9 3 2 3 2 2 4" xfId="11685" xr:uid="{FFDBB7B7-5B0E-4BCC-8360-762AA6FE6438}"/>
    <cellStyle name="Normal 9 3 2 3 2 3" xfId="5308" xr:uid="{00000000-0005-0000-0000-0000D71F0000}"/>
    <cellStyle name="Normal 9 3 2 3 2 3 2" xfId="22199" xr:uid="{C05E0A95-06B1-4CC6-8CB0-806FF8D533D6}"/>
    <cellStyle name="Normal 9 3 2 3 2 3 3" xfId="13758" xr:uid="{12849CF3-5B0A-4905-B73C-C54EB059A8F0}"/>
    <cellStyle name="Normal 9 3 2 3 2 4" xfId="17981" xr:uid="{C2DBD950-CA4C-4BC5-A3B3-95BB3E3768F6}"/>
    <cellStyle name="Normal 9 3 2 3 2 5" xfId="9540" xr:uid="{88E01AA0-B092-4BED-ABDE-BD63908855BA}"/>
    <cellStyle name="Normal 9 3 2 3 3" xfId="1414" xr:uid="{00000000-0005-0000-0000-0000D81F0000}"/>
    <cellStyle name="Normal 9 3 2 3 3 2" xfId="3644" xr:uid="{00000000-0005-0000-0000-0000D91F0000}"/>
    <cellStyle name="Normal 9 3 2 3 3 2 2" xfId="7866" xr:uid="{00000000-0005-0000-0000-0000DA1F0000}"/>
    <cellStyle name="Normal 9 3 2 3 3 2 2 2" xfId="24757" xr:uid="{754DBAA5-95F8-479B-9B87-D32E70376CD8}"/>
    <cellStyle name="Normal 9 3 2 3 3 2 2 3" xfId="16316" xr:uid="{26445381-39B8-4414-A672-66DE979A70A4}"/>
    <cellStyle name="Normal 9 3 2 3 3 2 3" xfId="20539" xr:uid="{682B21F3-6B11-4096-B22E-AD9376E2ECD7}"/>
    <cellStyle name="Normal 9 3 2 3 3 2 4" xfId="12098" xr:uid="{6FAF0A4B-B159-46EF-973A-B7FE02CE4B2C}"/>
    <cellStyle name="Normal 9 3 2 3 3 3" xfId="5721" xr:uid="{00000000-0005-0000-0000-0000DB1F0000}"/>
    <cellStyle name="Normal 9 3 2 3 3 3 2" xfId="22612" xr:uid="{E105584D-2A74-4D4C-8870-47C1FE6A0438}"/>
    <cellStyle name="Normal 9 3 2 3 3 3 3" xfId="14171" xr:uid="{552A30B2-5CC5-4D7C-8B7B-81B6B290894E}"/>
    <cellStyle name="Normal 9 3 2 3 3 4" xfId="18394" xr:uid="{FE30A95A-8EA0-49B5-BD4A-78489A53C5F6}"/>
    <cellStyle name="Normal 9 3 2 3 3 5" xfId="9953" xr:uid="{C3792FDC-A19D-4608-967D-6267FF05178E}"/>
    <cellStyle name="Normal 9 3 2 3 4" xfId="1827" xr:uid="{00000000-0005-0000-0000-0000DC1F0000}"/>
    <cellStyle name="Normal 9 3 2 3 4 2" xfId="4057" xr:uid="{00000000-0005-0000-0000-0000DD1F0000}"/>
    <cellStyle name="Normal 9 3 2 3 4 2 2" xfId="8279" xr:uid="{00000000-0005-0000-0000-0000DE1F0000}"/>
    <cellStyle name="Normal 9 3 2 3 4 2 2 2" xfId="25170" xr:uid="{64A1D736-965B-4641-9E5B-BAAD6DB00904}"/>
    <cellStyle name="Normal 9 3 2 3 4 2 2 3" xfId="16729" xr:uid="{E2591E68-4A44-4B8C-A249-01F525BFF4FC}"/>
    <cellStyle name="Normal 9 3 2 3 4 2 3" xfId="20952" xr:uid="{FEACA507-DC81-4355-97FF-E7470F7C168E}"/>
    <cellStyle name="Normal 9 3 2 3 4 2 4" xfId="12511" xr:uid="{BCDE00D3-41E3-4E6F-AC71-99947BAE3B3B}"/>
    <cellStyle name="Normal 9 3 2 3 4 3" xfId="6134" xr:uid="{00000000-0005-0000-0000-0000DF1F0000}"/>
    <cellStyle name="Normal 9 3 2 3 4 3 2" xfId="23025" xr:uid="{EBC60D9B-1467-4479-9619-11EE048A7500}"/>
    <cellStyle name="Normal 9 3 2 3 4 3 3" xfId="14584" xr:uid="{76058635-C48B-45E8-9004-CCCB3FBF3434}"/>
    <cellStyle name="Normal 9 3 2 3 4 4" xfId="18807" xr:uid="{1BB6178E-3C36-4DD6-9576-15E8839EBB4A}"/>
    <cellStyle name="Normal 9 3 2 3 4 5" xfId="10366" xr:uid="{77845360-8919-44DD-8A12-77B230E99C1F}"/>
    <cellStyle name="Normal 9 3 2 3 5" xfId="2241" xr:uid="{00000000-0005-0000-0000-0000E01F0000}"/>
    <cellStyle name="Normal 9 3 2 3 5 2" xfId="4470" xr:uid="{00000000-0005-0000-0000-0000E11F0000}"/>
    <cellStyle name="Normal 9 3 2 3 5 2 2" xfId="8692" xr:uid="{00000000-0005-0000-0000-0000E21F0000}"/>
    <cellStyle name="Normal 9 3 2 3 5 2 2 2" xfId="25583" xr:uid="{39CC771A-34D1-4D37-8C4D-927530EAB0F5}"/>
    <cellStyle name="Normal 9 3 2 3 5 2 2 3" xfId="17142" xr:uid="{BA0E0494-AD6C-4F8C-8DD3-8B7C77E5CB92}"/>
    <cellStyle name="Normal 9 3 2 3 5 2 3" xfId="21365" xr:uid="{0DC2092B-4CEC-4918-9C92-DFBEFE3E9DA7}"/>
    <cellStyle name="Normal 9 3 2 3 5 2 4" xfId="12924" xr:uid="{C1A4E815-847C-4A93-92BC-40AE41107A11}"/>
    <cellStyle name="Normal 9 3 2 3 5 3" xfId="6547" xr:uid="{00000000-0005-0000-0000-0000E31F0000}"/>
    <cellStyle name="Normal 9 3 2 3 5 3 2" xfId="23438" xr:uid="{E744C44C-8D96-4BF0-8EE2-05398D0C8D3D}"/>
    <cellStyle name="Normal 9 3 2 3 5 3 3" xfId="14997" xr:uid="{2E025A87-A4F5-4DC1-A388-F61E4FAFFF09}"/>
    <cellStyle name="Normal 9 3 2 3 5 4" xfId="19220" xr:uid="{72C89F00-90EA-496C-8BA5-64BFFF86A170}"/>
    <cellStyle name="Normal 9 3 2 3 5 5" xfId="10779" xr:uid="{063217AD-BB26-4452-A157-901144CB99BA}"/>
    <cellStyle name="Normal 9 3 2 3 6" xfId="2677" xr:uid="{00000000-0005-0000-0000-0000E41F0000}"/>
    <cellStyle name="Normal 9 3 2 3 6 2" xfId="6960" xr:uid="{00000000-0005-0000-0000-0000E51F0000}"/>
    <cellStyle name="Normal 9 3 2 3 6 2 2" xfId="23851" xr:uid="{CA36F776-91D9-4B3D-B397-FC817BD95A2B}"/>
    <cellStyle name="Normal 9 3 2 3 6 2 3" xfId="15410" xr:uid="{B2FD6DCF-6ED7-4902-A7E8-86B9D1EB1379}"/>
    <cellStyle name="Normal 9 3 2 3 6 3" xfId="19633" xr:uid="{F500FD0B-7C2C-4563-A092-825A8A946E0A}"/>
    <cellStyle name="Normal 9 3 2 3 6 4" xfId="11192" xr:uid="{CEF189D0-B349-4C25-9A00-C9ABF2AF8656}"/>
    <cellStyle name="Normal 9 3 2 3 7" xfId="4895" xr:uid="{00000000-0005-0000-0000-0000E61F0000}"/>
    <cellStyle name="Normal 9 3 2 3 7 2" xfId="21786" xr:uid="{FC4F15ED-400E-4892-AAAB-E08DF47FB728}"/>
    <cellStyle name="Normal 9 3 2 3 7 3" xfId="13345" xr:uid="{6B8BE9B3-3287-4ABD-AAC2-FF2E1108AB80}"/>
    <cellStyle name="Normal 9 3 2 3 8" xfId="17568" xr:uid="{D7DDEC29-E2E8-48F0-84BE-90946F99A598}"/>
    <cellStyle name="Normal 9 3 2 3 9" xfId="9127" xr:uid="{C6B2FC06-3C95-4DBB-AB86-D581FD9E1F2B}"/>
    <cellStyle name="Normal 9 3 2 4" xfId="995" xr:uid="{00000000-0005-0000-0000-0000E71F0000}"/>
    <cellStyle name="Normal 9 3 2 4 2" xfId="3228" xr:uid="{00000000-0005-0000-0000-0000E81F0000}"/>
    <cellStyle name="Normal 9 3 2 4 2 2" xfId="7450" xr:uid="{00000000-0005-0000-0000-0000E91F0000}"/>
    <cellStyle name="Normal 9 3 2 4 2 2 2" xfId="24341" xr:uid="{42428340-5F82-45F2-87D8-EC0DF43320F4}"/>
    <cellStyle name="Normal 9 3 2 4 2 2 3" xfId="15900" xr:uid="{33546DBD-1CD4-48FA-B3C2-F3DA02AD0A37}"/>
    <cellStyle name="Normal 9 3 2 4 2 3" xfId="20123" xr:uid="{7B404624-5A65-44D7-A49F-5C11B4321D85}"/>
    <cellStyle name="Normal 9 3 2 4 2 4" xfId="11682" xr:uid="{CFFE03A0-16CE-4542-8DEE-5C0A42A4BA3F}"/>
    <cellStyle name="Normal 9 3 2 4 3" xfId="5305" xr:uid="{00000000-0005-0000-0000-0000EA1F0000}"/>
    <cellStyle name="Normal 9 3 2 4 3 2" xfId="22196" xr:uid="{152E92CF-D901-404B-AEE3-966026F1DB83}"/>
    <cellStyle name="Normal 9 3 2 4 3 3" xfId="13755" xr:uid="{F4D22328-422B-49C3-BDB8-C5059633C42F}"/>
    <cellStyle name="Normal 9 3 2 4 4" xfId="17978" xr:uid="{51D0976F-C41A-4A14-900B-09695CEC89C8}"/>
    <cellStyle name="Normal 9 3 2 4 5" xfId="9537" xr:uid="{1EAE829C-43AA-4030-9A98-BCD4533ED888}"/>
    <cellStyle name="Normal 9 3 2 5" xfId="1411" xr:uid="{00000000-0005-0000-0000-0000EB1F0000}"/>
    <cellStyle name="Normal 9 3 2 5 2" xfId="3641" xr:uid="{00000000-0005-0000-0000-0000EC1F0000}"/>
    <cellStyle name="Normal 9 3 2 5 2 2" xfId="7863" xr:uid="{00000000-0005-0000-0000-0000ED1F0000}"/>
    <cellStyle name="Normal 9 3 2 5 2 2 2" xfId="24754" xr:uid="{8E737F81-EF43-4294-95D5-5707AA309DE3}"/>
    <cellStyle name="Normal 9 3 2 5 2 2 3" xfId="16313" xr:uid="{C602EAFB-B75B-4C23-8778-F49F0BB766AE}"/>
    <cellStyle name="Normal 9 3 2 5 2 3" xfId="20536" xr:uid="{D112A200-AF06-44CF-8B9E-1B3202B11F78}"/>
    <cellStyle name="Normal 9 3 2 5 2 4" xfId="12095" xr:uid="{366608B9-DB34-45AF-B18D-7E29A63BC7EC}"/>
    <cellStyle name="Normal 9 3 2 5 3" xfId="5718" xr:uid="{00000000-0005-0000-0000-0000EE1F0000}"/>
    <cellStyle name="Normal 9 3 2 5 3 2" xfId="22609" xr:uid="{2A444901-D429-4219-BA93-C3DB04BD2F93}"/>
    <cellStyle name="Normal 9 3 2 5 3 3" xfId="14168" xr:uid="{504EEDFB-D745-4A76-BC3E-3BF1A81F6B54}"/>
    <cellStyle name="Normal 9 3 2 5 4" xfId="18391" xr:uid="{ACA4A7C2-859F-42B8-BC48-1EBD243D29F1}"/>
    <cellStyle name="Normal 9 3 2 5 5" xfId="9950" xr:uid="{E239809D-D9BA-4D4F-9DCD-1F70FA1F90D2}"/>
    <cellStyle name="Normal 9 3 2 6" xfId="1824" xr:uid="{00000000-0005-0000-0000-0000EF1F0000}"/>
    <cellStyle name="Normal 9 3 2 6 2" xfId="4054" xr:uid="{00000000-0005-0000-0000-0000F01F0000}"/>
    <cellStyle name="Normal 9 3 2 6 2 2" xfId="8276" xr:uid="{00000000-0005-0000-0000-0000F11F0000}"/>
    <cellStyle name="Normal 9 3 2 6 2 2 2" xfId="25167" xr:uid="{6D173C71-DBB2-4B6C-AD48-EA9D820EB9C4}"/>
    <cellStyle name="Normal 9 3 2 6 2 2 3" xfId="16726" xr:uid="{98A1CFAB-AF63-442B-BA40-7D1A4DF7598A}"/>
    <cellStyle name="Normal 9 3 2 6 2 3" xfId="20949" xr:uid="{C1332498-7C13-459B-ADAF-3B0871BC867A}"/>
    <cellStyle name="Normal 9 3 2 6 2 4" xfId="12508" xr:uid="{5E5ADA47-81C3-441D-AF65-52B1D1D17D00}"/>
    <cellStyle name="Normal 9 3 2 6 3" xfId="6131" xr:uid="{00000000-0005-0000-0000-0000F21F0000}"/>
    <cellStyle name="Normal 9 3 2 6 3 2" xfId="23022" xr:uid="{86A110B2-2711-4AA3-8672-55340DCC2282}"/>
    <cellStyle name="Normal 9 3 2 6 3 3" xfId="14581" xr:uid="{18E0A014-7D53-437A-B5A6-B86D1F5BD2D6}"/>
    <cellStyle name="Normal 9 3 2 6 4" xfId="18804" xr:uid="{20B23B13-10BA-4D44-97FF-CBB387433AB3}"/>
    <cellStyle name="Normal 9 3 2 6 5" xfId="10363" xr:uid="{D19E04D0-C95F-4718-AC77-60BB9834A421}"/>
    <cellStyle name="Normal 9 3 2 7" xfId="2238" xr:uid="{00000000-0005-0000-0000-0000F31F0000}"/>
    <cellStyle name="Normal 9 3 2 7 2" xfId="4467" xr:uid="{00000000-0005-0000-0000-0000F41F0000}"/>
    <cellStyle name="Normal 9 3 2 7 2 2" xfId="8689" xr:uid="{00000000-0005-0000-0000-0000F51F0000}"/>
    <cellStyle name="Normal 9 3 2 7 2 2 2" xfId="25580" xr:uid="{6BDDFACB-4F16-4547-A7FC-121826F9964A}"/>
    <cellStyle name="Normal 9 3 2 7 2 2 3" xfId="17139" xr:uid="{04564477-6145-4597-94E7-80142FE5F77C}"/>
    <cellStyle name="Normal 9 3 2 7 2 3" xfId="21362" xr:uid="{F2AEA1EE-2A47-4F48-966E-37A043711EFB}"/>
    <cellStyle name="Normal 9 3 2 7 2 4" xfId="12921" xr:uid="{CA7AC8A5-6EC0-48B7-AC64-233BDD912753}"/>
    <cellStyle name="Normal 9 3 2 7 3" xfId="6544" xr:uid="{00000000-0005-0000-0000-0000F61F0000}"/>
    <cellStyle name="Normal 9 3 2 7 3 2" xfId="23435" xr:uid="{03AAC749-F230-4673-B14C-490DD2F9D80E}"/>
    <cellStyle name="Normal 9 3 2 7 3 3" xfId="14994" xr:uid="{F023C130-F61A-4D63-A506-563C605798B9}"/>
    <cellStyle name="Normal 9 3 2 7 4" xfId="19217" xr:uid="{648959DA-CBBD-4480-B5F4-8BB93F1AE8D3}"/>
    <cellStyle name="Normal 9 3 2 7 5" xfId="10776" xr:uid="{A57C531F-9BC9-41B4-9C1D-A50E47814931}"/>
    <cellStyle name="Normal 9 3 2 8" xfId="2674" xr:uid="{00000000-0005-0000-0000-0000F71F0000}"/>
    <cellStyle name="Normal 9 3 2 8 2" xfId="6957" xr:uid="{00000000-0005-0000-0000-0000F81F0000}"/>
    <cellStyle name="Normal 9 3 2 8 2 2" xfId="23848" xr:uid="{D127EF97-22CB-46E2-B519-F5CE6B9AC18B}"/>
    <cellStyle name="Normal 9 3 2 8 2 3" xfId="15407" xr:uid="{5E1E3FF4-D323-4C94-9C9E-59017628C4CF}"/>
    <cellStyle name="Normal 9 3 2 8 3" xfId="19630" xr:uid="{110F2DEB-E031-4CB7-9EAB-0A4302EF5DFC}"/>
    <cellStyle name="Normal 9 3 2 8 4" xfId="11189" xr:uid="{3CF23792-1914-4462-947D-7EDA52AE194C}"/>
    <cellStyle name="Normal 9 3 2 9" xfId="4892" xr:uid="{00000000-0005-0000-0000-0000F91F0000}"/>
    <cellStyle name="Normal 9 3 2 9 2" xfId="21783" xr:uid="{61E3BE62-52F7-4DEF-9345-D0D28B54B4D6}"/>
    <cellStyle name="Normal 9 3 2 9 3" xfId="13342" xr:uid="{38086578-C08D-49C6-B475-C721FF796726}"/>
    <cellStyle name="Normal 9 3 3" xfId="532" xr:uid="{00000000-0005-0000-0000-0000FA1F0000}"/>
    <cellStyle name="Normal 9 3 3 10" xfId="9128" xr:uid="{63AD9914-CADD-4429-852E-08637E303DF4}"/>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2 2 2" xfId="24346" xr:uid="{659324DD-1795-4627-8C98-6545C1EA3C46}"/>
    <cellStyle name="Normal 9 3 3 2 2 2 2 3" xfId="15905" xr:uid="{18B7B918-10B7-4469-89C3-DC8004834C48}"/>
    <cellStyle name="Normal 9 3 3 2 2 2 3" xfId="20128" xr:uid="{1D1B3707-BC45-4CDD-A39D-396933F16609}"/>
    <cellStyle name="Normal 9 3 3 2 2 2 4" xfId="11687" xr:uid="{B354DA0E-8739-4453-8A43-8AC38D766527}"/>
    <cellStyle name="Normal 9 3 3 2 2 3" xfId="5310" xr:uid="{00000000-0005-0000-0000-0000FF1F0000}"/>
    <cellStyle name="Normal 9 3 3 2 2 3 2" xfId="22201" xr:uid="{F6EB2134-DF2C-415D-8510-FD9A8754B438}"/>
    <cellStyle name="Normal 9 3 3 2 2 3 3" xfId="13760" xr:uid="{CD2D7F80-0980-4167-BF64-98102815B081}"/>
    <cellStyle name="Normal 9 3 3 2 2 4" xfId="17983" xr:uid="{2CE665E6-E71C-4E53-AB3C-B92BB8E293FA}"/>
    <cellStyle name="Normal 9 3 3 2 2 5" xfId="9542" xr:uid="{4206C72B-12BD-42C6-B3A8-383B304F16E1}"/>
    <cellStyle name="Normal 9 3 3 2 3" xfId="1416" xr:uid="{00000000-0005-0000-0000-000000200000}"/>
    <cellStyle name="Normal 9 3 3 2 3 2" xfId="3646" xr:uid="{00000000-0005-0000-0000-000001200000}"/>
    <cellStyle name="Normal 9 3 3 2 3 2 2" xfId="7868" xr:uid="{00000000-0005-0000-0000-000002200000}"/>
    <cellStyle name="Normal 9 3 3 2 3 2 2 2" xfId="24759" xr:uid="{8AABCB42-50ED-4CB3-AE65-A5CB8D972F10}"/>
    <cellStyle name="Normal 9 3 3 2 3 2 2 3" xfId="16318" xr:uid="{C79C85AC-2D24-4A50-99EB-E0E8199A1F8B}"/>
    <cellStyle name="Normal 9 3 3 2 3 2 3" xfId="20541" xr:uid="{5CFAAA26-3AB6-4947-89C3-1B34359E0707}"/>
    <cellStyle name="Normal 9 3 3 2 3 2 4" xfId="12100" xr:uid="{AD7E06E1-6196-4031-90F0-E81CC95EED42}"/>
    <cellStyle name="Normal 9 3 3 2 3 3" xfId="5723" xr:uid="{00000000-0005-0000-0000-000003200000}"/>
    <cellStyle name="Normal 9 3 3 2 3 3 2" xfId="22614" xr:uid="{774B94FE-4D98-4E96-A6ED-3FF150EFB8DC}"/>
    <cellStyle name="Normal 9 3 3 2 3 3 3" xfId="14173" xr:uid="{1D0811D6-A77F-4DF9-85C3-AA31539CE0AD}"/>
    <cellStyle name="Normal 9 3 3 2 3 4" xfId="18396" xr:uid="{FDD908F1-B320-4050-8E9F-2D7587412403}"/>
    <cellStyle name="Normal 9 3 3 2 3 5" xfId="9955" xr:uid="{B3A55467-A234-4B10-B425-0866EE3D7210}"/>
    <cellStyle name="Normal 9 3 3 2 4" xfId="1829" xr:uid="{00000000-0005-0000-0000-000004200000}"/>
    <cellStyle name="Normal 9 3 3 2 4 2" xfId="4059" xr:uid="{00000000-0005-0000-0000-000005200000}"/>
    <cellStyle name="Normal 9 3 3 2 4 2 2" xfId="8281" xr:uid="{00000000-0005-0000-0000-000006200000}"/>
    <cellStyle name="Normal 9 3 3 2 4 2 2 2" xfId="25172" xr:uid="{37BD2327-3488-49A2-AB99-CB5B4A08C727}"/>
    <cellStyle name="Normal 9 3 3 2 4 2 2 3" xfId="16731" xr:uid="{64866140-CBAD-4FDA-A479-DFE41A783313}"/>
    <cellStyle name="Normal 9 3 3 2 4 2 3" xfId="20954" xr:uid="{8BF1AFE8-7457-41F1-8EE2-DC36C24B36BC}"/>
    <cellStyle name="Normal 9 3 3 2 4 2 4" xfId="12513" xr:uid="{19B326A9-5C75-4F05-98C6-D09D43A6C90E}"/>
    <cellStyle name="Normal 9 3 3 2 4 3" xfId="6136" xr:uid="{00000000-0005-0000-0000-000007200000}"/>
    <cellStyle name="Normal 9 3 3 2 4 3 2" xfId="23027" xr:uid="{B58448CD-3DB5-4476-8969-1C66054F1DA0}"/>
    <cellStyle name="Normal 9 3 3 2 4 3 3" xfId="14586" xr:uid="{E63780E1-84FD-4347-B546-ECABB36566F0}"/>
    <cellStyle name="Normal 9 3 3 2 4 4" xfId="18809" xr:uid="{55AAE017-76E7-47CE-8F1D-D30AE506A626}"/>
    <cellStyle name="Normal 9 3 3 2 4 5" xfId="10368" xr:uid="{988C5D62-6455-463F-B1D4-57FAFAC07790}"/>
    <cellStyle name="Normal 9 3 3 2 5" xfId="2243" xr:uid="{00000000-0005-0000-0000-000008200000}"/>
    <cellStyle name="Normal 9 3 3 2 5 2" xfId="4472" xr:uid="{00000000-0005-0000-0000-000009200000}"/>
    <cellStyle name="Normal 9 3 3 2 5 2 2" xfId="8694" xr:uid="{00000000-0005-0000-0000-00000A200000}"/>
    <cellStyle name="Normal 9 3 3 2 5 2 2 2" xfId="25585" xr:uid="{69FEA0A7-F4FD-4CC2-934F-197995798D2A}"/>
    <cellStyle name="Normal 9 3 3 2 5 2 2 3" xfId="17144" xr:uid="{8BC815B5-6E90-48EC-8FA4-2144B248B9E1}"/>
    <cellStyle name="Normal 9 3 3 2 5 2 3" xfId="21367" xr:uid="{B3A867F8-9C91-4AFA-ADE9-436A05A83CBE}"/>
    <cellStyle name="Normal 9 3 3 2 5 2 4" xfId="12926" xr:uid="{69A794A5-8835-415B-A31F-04AE99E179BC}"/>
    <cellStyle name="Normal 9 3 3 2 5 3" xfId="6549" xr:uid="{00000000-0005-0000-0000-00000B200000}"/>
    <cellStyle name="Normal 9 3 3 2 5 3 2" xfId="23440" xr:uid="{16D2ADC1-4C39-4D4F-ACF4-3511B15C8D00}"/>
    <cellStyle name="Normal 9 3 3 2 5 3 3" xfId="14999" xr:uid="{0E1A8B28-544C-4FA4-8790-74A63E0FD771}"/>
    <cellStyle name="Normal 9 3 3 2 5 4" xfId="19222" xr:uid="{9EC0DE9C-E639-44BE-913E-D8610492A6C5}"/>
    <cellStyle name="Normal 9 3 3 2 5 5" xfId="10781" xr:uid="{2927EEFF-93C1-41F8-8363-A0E33A2C25AE}"/>
    <cellStyle name="Normal 9 3 3 2 6" xfId="2679" xr:uid="{00000000-0005-0000-0000-00000C200000}"/>
    <cellStyle name="Normal 9 3 3 2 6 2" xfId="6962" xr:uid="{00000000-0005-0000-0000-00000D200000}"/>
    <cellStyle name="Normal 9 3 3 2 6 2 2" xfId="23853" xr:uid="{715FE5D2-1BC5-4C0A-9B2C-2269F7330DB1}"/>
    <cellStyle name="Normal 9 3 3 2 6 2 3" xfId="15412" xr:uid="{36DD825B-D189-4874-B33E-3E2DE3124CF9}"/>
    <cellStyle name="Normal 9 3 3 2 6 3" xfId="19635" xr:uid="{2050F095-3AC9-4F61-8770-0F23E58B1792}"/>
    <cellStyle name="Normal 9 3 3 2 6 4" xfId="11194" xr:uid="{05882E90-600B-4F78-A002-EB2D7CED96FB}"/>
    <cellStyle name="Normal 9 3 3 2 7" xfId="4897" xr:uid="{00000000-0005-0000-0000-00000E200000}"/>
    <cellStyle name="Normal 9 3 3 2 7 2" xfId="21788" xr:uid="{1617323D-878F-4ACA-8C1B-DF11D6002A67}"/>
    <cellStyle name="Normal 9 3 3 2 7 3" xfId="13347" xr:uid="{AB2676DE-1A2F-436B-B665-AC0E78FC2332}"/>
    <cellStyle name="Normal 9 3 3 2 8" xfId="17570" xr:uid="{119758E4-0A5F-4AE3-AFA2-9D2EE32308C6}"/>
    <cellStyle name="Normal 9 3 3 2 9" xfId="9129" xr:uid="{255286C0-744B-4AB3-93FE-A1379EF0FC6E}"/>
    <cellStyle name="Normal 9 3 3 3" xfId="999" xr:uid="{00000000-0005-0000-0000-00000F200000}"/>
    <cellStyle name="Normal 9 3 3 3 2" xfId="3232" xr:uid="{00000000-0005-0000-0000-000010200000}"/>
    <cellStyle name="Normal 9 3 3 3 2 2" xfId="7454" xr:uid="{00000000-0005-0000-0000-000011200000}"/>
    <cellStyle name="Normal 9 3 3 3 2 2 2" xfId="24345" xr:uid="{5D4DB132-6A54-4167-A71E-00E5EF85E23B}"/>
    <cellStyle name="Normal 9 3 3 3 2 2 3" xfId="15904" xr:uid="{BBB45B77-5215-46EB-85A0-A245E95E6706}"/>
    <cellStyle name="Normal 9 3 3 3 2 3" xfId="20127" xr:uid="{13115493-1833-430F-9A72-BEE4ADFDFE2B}"/>
    <cellStyle name="Normal 9 3 3 3 2 4" xfId="11686" xr:uid="{C594C9AE-7CA9-4DDD-A1FF-8E112380BD08}"/>
    <cellStyle name="Normal 9 3 3 3 3" xfId="5309" xr:uid="{00000000-0005-0000-0000-000012200000}"/>
    <cellStyle name="Normal 9 3 3 3 3 2" xfId="22200" xr:uid="{62191837-3506-43DD-B733-0066D1AB007E}"/>
    <cellStyle name="Normal 9 3 3 3 3 3" xfId="13759" xr:uid="{0C641495-1C05-4212-8D9B-500AF340F075}"/>
    <cellStyle name="Normal 9 3 3 3 4" xfId="17982" xr:uid="{F7FBE037-3611-4E22-B301-67D38DFECAAD}"/>
    <cellStyle name="Normal 9 3 3 3 5" xfId="9541" xr:uid="{B2BE86E5-DA36-4B6C-A32D-D3AC3BDEEC7B}"/>
    <cellStyle name="Normal 9 3 3 4" xfId="1415" xr:uid="{00000000-0005-0000-0000-000013200000}"/>
    <cellStyle name="Normal 9 3 3 4 2" xfId="3645" xr:uid="{00000000-0005-0000-0000-000014200000}"/>
    <cellStyle name="Normal 9 3 3 4 2 2" xfId="7867" xr:uid="{00000000-0005-0000-0000-000015200000}"/>
    <cellStyle name="Normal 9 3 3 4 2 2 2" xfId="24758" xr:uid="{F6F1258B-B151-4C3C-A85E-D95E9C6DB39C}"/>
    <cellStyle name="Normal 9 3 3 4 2 2 3" xfId="16317" xr:uid="{8553637C-E144-4BD1-9593-3A0F8C74605C}"/>
    <cellStyle name="Normal 9 3 3 4 2 3" xfId="20540" xr:uid="{16CD8A0C-158C-44B6-AFFB-F35AA0268DA2}"/>
    <cellStyle name="Normal 9 3 3 4 2 4" xfId="12099" xr:uid="{6E515D89-8DC4-449D-B603-D1E0258C2DF9}"/>
    <cellStyle name="Normal 9 3 3 4 3" xfId="5722" xr:uid="{00000000-0005-0000-0000-000016200000}"/>
    <cellStyle name="Normal 9 3 3 4 3 2" xfId="22613" xr:uid="{FE087A10-C9A0-4A2A-9807-B37194CED93F}"/>
    <cellStyle name="Normal 9 3 3 4 3 3" xfId="14172" xr:uid="{F776FB4B-4454-4F22-95B4-88C58438645D}"/>
    <cellStyle name="Normal 9 3 3 4 4" xfId="18395" xr:uid="{9ED09FF6-2EEC-46B8-AA3D-7B08045FFF22}"/>
    <cellStyle name="Normal 9 3 3 4 5" xfId="9954" xr:uid="{FAE11938-CF6F-42A1-AAF2-11FD7C4772B0}"/>
    <cellStyle name="Normal 9 3 3 5" xfId="1828" xr:uid="{00000000-0005-0000-0000-000017200000}"/>
    <cellStyle name="Normal 9 3 3 5 2" xfId="4058" xr:uid="{00000000-0005-0000-0000-000018200000}"/>
    <cellStyle name="Normal 9 3 3 5 2 2" xfId="8280" xr:uid="{00000000-0005-0000-0000-000019200000}"/>
    <cellStyle name="Normal 9 3 3 5 2 2 2" xfId="25171" xr:uid="{EEF95B2C-EB90-41CA-804E-96E6E261DD5A}"/>
    <cellStyle name="Normal 9 3 3 5 2 2 3" xfId="16730" xr:uid="{C5428502-24BA-4904-B518-E686789CF741}"/>
    <cellStyle name="Normal 9 3 3 5 2 3" xfId="20953" xr:uid="{3214D067-D458-45F7-A836-FC34F19F0033}"/>
    <cellStyle name="Normal 9 3 3 5 2 4" xfId="12512" xr:uid="{8FD5DE4E-11E7-4871-A699-63EC88E85762}"/>
    <cellStyle name="Normal 9 3 3 5 3" xfId="6135" xr:uid="{00000000-0005-0000-0000-00001A200000}"/>
    <cellStyle name="Normal 9 3 3 5 3 2" xfId="23026" xr:uid="{530D992D-CE5C-428F-91E9-C1232649308E}"/>
    <cellStyle name="Normal 9 3 3 5 3 3" xfId="14585" xr:uid="{961CD77D-DD3B-439C-A53D-926FE58E7165}"/>
    <cellStyle name="Normal 9 3 3 5 4" xfId="18808" xr:uid="{42A8526D-1299-4FF9-836F-5FF00BB03C77}"/>
    <cellStyle name="Normal 9 3 3 5 5" xfId="10367" xr:uid="{7757D503-DAF5-48A0-83B5-18E0C67337B0}"/>
    <cellStyle name="Normal 9 3 3 6" xfId="2242" xr:uid="{00000000-0005-0000-0000-00001B200000}"/>
    <cellStyle name="Normal 9 3 3 6 2" xfId="4471" xr:uid="{00000000-0005-0000-0000-00001C200000}"/>
    <cellStyle name="Normal 9 3 3 6 2 2" xfId="8693" xr:uid="{00000000-0005-0000-0000-00001D200000}"/>
    <cellStyle name="Normal 9 3 3 6 2 2 2" xfId="25584" xr:uid="{7BA2A821-286E-4055-8151-57A0896C050B}"/>
    <cellStyle name="Normal 9 3 3 6 2 2 3" xfId="17143" xr:uid="{78BB3F46-73F5-45A9-9315-A6647B8881F1}"/>
    <cellStyle name="Normal 9 3 3 6 2 3" xfId="21366" xr:uid="{94DE0D94-A1B5-4786-B423-D55A24E74E8E}"/>
    <cellStyle name="Normal 9 3 3 6 2 4" xfId="12925" xr:uid="{819E9023-5A58-43C4-AE4B-CE0E67A58D4B}"/>
    <cellStyle name="Normal 9 3 3 6 3" xfId="6548" xr:uid="{00000000-0005-0000-0000-00001E200000}"/>
    <cellStyle name="Normal 9 3 3 6 3 2" xfId="23439" xr:uid="{7CB08549-DC42-4438-9C23-79528D74A7F4}"/>
    <cellStyle name="Normal 9 3 3 6 3 3" xfId="14998" xr:uid="{F3C915E3-070A-4EAD-A7B3-7B2690B21BEC}"/>
    <cellStyle name="Normal 9 3 3 6 4" xfId="19221" xr:uid="{28003397-BE88-495C-90C3-9359C47A72B0}"/>
    <cellStyle name="Normal 9 3 3 6 5" xfId="10780" xr:uid="{2F13CD8D-4E04-4DBB-AF53-14AA96DED7EB}"/>
    <cellStyle name="Normal 9 3 3 7" xfId="2678" xr:uid="{00000000-0005-0000-0000-00001F200000}"/>
    <cellStyle name="Normal 9 3 3 7 2" xfId="6961" xr:uid="{00000000-0005-0000-0000-000020200000}"/>
    <cellStyle name="Normal 9 3 3 7 2 2" xfId="23852" xr:uid="{FB872EB2-0282-4DBC-86F2-D06F6BB755CB}"/>
    <cellStyle name="Normal 9 3 3 7 2 3" xfId="15411" xr:uid="{08A3FC03-7E0C-4A15-87EC-E8418D367114}"/>
    <cellStyle name="Normal 9 3 3 7 3" xfId="19634" xr:uid="{8F2A0ACF-6862-4E1D-A90F-99C9AF2D121E}"/>
    <cellStyle name="Normal 9 3 3 7 4" xfId="11193" xr:uid="{6B6413CB-2975-401F-8DEA-45254E24475F}"/>
    <cellStyle name="Normal 9 3 3 8" xfId="4896" xr:uid="{00000000-0005-0000-0000-000021200000}"/>
    <cellStyle name="Normal 9 3 3 8 2" xfId="21787" xr:uid="{30F65AC4-ADB8-4699-A4CB-C986159F594E}"/>
    <cellStyle name="Normal 9 3 3 8 3" xfId="13346" xr:uid="{1F90BBBB-CACA-4601-B6EC-FF97825094E6}"/>
    <cellStyle name="Normal 9 3 3 9" xfId="17569" xr:uid="{EA3DC956-DFB5-476F-ABB9-4A9F8E4575E9}"/>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2 2 2" xfId="24347" xr:uid="{95406139-9C65-4DBD-B965-4A68CCF70114}"/>
    <cellStyle name="Normal 9 3 4 2 2 2 3" xfId="15906" xr:uid="{DEC33652-50A1-4010-A3B8-9DB38C7B0CF3}"/>
    <cellStyle name="Normal 9 3 4 2 2 3" xfId="20129" xr:uid="{F6EB6A40-D4C4-46B7-B03F-80BF8B65D3AE}"/>
    <cellStyle name="Normal 9 3 4 2 2 4" xfId="11688" xr:uid="{B50F20FA-63C0-4A8E-8E1F-35C62A190BB8}"/>
    <cellStyle name="Normal 9 3 4 2 3" xfId="5311" xr:uid="{00000000-0005-0000-0000-000026200000}"/>
    <cellStyle name="Normal 9 3 4 2 3 2" xfId="22202" xr:uid="{A75221B1-0EF1-43C5-B33F-36F1E2433DF9}"/>
    <cellStyle name="Normal 9 3 4 2 3 3" xfId="13761" xr:uid="{CAEB03E5-38D5-4AD3-A60B-0A37DB59168C}"/>
    <cellStyle name="Normal 9 3 4 2 4" xfId="17984" xr:uid="{F93278EC-C3D0-429B-A40E-9C370BEF750B}"/>
    <cellStyle name="Normal 9 3 4 2 5" xfId="9543" xr:uid="{24DE21FD-CB5E-49D3-85F6-2512B15C52A0}"/>
    <cellStyle name="Normal 9 3 4 3" xfId="1417" xr:uid="{00000000-0005-0000-0000-000027200000}"/>
    <cellStyle name="Normal 9 3 4 3 2" xfId="3647" xr:uid="{00000000-0005-0000-0000-000028200000}"/>
    <cellStyle name="Normal 9 3 4 3 2 2" xfId="7869" xr:uid="{00000000-0005-0000-0000-000029200000}"/>
    <cellStyle name="Normal 9 3 4 3 2 2 2" xfId="24760" xr:uid="{E2776C75-77E9-448B-A67D-4D9C867C98E0}"/>
    <cellStyle name="Normal 9 3 4 3 2 2 3" xfId="16319" xr:uid="{ADFB96F7-7D3E-43CE-8223-EFEF6447354A}"/>
    <cellStyle name="Normal 9 3 4 3 2 3" xfId="20542" xr:uid="{E79E7BF1-00C5-499B-A431-7AC93D0FDF2C}"/>
    <cellStyle name="Normal 9 3 4 3 2 4" xfId="12101" xr:uid="{4536C362-0A99-4B09-A4FE-62CB3E5B536A}"/>
    <cellStyle name="Normal 9 3 4 3 3" xfId="5724" xr:uid="{00000000-0005-0000-0000-00002A200000}"/>
    <cellStyle name="Normal 9 3 4 3 3 2" xfId="22615" xr:uid="{9AE53852-B9C7-4339-8959-6280C8EB5003}"/>
    <cellStyle name="Normal 9 3 4 3 3 3" xfId="14174" xr:uid="{8CFA0137-DCA8-4AC5-BCAA-EC5DF1E8F764}"/>
    <cellStyle name="Normal 9 3 4 3 4" xfId="18397" xr:uid="{228051B5-8702-43E7-898C-CF946CD185CF}"/>
    <cellStyle name="Normal 9 3 4 3 5" xfId="9956" xr:uid="{EB6E2BF4-B8A6-4457-8105-BB05EC5E5ACC}"/>
    <cellStyle name="Normal 9 3 4 4" xfId="1830" xr:uid="{00000000-0005-0000-0000-00002B200000}"/>
    <cellStyle name="Normal 9 3 4 4 2" xfId="4060" xr:uid="{00000000-0005-0000-0000-00002C200000}"/>
    <cellStyle name="Normal 9 3 4 4 2 2" xfId="8282" xr:uid="{00000000-0005-0000-0000-00002D200000}"/>
    <cellStyle name="Normal 9 3 4 4 2 2 2" xfId="25173" xr:uid="{51C1FD29-AECC-4E1F-B4FD-B31261848D86}"/>
    <cellStyle name="Normal 9 3 4 4 2 2 3" xfId="16732" xr:uid="{0455BBF8-A1B7-4F20-98BE-CEA2C77692F3}"/>
    <cellStyle name="Normal 9 3 4 4 2 3" xfId="20955" xr:uid="{987A26EA-C99F-4769-897D-40B3BF4FD887}"/>
    <cellStyle name="Normal 9 3 4 4 2 4" xfId="12514" xr:uid="{D0EFD442-D81F-4D3B-83AF-A0D6FCCA91C2}"/>
    <cellStyle name="Normal 9 3 4 4 3" xfId="6137" xr:uid="{00000000-0005-0000-0000-00002E200000}"/>
    <cellStyle name="Normal 9 3 4 4 3 2" xfId="23028" xr:uid="{4A9B524A-2984-4620-B058-7695712A156D}"/>
    <cellStyle name="Normal 9 3 4 4 3 3" xfId="14587" xr:uid="{FD5D11D9-814D-4822-954C-329A3F68E696}"/>
    <cellStyle name="Normal 9 3 4 4 4" xfId="18810" xr:uid="{A9B29D11-02BE-488A-91BA-C23CB4691420}"/>
    <cellStyle name="Normal 9 3 4 4 5" xfId="10369" xr:uid="{6E86B897-05C9-43D9-8109-0D5BCF84E6B7}"/>
    <cellStyle name="Normal 9 3 4 5" xfId="2244" xr:uid="{00000000-0005-0000-0000-00002F200000}"/>
    <cellStyle name="Normal 9 3 4 5 2" xfId="4473" xr:uid="{00000000-0005-0000-0000-000030200000}"/>
    <cellStyle name="Normal 9 3 4 5 2 2" xfId="8695" xr:uid="{00000000-0005-0000-0000-000031200000}"/>
    <cellStyle name="Normal 9 3 4 5 2 2 2" xfId="25586" xr:uid="{8AB14064-171E-4B7B-A9BD-100710985AFD}"/>
    <cellStyle name="Normal 9 3 4 5 2 2 3" xfId="17145" xr:uid="{AEFD5473-001C-40EF-8F87-D140E97EBB18}"/>
    <cellStyle name="Normal 9 3 4 5 2 3" xfId="21368" xr:uid="{68B23724-A20B-4108-97F3-511F25212351}"/>
    <cellStyle name="Normal 9 3 4 5 2 4" xfId="12927" xr:uid="{DB212C4B-BC52-4630-A13D-6CFDFFEDD894}"/>
    <cellStyle name="Normal 9 3 4 5 3" xfId="6550" xr:uid="{00000000-0005-0000-0000-000032200000}"/>
    <cellStyle name="Normal 9 3 4 5 3 2" xfId="23441" xr:uid="{26CDCDC2-A084-4811-BA2F-9A6C1E189B6E}"/>
    <cellStyle name="Normal 9 3 4 5 3 3" xfId="15000" xr:uid="{AC8F95FE-70D3-4A68-B532-AC4C82BF6E1C}"/>
    <cellStyle name="Normal 9 3 4 5 4" xfId="19223" xr:uid="{BFE40A71-71BB-43F4-90C7-A354AEAFFE33}"/>
    <cellStyle name="Normal 9 3 4 5 5" xfId="10782" xr:uid="{7A5B1B34-92ED-47ED-A7DE-1DD27D7C6B06}"/>
    <cellStyle name="Normal 9 3 4 6" xfId="2680" xr:uid="{00000000-0005-0000-0000-000033200000}"/>
    <cellStyle name="Normal 9 3 4 6 2" xfId="6963" xr:uid="{00000000-0005-0000-0000-000034200000}"/>
    <cellStyle name="Normal 9 3 4 6 2 2" xfId="23854" xr:uid="{CE8FDB29-933C-4D7E-98C6-E3B369D75DCC}"/>
    <cellStyle name="Normal 9 3 4 6 2 3" xfId="15413" xr:uid="{D0AA18E2-9923-4046-81DB-9A1852B21654}"/>
    <cellStyle name="Normal 9 3 4 6 3" xfId="19636" xr:uid="{A67AF595-D017-4AD9-B8D3-DDFDD0310DA7}"/>
    <cellStyle name="Normal 9 3 4 6 4" xfId="11195" xr:uid="{FED03AE5-39CA-4569-A029-6540725CAD12}"/>
    <cellStyle name="Normal 9 3 4 7" xfId="4898" xr:uid="{00000000-0005-0000-0000-000035200000}"/>
    <cellStyle name="Normal 9 3 4 7 2" xfId="21789" xr:uid="{342F5C98-C9EF-4E25-889E-8F3682F68D46}"/>
    <cellStyle name="Normal 9 3 4 7 3" xfId="13348" xr:uid="{11085D28-CCDC-4C84-93A2-74815E0A4DA9}"/>
    <cellStyle name="Normal 9 3 4 8" xfId="17571" xr:uid="{FAF32896-BEF9-4185-B1D4-CDDC009DD346}"/>
    <cellStyle name="Normal 9 3 4 9" xfId="9130" xr:uid="{DF58D120-4583-492C-BAD1-D99BF1C58A20}"/>
    <cellStyle name="Normal 9 3 5" xfId="994" xr:uid="{00000000-0005-0000-0000-000036200000}"/>
    <cellStyle name="Normal 9 3 5 2" xfId="3227" xr:uid="{00000000-0005-0000-0000-000037200000}"/>
    <cellStyle name="Normal 9 3 5 2 2" xfId="7449" xr:uid="{00000000-0005-0000-0000-000038200000}"/>
    <cellStyle name="Normal 9 3 5 2 2 2" xfId="24340" xr:uid="{31D407B7-A0F7-40E0-873D-03EB1CE22291}"/>
    <cellStyle name="Normal 9 3 5 2 2 3" xfId="15899" xr:uid="{1B7BEF05-82D6-458D-8E0D-C6779345136C}"/>
    <cellStyle name="Normal 9 3 5 2 3" xfId="20122" xr:uid="{3340F1CF-7DCE-40EF-A268-2CD0FEA2DD20}"/>
    <cellStyle name="Normal 9 3 5 2 4" xfId="11681" xr:uid="{099681D3-E3CD-4D35-BA45-14656F62BF75}"/>
    <cellStyle name="Normal 9 3 5 3" xfId="5304" xr:uid="{00000000-0005-0000-0000-000039200000}"/>
    <cellStyle name="Normal 9 3 5 3 2" xfId="22195" xr:uid="{A733B273-599A-4900-B21D-56A07B9BB3FC}"/>
    <cellStyle name="Normal 9 3 5 3 3" xfId="13754" xr:uid="{78A4DFBE-D9F8-4A01-8AF5-3E3C868C61A4}"/>
    <cellStyle name="Normal 9 3 5 4" xfId="17977" xr:uid="{E34059A5-50B1-45CE-8196-FB1FC42C60E9}"/>
    <cellStyle name="Normal 9 3 5 5" xfId="9536" xr:uid="{D7D63312-7E52-4B39-9FDA-1BAB539E87EA}"/>
    <cellStyle name="Normal 9 3 6" xfId="1410" xr:uid="{00000000-0005-0000-0000-00003A200000}"/>
    <cellStyle name="Normal 9 3 6 2" xfId="3640" xr:uid="{00000000-0005-0000-0000-00003B200000}"/>
    <cellStyle name="Normal 9 3 6 2 2" xfId="7862" xr:uid="{00000000-0005-0000-0000-00003C200000}"/>
    <cellStyle name="Normal 9 3 6 2 2 2" xfId="24753" xr:uid="{26EFB495-7981-4B80-ABB8-4D562E97742E}"/>
    <cellStyle name="Normal 9 3 6 2 2 3" xfId="16312" xr:uid="{2F5D19E5-E15F-4A91-9CB7-9B269268C82E}"/>
    <cellStyle name="Normal 9 3 6 2 3" xfId="20535" xr:uid="{D8640E5E-10C6-4A47-9375-005E600C19F1}"/>
    <cellStyle name="Normal 9 3 6 2 4" xfId="12094" xr:uid="{8206FC78-9C32-47E9-B934-2CEF5F1820D1}"/>
    <cellStyle name="Normal 9 3 6 3" xfId="5717" xr:uid="{00000000-0005-0000-0000-00003D200000}"/>
    <cellStyle name="Normal 9 3 6 3 2" xfId="22608" xr:uid="{DB5F70A8-931F-45A3-B071-CF8A1E1D330D}"/>
    <cellStyle name="Normal 9 3 6 3 3" xfId="14167" xr:uid="{A749C059-2654-46E3-87CC-50D4DFB3E979}"/>
    <cellStyle name="Normal 9 3 6 4" xfId="18390" xr:uid="{0C4FE93A-ACC0-45DA-AA43-0322A4595A69}"/>
    <cellStyle name="Normal 9 3 6 5" xfId="9949" xr:uid="{2636C18B-3B36-41F9-9148-AEA6B55ADF72}"/>
    <cellStyle name="Normal 9 3 7" xfId="1823" xr:uid="{00000000-0005-0000-0000-00003E200000}"/>
    <cellStyle name="Normal 9 3 7 2" xfId="4053" xr:uid="{00000000-0005-0000-0000-00003F200000}"/>
    <cellStyle name="Normal 9 3 7 2 2" xfId="8275" xr:uid="{00000000-0005-0000-0000-000040200000}"/>
    <cellStyle name="Normal 9 3 7 2 2 2" xfId="25166" xr:uid="{F4BF820A-00ED-41D0-B87F-7EB2B7A66048}"/>
    <cellStyle name="Normal 9 3 7 2 2 3" xfId="16725" xr:uid="{5992DA66-00E6-45B8-A879-4E15600E07A7}"/>
    <cellStyle name="Normal 9 3 7 2 3" xfId="20948" xr:uid="{50CB88F2-9BCC-4849-A81F-76BEDA1DCF6C}"/>
    <cellStyle name="Normal 9 3 7 2 4" xfId="12507" xr:uid="{0789C83D-1347-4B09-BF74-2E3F23887A93}"/>
    <cellStyle name="Normal 9 3 7 3" xfId="6130" xr:uid="{00000000-0005-0000-0000-000041200000}"/>
    <cellStyle name="Normal 9 3 7 3 2" xfId="23021" xr:uid="{1BF5B819-E434-4C74-84E9-728B65D1A458}"/>
    <cellStyle name="Normal 9 3 7 3 3" xfId="14580" xr:uid="{22C0F433-BA43-407C-B6F6-0B4F49958BAE}"/>
    <cellStyle name="Normal 9 3 7 4" xfId="18803" xr:uid="{96CCE05D-D340-4341-A2C6-B5D72BD56CA2}"/>
    <cellStyle name="Normal 9 3 7 5" xfId="10362" xr:uid="{AD23626A-2AD1-46F0-A587-B821EE99FE80}"/>
    <cellStyle name="Normal 9 3 8" xfId="2237" xr:uid="{00000000-0005-0000-0000-000042200000}"/>
    <cellStyle name="Normal 9 3 8 2" xfId="4466" xr:uid="{00000000-0005-0000-0000-000043200000}"/>
    <cellStyle name="Normal 9 3 8 2 2" xfId="8688" xr:uid="{00000000-0005-0000-0000-000044200000}"/>
    <cellStyle name="Normal 9 3 8 2 2 2" xfId="25579" xr:uid="{45458837-B9F2-4907-B22F-8F21EF433BD5}"/>
    <cellStyle name="Normal 9 3 8 2 2 3" xfId="17138" xr:uid="{C1DE3011-C85D-4C70-B2F6-4440EF1BA3D6}"/>
    <cellStyle name="Normal 9 3 8 2 3" xfId="21361" xr:uid="{1347B9EF-1990-4ED4-B566-5B087E339324}"/>
    <cellStyle name="Normal 9 3 8 2 4" xfId="12920" xr:uid="{2F23FFFA-43B3-4824-9B0A-5FC3E2BA4436}"/>
    <cellStyle name="Normal 9 3 8 3" xfId="6543" xr:uid="{00000000-0005-0000-0000-000045200000}"/>
    <cellStyle name="Normal 9 3 8 3 2" xfId="23434" xr:uid="{788EB7D7-6381-48A8-9816-D3ECC4537121}"/>
    <cellStyle name="Normal 9 3 8 3 3" xfId="14993" xr:uid="{BCF73403-9BF8-48D6-BF6E-7A3B0B9A6B6E}"/>
    <cellStyle name="Normal 9 3 8 4" xfId="19216" xr:uid="{2C7AD63B-E04C-4BB4-8506-09FFF99963F3}"/>
    <cellStyle name="Normal 9 3 8 5" xfId="10775" xr:uid="{0D23A254-76A9-4E17-BE6E-76B8354A4D88}"/>
    <cellStyle name="Normal 9 3 9" xfId="2673" xr:uid="{00000000-0005-0000-0000-000046200000}"/>
    <cellStyle name="Normal 9 3 9 2" xfId="6956" xr:uid="{00000000-0005-0000-0000-000047200000}"/>
    <cellStyle name="Normal 9 3 9 2 2" xfId="23847" xr:uid="{06B32B8E-79E5-476A-89DB-2A2C8CD9EE3F}"/>
    <cellStyle name="Normal 9 3 9 2 3" xfId="15406" xr:uid="{043835A2-20BA-4813-91A5-5677F7C1D2E9}"/>
    <cellStyle name="Normal 9 3 9 3" xfId="19629" xr:uid="{22758A14-D2F9-40FB-8531-115648CD546F}"/>
    <cellStyle name="Normal 9 3 9 4" xfId="11188" xr:uid="{0D3D0501-D25F-470C-936E-91DCA0ACC17A}"/>
    <cellStyle name="Normal 9 4" xfId="535" xr:uid="{00000000-0005-0000-0000-000048200000}"/>
    <cellStyle name="Normal 9 4 2" xfId="1002" xr:uid="{00000000-0005-0000-0000-000049200000}"/>
    <cellStyle name="Normal 9 5" xfId="536" xr:uid="{00000000-0005-0000-0000-00004A200000}"/>
    <cellStyle name="Normal 9 5 10" xfId="9131" xr:uid="{701F6FD6-4D88-48B5-8C98-7E663B01B684}"/>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2 2 2" xfId="24349" xr:uid="{ECC3296F-44D2-40E9-BE3B-2599633F4D19}"/>
    <cellStyle name="Normal 9 5 2 2 2 2 3" xfId="15908" xr:uid="{EE84DEA0-A0D1-472E-BD69-B83610079AAD}"/>
    <cellStyle name="Normal 9 5 2 2 2 3" xfId="20131" xr:uid="{28BE9771-39F6-4A08-9B45-C02519560E4B}"/>
    <cellStyle name="Normal 9 5 2 2 2 4" xfId="11690" xr:uid="{BFDAF41C-E736-4384-88A6-6E272FBFE8DE}"/>
    <cellStyle name="Normal 9 5 2 2 3" xfId="5313" xr:uid="{00000000-0005-0000-0000-00004F200000}"/>
    <cellStyle name="Normal 9 5 2 2 3 2" xfId="22204" xr:uid="{971735E3-C9F2-40CE-9B1B-A1BB1065F7EE}"/>
    <cellStyle name="Normal 9 5 2 2 3 3" xfId="13763" xr:uid="{CFCEA945-C66E-48F3-813F-DBC76DEBB416}"/>
    <cellStyle name="Normal 9 5 2 2 4" xfId="17986" xr:uid="{99454E6C-60E3-455F-9B6A-E141F19AC464}"/>
    <cellStyle name="Normal 9 5 2 2 5" xfId="9545" xr:uid="{F094B188-6132-4558-994A-B8961D9C0CB2}"/>
    <cellStyle name="Normal 9 5 2 3" xfId="1419" xr:uid="{00000000-0005-0000-0000-000050200000}"/>
    <cellStyle name="Normal 9 5 2 3 2" xfId="3649" xr:uid="{00000000-0005-0000-0000-000051200000}"/>
    <cellStyle name="Normal 9 5 2 3 2 2" xfId="7871" xr:uid="{00000000-0005-0000-0000-000052200000}"/>
    <cellStyle name="Normal 9 5 2 3 2 2 2" xfId="24762" xr:uid="{C1EB6DC2-984D-4668-9B59-F3630945D15B}"/>
    <cellStyle name="Normal 9 5 2 3 2 2 3" xfId="16321" xr:uid="{702DA8D8-3EBA-4991-AD23-E322BCEDE733}"/>
    <cellStyle name="Normal 9 5 2 3 2 3" xfId="20544" xr:uid="{59CB43F0-2F36-4B34-B73F-3011B62BB66A}"/>
    <cellStyle name="Normal 9 5 2 3 2 4" xfId="12103" xr:uid="{4C8ABD9A-6249-43DC-8EE2-4E6CF558BB77}"/>
    <cellStyle name="Normal 9 5 2 3 3" xfId="5726" xr:uid="{00000000-0005-0000-0000-000053200000}"/>
    <cellStyle name="Normal 9 5 2 3 3 2" xfId="22617" xr:uid="{0CCC9B8A-E36F-4755-BC76-EC33E709DDAA}"/>
    <cellStyle name="Normal 9 5 2 3 3 3" xfId="14176" xr:uid="{32D42607-7705-4CBF-88CE-4E5DBB943F28}"/>
    <cellStyle name="Normal 9 5 2 3 4" xfId="18399" xr:uid="{E4FFAF2D-EC52-4A81-93ED-1DB2FFDFB263}"/>
    <cellStyle name="Normal 9 5 2 3 5" xfId="9958" xr:uid="{FAC0FF9C-89E5-4F84-9179-9CF4598B4A7F}"/>
    <cellStyle name="Normal 9 5 2 4" xfId="1832" xr:uid="{00000000-0005-0000-0000-000054200000}"/>
    <cellStyle name="Normal 9 5 2 4 2" xfId="4062" xr:uid="{00000000-0005-0000-0000-000055200000}"/>
    <cellStyle name="Normal 9 5 2 4 2 2" xfId="8284" xr:uid="{00000000-0005-0000-0000-000056200000}"/>
    <cellStyle name="Normal 9 5 2 4 2 2 2" xfId="25175" xr:uid="{320E2835-CE28-4937-95D6-4ECB8CC8A22D}"/>
    <cellStyle name="Normal 9 5 2 4 2 2 3" xfId="16734" xr:uid="{00CAFE07-BBD9-421A-981B-254E3558B5C0}"/>
    <cellStyle name="Normal 9 5 2 4 2 3" xfId="20957" xr:uid="{E2F4FBBB-FF1A-4168-8085-81A8475F3064}"/>
    <cellStyle name="Normal 9 5 2 4 2 4" xfId="12516" xr:uid="{40A89559-19A4-4328-9480-C27FF2FAE186}"/>
    <cellStyle name="Normal 9 5 2 4 3" xfId="6139" xr:uid="{00000000-0005-0000-0000-000057200000}"/>
    <cellStyle name="Normal 9 5 2 4 3 2" xfId="23030" xr:uid="{F28FB7ED-7844-4105-8AC5-F594A2D94385}"/>
    <cellStyle name="Normal 9 5 2 4 3 3" xfId="14589" xr:uid="{03B5C22E-8AD6-4744-9D5A-87A0543FBFA9}"/>
    <cellStyle name="Normal 9 5 2 4 4" xfId="18812" xr:uid="{51D4C608-7A3D-4EDE-A528-68F64FF4F955}"/>
    <cellStyle name="Normal 9 5 2 4 5" xfId="10371" xr:uid="{4165B3A3-D10F-49CA-94C8-C90814DEAF4D}"/>
    <cellStyle name="Normal 9 5 2 5" xfId="2246" xr:uid="{00000000-0005-0000-0000-000058200000}"/>
    <cellStyle name="Normal 9 5 2 5 2" xfId="4475" xr:uid="{00000000-0005-0000-0000-000059200000}"/>
    <cellStyle name="Normal 9 5 2 5 2 2" xfId="8697" xr:uid="{00000000-0005-0000-0000-00005A200000}"/>
    <cellStyle name="Normal 9 5 2 5 2 2 2" xfId="25588" xr:uid="{1A8CA4B8-0031-4B93-A75B-8755947153C3}"/>
    <cellStyle name="Normal 9 5 2 5 2 2 3" xfId="17147" xr:uid="{0F67DE0C-C24B-46F8-B4ED-93274ACC1DDE}"/>
    <cellStyle name="Normal 9 5 2 5 2 3" xfId="21370" xr:uid="{EC728AF7-0019-4B75-8DF6-7C0429CD3110}"/>
    <cellStyle name="Normal 9 5 2 5 2 4" xfId="12929" xr:uid="{776701FA-4609-4A9B-8DF5-F6527CCF267C}"/>
    <cellStyle name="Normal 9 5 2 5 3" xfId="6552" xr:uid="{00000000-0005-0000-0000-00005B200000}"/>
    <cellStyle name="Normal 9 5 2 5 3 2" xfId="23443" xr:uid="{94BBB57E-8BED-427E-B576-0A4C5CE0D8CF}"/>
    <cellStyle name="Normal 9 5 2 5 3 3" xfId="15002" xr:uid="{C7D8B3AD-BA9C-4E1E-95BB-0F7704D8541E}"/>
    <cellStyle name="Normal 9 5 2 5 4" xfId="19225" xr:uid="{7629C5F9-FEAC-4609-A237-C28978A27B29}"/>
    <cellStyle name="Normal 9 5 2 5 5" xfId="10784" xr:uid="{5DDC16E2-07DE-40AF-84BE-CACAA2926888}"/>
    <cellStyle name="Normal 9 5 2 6" xfId="2682" xr:uid="{00000000-0005-0000-0000-00005C200000}"/>
    <cellStyle name="Normal 9 5 2 6 2" xfId="6965" xr:uid="{00000000-0005-0000-0000-00005D200000}"/>
    <cellStyle name="Normal 9 5 2 6 2 2" xfId="23856" xr:uid="{8A1AEFE7-1C97-424E-8912-193DA88F06F8}"/>
    <cellStyle name="Normal 9 5 2 6 2 3" xfId="15415" xr:uid="{3DA30199-FD05-4D24-A849-2567C54D9D56}"/>
    <cellStyle name="Normal 9 5 2 6 3" xfId="19638" xr:uid="{72860993-8DB6-4B3D-B81D-F758DA586D92}"/>
    <cellStyle name="Normal 9 5 2 6 4" xfId="11197" xr:uid="{A5DACE51-7C94-4E0A-9246-68A95FF22947}"/>
    <cellStyle name="Normal 9 5 2 7" xfId="4900" xr:uid="{00000000-0005-0000-0000-00005E200000}"/>
    <cellStyle name="Normal 9 5 2 7 2" xfId="21791" xr:uid="{A5BB2A30-99E8-4724-AFA8-FF72AA4D80C0}"/>
    <cellStyle name="Normal 9 5 2 7 3" xfId="13350" xr:uid="{E4D2A7FF-5017-416B-8C42-B36A2A2A29B8}"/>
    <cellStyle name="Normal 9 5 2 8" xfId="17573" xr:uid="{A2968477-30F6-49F9-BF59-5F70DF51B9C4}"/>
    <cellStyle name="Normal 9 5 2 9" xfId="9132" xr:uid="{839E2FD0-9198-4F85-AE6D-A46CFCD44E47}"/>
    <cellStyle name="Normal 9 5 3" xfId="1003" xr:uid="{00000000-0005-0000-0000-00005F200000}"/>
    <cellStyle name="Normal 9 5 3 2" xfId="3235" xr:uid="{00000000-0005-0000-0000-000060200000}"/>
    <cellStyle name="Normal 9 5 3 2 2" xfId="7457" xr:uid="{00000000-0005-0000-0000-000061200000}"/>
    <cellStyle name="Normal 9 5 3 2 2 2" xfId="24348" xr:uid="{092F7629-E744-429F-86EB-AD0409FAC18F}"/>
    <cellStyle name="Normal 9 5 3 2 2 3" xfId="15907" xr:uid="{611B09F0-EEF1-452D-B4F0-0155BD6D5F34}"/>
    <cellStyle name="Normal 9 5 3 2 3" xfId="20130" xr:uid="{20017792-A594-4BBE-84F1-65085F8CFE88}"/>
    <cellStyle name="Normal 9 5 3 2 4" xfId="11689" xr:uid="{59C1DC02-2C0F-4C2C-BDA6-7E26AD1A9098}"/>
    <cellStyle name="Normal 9 5 3 3" xfId="5312" xr:uid="{00000000-0005-0000-0000-000062200000}"/>
    <cellStyle name="Normal 9 5 3 3 2" xfId="22203" xr:uid="{EBE95380-8E6A-47EF-BB5E-627665A39C3A}"/>
    <cellStyle name="Normal 9 5 3 3 3" xfId="13762" xr:uid="{4ADB1536-A157-4C70-86C1-0E04E5F21138}"/>
    <cellStyle name="Normal 9 5 3 4" xfId="17985" xr:uid="{1D274CD4-19FF-43A2-BA97-D0FF8568694C}"/>
    <cellStyle name="Normal 9 5 3 5" xfId="9544" xr:uid="{BE419F71-6D58-4A9D-8599-A1B2A48EF0AF}"/>
    <cellStyle name="Normal 9 5 4" xfId="1418" xr:uid="{00000000-0005-0000-0000-000063200000}"/>
    <cellStyle name="Normal 9 5 4 2" xfId="3648" xr:uid="{00000000-0005-0000-0000-000064200000}"/>
    <cellStyle name="Normal 9 5 4 2 2" xfId="7870" xr:uid="{00000000-0005-0000-0000-000065200000}"/>
    <cellStyle name="Normal 9 5 4 2 2 2" xfId="24761" xr:uid="{D72ECF9D-0125-436B-8F47-6D9C612ACBD9}"/>
    <cellStyle name="Normal 9 5 4 2 2 3" xfId="16320" xr:uid="{A19D902A-E379-409D-A886-E6AF0BD4180F}"/>
    <cellStyle name="Normal 9 5 4 2 3" xfId="20543" xr:uid="{C09511EA-B9B6-42EB-A39C-60BC855A602A}"/>
    <cellStyle name="Normal 9 5 4 2 4" xfId="12102" xr:uid="{9361683A-1436-438D-BA99-54CA319FE51C}"/>
    <cellStyle name="Normal 9 5 4 3" xfId="5725" xr:uid="{00000000-0005-0000-0000-000066200000}"/>
    <cellStyle name="Normal 9 5 4 3 2" xfId="22616" xr:uid="{21BF47E8-E254-4821-B555-37FCF4BF5491}"/>
    <cellStyle name="Normal 9 5 4 3 3" xfId="14175" xr:uid="{08BAAD12-3D6B-41D6-8E48-6856D7822DD6}"/>
    <cellStyle name="Normal 9 5 4 4" xfId="18398" xr:uid="{D697661C-BC24-42A3-9130-422C980F007B}"/>
    <cellStyle name="Normal 9 5 4 5" xfId="9957" xr:uid="{279B11C4-2C22-48D2-B5D7-F655C0067BE6}"/>
    <cellStyle name="Normal 9 5 5" xfId="1831" xr:uid="{00000000-0005-0000-0000-000067200000}"/>
    <cellStyle name="Normal 9 5 5 2" xfId="4061" xr:uid="{00000000-0005-0000-0000-000068200000}"/>
    <cellStyle name="Normal 9 5 5 2 2" xfId="8283" xr:uid="{00000000-0005-0000-0000-000069200000}"/>
    <cellStyle name="Normal 9 5 5 2 2 2" xfId="25174" xr:uid="{D801ADB6-3627-4CDB-A211-57C577ADC660}"/>
    <cellStyle name="Normal 9 5 5 2 2 3" xfId="16733" xr:uid="{212E48A9-75F6-4763-AABD-EAB51219F864}"/>
    <cellStyle name="Normal 9 5 5 2 3" xfId="20956" xr:uid="{059C692C-07A0-45EF-930A-1D2A20867335}"/>
    <cellStyle name="Normal 9 5 5 2 4" xfId="12515" xr:uid="{9AF7C501-41CA-4AEB-A29F-4B23E6333D3F}"/>
    <cellStyle name="Normal 9 5 5 3" xfId="6138" xr:uid="{00000000-0005-0000-0000-00006A200000}"/>
    <cellStyle name="Normal 9 5 5 3 2" xfId="23029" xr:uid="{B8A0D02C-9ECB-4EBD-B369-C16FA812B43A}"/>
    <cellStyle name="Normal 9 5 5 3 3" xfId="14588" xr:uid="{DE71EBB7-C5B2-4D60-884C-D1CCC24CC4FC}"/>
    <cellStyle name="Normal 9 5 5 4" xfId="18811" xr:uid="{6B1CE112-1672-4F49-A2F9-D9BC88465A4E}"/>
    <cellStyle name="Normal 9 5 5 5" xfId="10370" xr:uid="{1A8BEA2F-CB42-4840-BA98-DD3FBCEE4D1C}"/>
    <cellStyle name="Normal 9 5 6" xfId="2245" xr:uid="{00000000-0005-0000-0000-00006B200000}"/>
    <cellStyle name="Normal 9 5 6 2" xfId="4474" xr:uid="{00000000-0005-0000-0000-00006C200000}"/>
    <cellStyle name="Normal 9 5 6 2 2" xfId="8696" xr:uid="{00000000-0005-0000-0000-00006D200000}"/>
    <cellStyle name="Normal 9 5 6 2 2 2" xfId="25587" xr:uid="{53B303A1-9D14-4A5A-A3EF-9D7569C5AC03}"/>
    <cellStyle name="Normal 9 5 6 2 2 3" xfId="17146" xr:uid="{892215E5-CB6E-41C2-9879-EAD2FC6E510E}"/>
    <cellStyle name="Normal 9 5 6 2 3" xfId="21369" xr:uid="{8FADCB24-F792-4F28-8270-5A3782CA9B9B}"/>
    <cellStyle name="Normal 9 5 6 2 4" xfId="12928" xr:uid="{ACFB54D0-06E7-4504-8ABC-7CFDF81DC5F8}"/>
    <cellStyle name="Normal 9 5 6 3" xfId="6551" xr:uid="{00000000-0005-0000-0000-00006E200000}"/>
    <cellStyle name="Normal 9 5 6 3 2" xfId="23442" xr:uid="{8C45B4F7-7189-4B91-86CB-4E37948A68F4}"/>
    <cellStyle name="Normal 9 5 6 3 3" xfId="15001" xr:uid="{C1C07322-E15A-4D40-8E4E-6F062E9D2C4D}"/>
    <cellStyle name="Normal 9 5 6 4" xfId="19224" xr:uid="{7F8E84B7-BA81-4C08-8ED4-D929947A686E}"/>
    <cellStyle name="Normal 9 5 6 5" xfId="10783" xr:uid="{F2D4A50D-F130-4042-B437-EAD605B13EEA}"/>
    <cellStyle name="Normal 9 5 7" xfId="2681" xr:uid="{00000000-0005-0000-0000-00006F200000}"/>
    <cellStyle name="Normal 9 5 7 2" xfId="6964" xr:uid="{00000000-0005-0000-0000-000070200000}"/>
    <cellStyle name="Normal 9 5 7 2 2" xfId="23855" xr:uid="{03C02884-D44D-4D60-8DED-FAA2CC6C1C80}"/>
    <cellStyle name="Normal 9 5 7 2 3" xfId="15414" xr:uid="{CEDEA9D2-3B9A-46E6-80C2-B18FEE82C2DB}"/>
    <cellStyle name="Normal 9 5 7 3" xfId="19637" xr:uid="{2BFA73B7-A692-4728-BBFB-50CF770F3D1D}"/>
    <cellStyle name="Normal 9 5 7 4" xfId="11196" xr:uid="{A54CD7D2-F9B4-43FE-B4AC-93BA39DC172B}"/>
    <cellStyle name="Normal 9 5 8" xfId="4899" xr:uid="{00000000-0005-0000-0000-000071200000}"/>
    <cellStyle name="Normal 9 5 8 2" xfId="21790" xr:uid="{F565D660-BBC5-4914-9E3C-2773AB7A03C7}"/>
    <cellStyle name="Normal 9 5 8 3" xfId="13349" xr:uid="{C7C9E31B-9DA7-4BF7-ADE6-97750A852343}"/>
    <cellStyle name="Normal 9 5 9" xfId="17572" xr:uid="{62351141-3DE9-4F04-9BBC-AD24C85A327B}"/>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2 2 2" xfId="24350" xr:uid="{36571159-88F7-4347-AB59-90A6DBA40EB6}"/>
    <cellStyle name="Normal 9 6 2 2 2 3" xfId="15909" xr:uid="{890BA962-E4F4-4BC9-8E20-81F7A1F51C59}"/>
    <cellStyle name="Normal 9 6 2 2 3" xfId="20132" xr:uid="{52023B04-CFE7-417E-A6FF-7A9289C80C0B}"/>
    <cellStyle name="Normal 9 6 2 2 4" xfId="11691" xr:uid="{2ADB2E16-E7E6-449E-BC27-18C8699A1CC8}"/>
    <cellStyle name="Normal 9 6 2 3" xfId="5314" xr:uid="{00000000-0005-0000-0000-000076200000}"/>
    <cellStyle name="Normal 9 6 2 3 2" xfId="22205" xr:uid="{1E550A5F-21C6-4DC0-A3D7-3DF0B72B409D}"/>
    <cellStyle name="Normal 9 6 2 3 3" xfId="13764" xr:uid="{6D7B468F-72D6-4E0F-8CDA-2B0E7993FA91}"/>
    <cellStyle name="Normal 9 6 2 4" xfId="17987" xr:uid="{A521CAA7-72F8-4D2F-A3EE-DAB311CA7683}"/>
    <cellStyle name="Normal 9 6 2 5" xfId="9546" xr:uid="{71F014D9-4C19-4ECF-B309-B41B0D5CA4C5}"/>
    <cellStyle name="Normal 9 6 3" xfId="1420" xr:uid="{00000000-0005-0000-0000-000077200000}"/>
    <cellStyle name="Normal 9 6 3 2" xfId="3650" xr:uid="{00000000-0005-0000-0000-000078200000}"/>
    <cellStyle name="Normal 9 6 3 2 2" xfId="7872" xr:uid="{00000000-0005-0000-0000-000079200000}"/>
    <cellStyle name="Normal 9 6 3 2 2 2" xfId="24763" xr:uid="{AEBEC6BB-FD85-4633-AAC2-EB0EC994B33E}"/>
    <cellStyle name="Normal 9 6 3 2 2 3" xfId="16322" xr:uid="{8D6C61A4-ACBD-4689-A817-1BB4B9064D17}"/>
    <cellStyle name="Normal 9 6 3 2 3" xfId="20545" xr:uid="{06A2843B-92E9-4E30-8A3B-14612D5F82A8}"/>
    <cellStyle name="Normal 9 6 3 2 4" xfId="12104" xr:uid="{79F6B99F-8677-4D59-BE3D-BDD49F1C547D}"/>
    <cellStyle name="Normal 9 6 3 3" xfId="5727" xr:uid="{00000000-0005-0000-0000-00007A200000}"/>
    <cellStyle name="Normal 9 6 3 3 2" xfId="22618" xr:uid="{D1AA9203-1DE4-4DBF-8F6A-24F493FCDCAF}"/>
    <cellStyle name="Normal 9 6 3 3 3" xfId="14177" xr:uid="{590E0F4A-3C4A-4C3A-B65A-C08B14D75C5D}"/>
    <cellStyle name="Normal 9 6 3 4" xfId="18400" xr:uid="{78DEEF19-3270-4D1C-A64C-2C961CE6B61C}"/>
    <cellStyle name="Normal 9 6 3 5" xfId="9959" xr:uid="{3FCC6716-56E1-4722-A27A-AF037D6202EB}"/>
    <cellStyle name="Normal 9 6 4" xfId="1833" xr:uid="{00000000-0005-0000-0000-00007B200000}"/>
    <cellStyle name="Normal 9 6 4 2" xfId="4063" xr:uid="{00000000-0005-0000-0000-00007C200000}"/>
    <cellStyle name="Normal 9 6 4 2 2" xfId="8285" xr:uid="{00000000-0005-0000-0000-00007D200000}"/>
    <cellStyle name="Normal 9 6 4 2 2 2" xfId="25176" xr:uid="{CF15D7A3-139C-4235-BD7D-26E3FD64E4CA}"/>
    <cellStyle name="Normal 9 6 4 2 2 3" xfId="16735" xr:uid="{AB98B455-6512-489D-979E-FBDA2DFF760F}"/>
    <cellStyle name="Normal 9 6 4 2 3" xfId="20958" xr:uid="{51CC7B66-2176-4E3A-A612-2A930C662842}"/>
    <cellStyle name="Normal 9 6 4 2 4" xfId="12517" xr:uid="{80C5EFE5-A136-4056-88F9-86CDBBF69BF0}"/>
    <cellStyle name="Normal 9 6 4 3" xfId="6140" xr:uid="{00000000-0005-0000-0000-00007E200000}"/>
    <cellStyle name="Normal 9 6 4 3 2" xfId="23031" xr:uid="{526E505C-CCBC-472C-95DC-22EFA4A5E4F5}"/>
    <cellStyle name="Normal 9 6 4 3 3" xfId="14590" xr:uid="{26C30224-2CBA-4024-A156-6524AF3BD2C7}"/>
    <cellStyle name="Normal 9 6 4 4" xfId="18813" xr:uid="{B3527B74-BF15-4064-8C6B-E9FFCDB8B3F5}"/>
    <cellStyle name="Normal 9 6 4 5" xfId="10372" xr:uid="{C4849807-0460-4A00-A3E5-43165CFEF987}"/>
    <cellStyle name="Normal 9 6 5" xfId="2247" xr:uid="{00000000-0005-0000-0000-00007F200000}"/>
    <cellStyle name="Normal 9 6 5 2" xfId="4476" xr:uid="{00000000-0005-0000-0000-000080200000}"/>
    <cellStyle name="Normal 9 6 5 2 2" xfId="8698" xr:uid="{00000000-0005-0000-0000-000081200000}"/>
    <cellStyle name="Normal 9 6 5 2 2 2" xfId="25589" xr:uid="{113AFD36-D54A-47BE-96DD-DA2718B80337}"/>
    <cellStyle name="Normal 9 6 5 2 2 3" xfId="17148" xr:uid="{02305DA0-29D4-4B62-A34A-69ADCA7337D3}"/>
    <cellStyle name="Normal 9 6 5 2 3" xfId="21371" xr:uid="{DA4A65C1-AACE-4CF3-BD80-F69CD7F528A5}"/>
    <cellStyle name="Normal 9 6 5 2 4" xfId="12930" xr:uid="{99CE7753-85C0-430E-A7ED-7C33DA13B9C2}"/>
    <cellStyle name="Normal 9 6 5 3" xfId="6553" xr:uid="{00000000-0005-0000-0000-000082200000}"/>
    <cellStyle name="Normal 9 6 5 3 2" xfId="23444" xr:uid="{C33D3E41-501E-4018-8F7F-E130E0C91830}"/>
    <cellStyle name="Normal 9 6 5 3 3" xfId="15003" xr:uid="{0528AAC4-F1B2-4551-BBCD-A912B77A7D12}"/>
    <cellStyle name="Normal 9 6 5 4" xfId="19226" xr:uid="{9D014090-67BC-47F0-9FF2-5E726DB12223}"/>
    <cellStyle name="Normal 9 6 5 5" xfId="10785" xr:uid="{0843F504-82CF-4E29-BAD0-85C65A62CF41}"/>
    <cellStyle name="Normal 9 6 6" xfId="2683" xr:uid="{00000000-0005-0000-0000-000083200000}"/>
    <cellStyle name="Normal 9 6 6 2" xfId="6966" xr:uid="{00000000-0005-0000-0000-000084200000}"/>
    <cellStyle name="Normal 9 6 6 2 2" xfId="23857" xr:uid="{7EEBEE1E-28BE-4251-B429-CD4022B01A79}"/>
    <cellStyle name="Normal 9 6 6 2 3" xfId="15416" xr:uid="{51BE9A5A-AAFC-4617-B933-DBC01F125EE0}"/>
    <cellStyle name="Normal 9 6 6 3" xfId="19639" xr:uid="{FBC233C4-936C-4996-9EAA-B16A5DE2B2AC}"/>
    <cellStyle name="Normal 9 6 6 4" xfId="11198" xr:uid="{D93EF9CC-DB94-4DAC-8DAE-70A45DDBC84B}"/>
    <cellStyle name="Normal 9 6 7" xfId="4901" xr:uid="{00000000-0005-0000-0000-000085200000}"/>
    <cellStyle name="Normal 9 6 7 2" xfId="21792" xr:uid="{0D0FAA5F-2B19-4D11-B51C-1DBF2507772D}"/>
    <cellStyle name="Normal 9 6 7 3" xfId="13351" xr:uid="{14C740D5-B7B6-444E-8F31-0C1BC0BF29D3}"/>
    <cellStyle name="Normal 9 6 8" xfId="17574" xr:uid="{7794B255-E078-4653-B549-95BA57507859}"/>
    <cellStyle name="Normal 9 6 9" xfId="9133" xr:uid="{1EECAB25-C323-4AE3-9E9B-C177BE828E23}"/>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0 2 2" xfId="23938" xr:uid="{2DFD4751-1096-4EF1-8D00-EBE335477A10}"/>
    <cellStyle name="Note 2 2 10 2 3" xfId="15497" xr:uid="{0A44918F-5F78-4E8E-8DA8-9724BAFB2FE1}"/>
    <cellStyle name="Note 2 2 10 3" xfId="19720" xr:uid="{F5D74F48-9ADA-4D5B-A5AC-4C57C1BE9A95}"/>
    <cellStyle name="Note 2 2 10 4" xfId="11279" xr:uid="{6FBC0A66-C804-4BA8-8B19-5AC9B7B898EC}"/>
    <cellStyle name="Note 2 2 11" xfId="4902" xr:uid="{00000000-0005-0000-0000-000094200000}"/>
    <cellStyle name="Note 2 2 11 2" xfId="21793" xr:uid="{02A3C796-F79F-45AF-937C-64B7EF39C347}"/>
    <cellStyle name="Note 2 2 11 3" xfId="13352" xr:uid="{ED54400F-7B5B-439D-8A3D-C5626852C0F0}"/>
    <cellStyle name="Note 2 2 12" xfId="17575" xr:uid="{9903B0C8-2A56-45E3-AA9E-D1870E65E9AD}"/>
    <cellStyle name="Note 2 2 13" xfId="9134" xr:uid="{B65E5981-66EA-4DF0-A3C5-6CB4BF8E2942}"/>
    <cellStyle name="Note 2 2 2" xfId="546" xr:uid="{00000000-0005-0000-0000-000095200000}"/>
    <cellStyle name="Note 2 2 2 10" xfId="4903" xr:uid="{00000000-0005-0000-0000-000096200000}"/>
    <cellStyle name="Note 2 2 2 10 2" xfId="21794" xr:uid="{2C0FD41B-F305-4AE7-9BBC-ADA10264816E}"/>
    <cellStyle name="Note 2 2 2 10 3" xfId="13353" xr:uid="{91129D9A-124D-4C96-8A6A-8B3D648A11D9}"/>
    <cellStyle name="Note 2 2 2 11" xfId="17576" xr:uid="{0C075257-99AA-4705-8D79-86EEF1F7DD4A}"/>
    <cellStyle name="Note 2 2 2 12" xfId="9135" xr:uid="{2BD7ADDB-CA0C-47AB-956E-C9761E07BCFD}"/>
    <cellStyle name="Note 2 2 2 2" xfId="547" xr:uid="{00000000-0005-0000-0000-000097200000}"/>
    <cellStyle name="Note 2 2 2 2 10" xfId="17577" xr:uid="{FBE50F73-1B22-4050-988F-5A79C3B62597}"/>
    <cellStyle name="Note 2 2 2 2 11" xfId="9136" xr:uid="{CA479ABD-9FEE-4F93-884D-9EDF9C672F65}"/>
    <cellStyle name="Note 2 2 2 2 2" xfId="1008" xr:uid="{00000000-0005-0000-0000-000098200000}"/>
    <cellStyle name="Note 2 2 2 2 2 2" xfId="3240" xr:uid="{00000000-0005-0000-0000-000099200000}"/>
    <cellStyle name="Note 2 2 2 2 2 2 2" xfId="7462" xr:uid="{00000000-0005-0000-0000-00009A200000}"/>
    <cellStyle name="Note 2 2 2 2 2 2 2 2" xfId="24353" xr:uid="{B2B48958-04E5-442F-B782-AB9D4BAD6CCE}"/>
    <cellStyle name="Note 2 2 2 2 2 2 2 3" xfId="15912" xr:uid="{1A15F313-B2B7-47DF-8438-39CE87B46886}"/>
    <cellStyle name="Note 2 2 2 2 2 2 3" xfId="20135" xr:uid="{8907049F-164E-4682-A060-1E4D5A800DF0}"/>
    <cellStyle name="Note 2 2 2 2 2 2 4" xfId="11694" xr:uid="{4325F208-18FF-4EC1-B2A1-559943B4DC22}"/>
    <cellStyle name="Note 2 2 2 2 2 3" xfId="5317" xr:uid="{00000000-0005-0000-0000-00009B200000}"/>
    <cellStyle name="Note 2 2 2 2 2 3 2" xfId="22208" xr:uid="{9225627C-0DC6-467E-9F20-E2FE94762C13}"/>
    <cellStyle name="Note 2 2 2 2 2 3 3" xfId="13767" xr:uid="{5709790E-32D6-4AB0-B8DB-5C5AD55A91F3}"/>
    <cellStyle name="Note 2 2 2 2 2 4" xfId="17990" xr:uid="{C8E6BB0E-9CF0-4CF3-966C-3099D34FF57D}"/>
    <cellStyle name="Note 2 2 2 2 2 5" xfId="9549" xr:uid="{AEF981E1-86EF-437B-A474-6143D4D09772}"/>
    <cellStyle name="Note 2 2 2 2 3" xfId="1423" xr:uid="{00000000-0005-0000-0000-00009C200000}"/>
    <cellStyle name="Note 2 2 2 2 3 2" xfId="3653" xr:uid="{00000000-0005-0000-0000-00009D200000}"/>
    <cellStyle name="Note 2 2 2 2 3 2 2" xfId="7875" xr:uid="{00000000-0005-0000-0000-00009E200000}"/>
    <cellStyle name="Note 2 2 2 2 3 2 2 2" xfId="24766" xr:uid="{FBA32BF2-D5C1-484F-89EF-21C72201022C}"/>
    <cellStyle name="Note 2 2 2 2 3 2 2 3" xfId="16325" xr:uid="{88D39EBE-30F1-4E94-B72B-5B1A66E2A9C1}"/>
    <cellStyle name="Note 2 2 2 2 3 2 3" xfId="20548" xr:uid="{DB6B694B-D763-4178-BED3-671C507CFA91}"/>
    <cellStyle name="Note 2 2 2 2 3 2 4" xfId="12107" xr:uid="{52048514-86C7-4F55-A23F-C67912481339}"/>
    <cellStyle name="Note 2 2 2 2 3 3" xfId="5730" xr:uid="{00000000-0005-0000-0000-00009F200000}"/>
    <cellStyle name="Note 2 2 2 2 3 3 2" xfId="22621" xr:uid="{A93012CE-69B6-4D25-8B84-60EADF51AA85}"/>
    <cellStyle name="Note 2 2 2 2 3 3 3" xfId="14180" xr:uid="{AC91CE03-C233-4C27-9C3E-3937226A7F63}"/>
    <cellStyle name="Note 2 2 2 2 3 4" xfId="18403" xr:uid="{F346C3C3-BACE-4F4D-B2BE-3FF1F047B2CD}"/>
    <cellStyle name="Note 2 2 2 2 3 5" xfId="9962" xr:uid="{3634C9F2-3712-4EA1-A720-BA6A9B253ADB}"/>
    <cellStyle name="Note 2 2 2 2 4" xfId="1837" xr:uid="{00000000-0005-0000-0000-0000A0200000}"/>
    <cellStyle name="Note 2 2 2 2 4 2" xfId="4066" xr:uid="{00000000-0005-0000-0000-0000A1200000}"/>
    <cellStyle name="Note 2 2 2 2 4 2 2" xfId="8288" xr:uid="{00000000-0005-0000-0000-0000A2200000}"/>
    <cellStyle name="Note 2 2 2 2 4 2 2 2" xfId="25179" xr:uid="{96A9833D-2999-4BC9-BBBE-2D9F36879DFB}"/>
    <cellStyle name="Note 2 2 2 2 4 2 2 3" xfId="16738" xr:uid="{E618FCBE-B5B2-47EE-B9A4-D01EA62C3AB2}"/>
    <cellStyle name="Note 2 2 2 2 4 2 3" xfId="20961" xr:uid="{17C2E41D-18BD-414B-9766-91FF5EDB9399}"/>
    <cellStyle name="Note 2 2 2 2 4 2 4" xfId="12520" xr:uid="{ECD47481-6900-430D-9150-AC0507C779B7}"/>
    <cellStyle name="Note 2 2 2 2 4 3" xfId="6143" xr:uid="{00000000-0005-0000-0000-0000A3200000}"/>
    <cellStyle name="Note 2 2 2 2 4 3 2" xfId="23034" xr:uid="{76D45FEE-7261-4E8B-9614-B2B84DA7BD23}"/>
    <cellStyle name="Note 2 2 2 2 4 3 3" xfId="14593" xr:uid="{E675D286-1BBD-4CCC-81EC-635C321FA8FA}"/>
    <cellStyle name="Note 2 2 2 2 4 4" xfId="18816" xr:uid="{8FCFFE95-399B-40AD-A418-C484565042F9}"/>
    <cellStyle name="Note 2 2 2 2 4 5" xfId="10375" xr:uid="{47083D24-0174-408B-AC64-34AF0E08A7C8}"/>
    <cellStyle name="Note 2 2 2 2 5" xfId="2250" xr:uid="{00000000-0005-0000-0000-0000A4200000}"/>
    <cellStyle name="Note 2 2 2 2 5 2" xfId="4479" xr:uid="{00000000-0005-0000-0000-0000A5200000}"/>
    <cellStyle name="Note 2 2 2 2 5 2 2" xfId="8701" xr:uid="{00000000-0005-0000-0000-0000A6200000}"/>
    <cellStyle name="Note 2 2 2 2 5 2 2 2" xfId="25592" xr:uid="{9890C4A5-5ABB-40DC-A27C-08FB1AF41160}"/>
    <cellStyle name="Note 2 2 2 2 5 2 2 3" xfId="17151" xr:uid="{A96FBDE8-ED07-4AED-B444-E7B6875F19E1}"/>
    <cellStyle name="Note 2 2 2 2 5 2 3" xfId="21374" xr:uid="{E5B1C5D3-80EA-4B1F-902F-1CD17D2A1E5A}"/>
    <cellStyle name="Note 2 2 2 2 5 2 4" xfId="12933" xr:uid="{28107128-F7F9-46FF-BD5E-16634BFAFC0C}"/>
    <cellStyle name="Note 2 2 2 2 5 3" xfId="6556" xr:uid="{00000000-0005-0000-0000-0000A7200000}"/>
    <cellStyle name="Note 2 2 2 2 5 3 2" xfId="23447" xr:uid="{D72C5DD6-56B6-4780-BD8F-2B1A625200BB}"/>
    <cellStyle name="Note 2 2 2 2 5 3 3" xfId="15006" xr:uid="{D7FAE5CA-0BC7-466D-B6EF-68EAE2C60AF1}"/>
    <cellStyle name="Note 2 2 2 2 5 4" xfId="19229" xr:uid="{E58460DF-92B5-484D-A575-700FA753C661}"/>
    <cellStyle name="Note 2 2 2 2 5 5" xfId="10788" xr:uid="{F339E8B4-0170-4C74-932B-182879FAABE1}"/>
    <cellStyle name="Note 2 2 2 2 6" xfId="2686" xr:uid="{00000000-0005-0000-0000-0000A8200000}"/>
    <cellStyle name="Note 2 2 2 2 6 2" xfId="6969" xr:uid="{00000000-0005-0000-0000-0000A9200000}"/>
    <cellStyle name="Note 2 2 2 2 6 2 2" xfId="23860" xr:uid="{90515E29-D6E8-42C5-8559-AEC1E17C4FD5}"/>
    <cellStyle name="Note 2 2 2 2 6 2 3" xfId="15419" xr:uid="{71175B4D-4CB4-4BE4-896B-8BFFA7BDDBBF}"/>
    <cellStyle name="Note 2 2 2 2 6 3" xfId="19642" xr:uid="{4A25CF38-D648-44D1-8077-5810241AF06D}"/>
    <cellStyle name="Note 2 2 2 2 6 4" xfId="11201" xr:uid="{2C8F7652-DC83-44E0-A5B7-26698C7FADF9}"/>
    <cellStyle name="Note 2 2 2 2 7" xfId="2745" xr:uid="{00000000-0005-0000-0000-0000AA200000}"/>
    <cellStyle name="Note 2 2 2 2 8" xfId="2826" xr:uid="{00000000-0005-0000-0000-0000AB200000}"/>
    <cellStyle name="Note 2 2 2 2 8 2" xfId="7049" xr:uid="{00000000-0005-0000-0000-0000AC200000}"/>
    <cellStyle name="Note 2 2 2 2 8 2 2" xfId="23940" xr:uid="{FD044F64-1283-4437-ABFC-D103892F677F}"/>
    <cellStyle name="Note 2 2 2 2 8 2 3" xfId="15499" xr:uid="{4113F513-6CF3-49E3-842B-9F164F5682A8}"/>
    <cellStyle name="Note 2 2 2 2 8 3" xfId="19722" xr:uid="{7400EBA9-2468-4369-B9A7-5DF27494A40B}"/>
    <cellStyle name="Note 2 2 2 2 8 4" xfId="11281" xr:uid="{A8D4C332-24AC-4DC9-91DD-44B2F94E478F}"/>
    <cellStyle name="Note 2 2 2 2 9" xfId="4904" xr:uid="{00000000-0005-0000-0000-0000AD200000}"/>
    <cellStyle name="Note 2 2 2 2 9 2" xfId="21795" xr:uid="{EB8C5567-CA6B-4E5F-8DE9-C07ABF58475E}"/>
    <cellStyle name="Note 2 2 2 2 9 3" xfId="13354" xr:uid="{39BB0D8E-4E97-4B52-A385-0C2880A5396F}"/>
    <cellStyle name="Note 2 2 2 3" xfId="1007" xr:uid="{00000000-0005-0000-0000-0000AE200000}"/>
    <cellStyle name="Note 2 2 2 3 2" xfId="3239" xr:uid="{00000000-0005-0000-0000-0000AF200000}"/>
    <cellStyle name="Note 2 2 2 3 2 2" xfId="7461" xr:uid="{00000000-0005-0000-0000-0000B0200000}"/>
    <cellStyle name="Note 2 2 2 3 2 2 2" xfId="24352" xr:uid="{A246B892-5062-4B66-B67E-5E57AFD42689}"/>
    <cellStyle name="Note 2 2 2 3 2 2 3" xfId="15911" xr:uid="{CFD250D7-4F40-4135-9E41-764BC5C11548}"/>
    <cellStyle name="Note 2 2 2 3 2 3" xfId="20134" xr:uid="{A5263F93-FBC9-4919-B77C-E097E4F3A4BB}"/>
    <cellStyle name="Note 2 2 2 3 2 4" xfId="11693" xr:uid="{5416EEBD-16B7-4722-98CE-C9D8788A0667}"/>
    <cellStyle name="Note 2 2 2 3 3" xfId="5316" xr:uid="{00000000-0005-0000-0000-0000B1200000}"/>
    <cellStyle name="Note 2 2 2 3 3 2" xfId="22207" xr:uid="{CED7971C-1876-450E-BBD5-9EBCEE081C41}"/>
    <cellStyle name="Note 2 2 2 3 3 3" xfId="13766" xr:uid="{083D0AB0-F7BE-4333-A67E-6BDD6F8B39C8}"/>
    <cellStyle name="Note 2 2 2 3 4" xfId="17989" xr:uid="{9B9B7A91-5204-4038-88A6-8A10DFD7DC3D}"/>
    <cellStyle name="Note 2 2 2 3 5" xfId="9548" xr:uid="{7993B001-F02F-494B-BEE8-642300E5EA58}"/>
    <cellStyle name="Note 2 2 2 4" xfId="1422" xr:uid="{00000000-0005-0000-0000-0000B2200000}"/>
    <cellStyle name="Note 2 2 2 4 2" xfId="3652" xr:uid="{00000000-0005-0000-0000-0000B3200000}"/>
    <cellStyle name="Note 2 2 2 4 2 2" xfId="7874" xr:uid="{00000000-0005-0000-0000-0000B4200000}"/>
    <cellStyle name="Note 2 2 2 4 2 2 2" xfId="24765" xr:uid="{1EA73511-5185-4AB3-9061-A518949B4FDE}"/>
    <cellStyle name="Note 2 2 2 4 2 2 3" xfId="16324" xr:uid="{28A62F3D-D21B-414D-8887-A588733BA614}"/>
    <cellStyle name="Note 2 2 2 4 2 3" xfId="20547" xr:uid="{7D2992EF-6D2C-4C94-AFE8-5619C781CB7F}"/>
    <cellStyle name="Note 2 2 2 4 2 4" xfId="12106" xr:uid="{8CD60735-4B65-4853-9F11-99A264BDE31D}"/>
    <cellStyle name="Note 2 2 2 4 3" xfId="5729" xr:uid="{00000000-0005-0000-0000-0000B5200000}"/>
    <cellStyle name="Note 2 2 2 4 3 2" xfId="22620" xr:uid="{ED1F856D-F73D-4483-A5DE-F7177127292E}"/>
    <cellStyle name="Note 2 2 2 4 3 3" xfId="14179" xr:uid="{5681D8E0-5EF8-4DF5-B9E4-D887CEF3DBDC}"/>
    <cellStyle name="Note 2 2 2 4 4" xfId="18402" xr:uid="{888B3338-AE72-46EA-B62E-3E2C850ED7CC}"/>
    <cellStyle name="Note 2 2 2 4 5" xfId="9961" xr:uid="{053F4C78-9F78-45B6-90AE-8264A4AA9E51}"/>
    <cellStyle name="Note 2 2 2 5" xfId="1836" xr:uid="{00000000-0005-0000-0000-0000B6200000}"/>
    <cellStyle name="Note 2 2 2 5 2" xfId="4065" xr:uid="{00000000-0005-0000-0000-0000B7200000}"/>
    <cellStyle name="Note 2 2 2 5 2 2" xfId="8287" xr:uid="{00000000-0005-0000-0000-0000B8200000}"/>
    <cellStyle name="Note 2 2 2 5 2 2 2" xfId="25178" xr:uid="{367C2079-610D-4A60-AC6D-DEFBDF20AA04}"/>
    <cellStyle name="Note 2 2 2 5 2 2 3" xfId="16737" xr:uid="{12BF7A13-A2BF-4C88-89CF-F4A9F290A68A}"/>
    <cellStyle name="Note 2 2 2 5 2 3" xfId="20960" xr:uid="{0032818B-9A9F-4CA0-9810-1310DD3FBFA7}"/>
    <cellStyle name="Note 2 2 2 5 2 4" xfId="12519" xr:uid="{0C4FAF15-0A83-4C5C-8743-D20A55300293}"/>
    <cellStyle name="Note 2 2 2 5 3" xfId="6142" xr:uid="{00000000-0005-0000-0000-0000B9200000}"/>
    <cellStyle name="Note 2 2 2 5 3 2" xfId="23033" xr:uid="{647E5C11-E8C6-4A28-B2DD-5170C40760EF}"/>
    <cellStyle name="Note 2 2 2 5 3 3" xfId="14592" xr:uid="{A86D37ED-8C57-4C0A-8564-18C888FCBDC0}"/>
    <cellStyle name="Note 2 2 2 5 4" xfId="18815" xr:uid="{B2496E0D-7A15-4A8A-9F54-3EDEC0A69E8B}"/>
    <cellStyle name="Note 2 2 2 5 5" xfId="10374" xr:uid="{796EFC1E-8866-4C5E-BF49-5C0CD1E50CB2}"/>
    <cellStyle name="Note 2 2 2 6" xfId="2249" xr:uid="{00000000-0005-0000-0000-0000BA200000}"/>
    <cellStyle name="Note 2 2 2 6 2" xfId="4478" xr:uid="{00000000-0005-0000-0000-0000BB200000}"/>
    <cellStyle name="Note 2 2 2 6 2 2" xfId="8700" xr:uid="{00000000-0005-0000-0000-0000BC200000}"/>
    <cellStyle name="Note 2 2 2 6 2 2 2" xfId="25591" xr:uid="{04428004-87CA-4CA6-9C72-6E6A31E2AAC5}"/>
    <cellStyle name="Note 2 2 2 6 2 2 3" xfId="17150" xr:uid="{965C86E4-AE0F-4C3A-A210-E1D4B643C7BF}"/>
    <cellStyle name="Note 2 2 2 6 2 3" xfId="21373" xr:uid="{09C91A12-2EA9-4225-8718-3636B73864DE}"/>
    <cellStyle name="Note 2 2 2 6 2 4" xfId="12932" xr:uid="{37DEAB4D-20E6-4F58-9438-8409E6955C32}"/>
    <cellStyle name="Note 2 2 2 6 3" xfId="6555" xr:uid="{00000000-0005-0000-0000-0000BD200000}"/>
    <cellStyle name="Note 2 2 2 6 3 2" xfId="23446" xr:uid="{0D35E25F-B37B-42F6-8B69-AA12FA0A9A8E}"/>
    <cellStyle name="Note 2 2 2 6 3 3" xfId="15005" xr:uid="{3BEC4E27-02E8-4D8F-A304-069E28E79E5A}"/>
    <cellStyle name="Note 2 2 2 6 4" xfId="19228" xr:uid="{F4B10E44-14C3-4519-9DFC-DEF90895CD30}"/>
    <cellStyle name="Note 2 2 2 6 5" xfId="10787" xr:uid="{F113EFD3-F50C-4D0A-8336-E86EF9171D52}"/>
    <cellStyle name="Note 2 2 2 7" xfId="2685" xr:uid="{00000000-0005-0000-0000-0000BE200000}"/>
    <cellStyle name="Note 2 2 2 7 2" xfId="6968" xr:uid="{00000000-0005-0000-0000-0000BF200000}"/>
    <cellStyle name="Note 2 2 2 7 2 2" xfId="23859" xr:uid="{721AB124-44F4-443D-90E1-D6DA8E6CDA4D}"/>
    <cellStyle name="Note 2 2 2 7 2 3" xfId="15418" xr:uid="{1F06025C-A29D-401A-8597-9EA47671882B}"/>
    <cellStyle name="Note 2 2 2 7 3" xfId="19641" xr:uid="{B30AC328-E16A-4165-ACD4-D22549F535A4}"/>
    <cellStyle name="Note 2 2 2 7 4" xfId="11200" xr:uid="{0A34E732-4F9F-4470-9674-985991F62238}"/>
    <cellStyle name="Note 2 2 2 8" xfId="2744" xr:uid="{00000000-0005-0000-0000-0000C0200000}"/>
    <cellStyle name="Note 2 2 2 9" xfId="2825" xr:uid="{00000000-0005-0000-0000-0000C1200000}"/>
    <cellStyle name="Note 2 2 2 9 2" xfId="7048" xr:uid="{00000000-0005-0000-0000-0000C2200000}"/>
    <cellStyle name="Note 2 2 2 9 2 2" xfId="23939" xr:uid="{5344911E-40BF-4B58-BFE5-593A01637CDB}"/>
    <cellStyle name="Note 2 2 2 9 2 3" xfId="15498" xr:uid="{429CDCFC-47CD-41B5-8989-14A27097AA26}"/>
    <cellStyle name="Note 2 2 2 9 3" xfId="19721" xr:uid="{69E8AE73-0F02-43B7-AB33-EB0F48BA69D0}"/>
    <cellStyle name="Note 2 2 2 9 4" xfId="11280" xr:uid="{BFA44863-2AE1-4044-8F18-2A9CD2EF9F9A}"/>
    <cellStyle name="Note 2 2 3" xfId="548" xr:uid="{00000000-0005-0000-0000-0000C3200000}"/>
    <cellStyle name="Note 2 2 3 10" xfId="17578" xr:uid="{2E51DF35-EA15-4A9C-A91D-91A2327C6533}"/>
    <cellStyle name="Note 2 2 3 11" xfId="9137" xr:uid="{728B0868-12E7-4539-BB1E-EEAA3A4C6261}"/>
    <cellStyle name="Note 2 2 3 2" xfId="1009" xr:uid="{00000000-0005-0000-0000-0000C4200000}"/>
    <cellStyle name="Note 2 2 3 2 2" xfId="3241" xr:uid="{00000000-0005-0000-0000-0000C5200000}"/>
    <cellStyle name="Note 2 2 3 2 2 2" xfId="7463" xr:uid="{00000000-0005-0000-0000-0000C6200000}"/>
    <cellStyle name="Note 2 2 3 2 2 2 2" xfId="24354" xr:uid="{556DB818-D89F-4E5F-968A-54DA00EFBBD2}"/>
    <cellStyle name="Note 2 2 3 2 2 2 3" xfId="15913" xr:uid="{0DEC14B2-FFB0-4AD5-9B6C-0FFE15222F2C}"/>
    <cellStyle name="Note 2 2 3 2 2 3" xfId="20136" xr:uid="{6113AD81-4812-4180-BD69-45F05354866A}"/>
    <cellStyle name="Note 2 2 3 2 2 4" xfId="11695" xr:uid="{06C67B03-CDD9-442B-99E1-E08CB4729941}"/>
    <cellStyle name="Note 2 2 3 2 3" xfId="5318" xr:uid="{00000000-0005-0000-0000-0000C7200000}"/>
    <cellStyle name="Note 2 2 3 2 3 2" xfId="22209" xr:uid="{9A8EA5FA-8237-43E3-B11A-C850FA6D3457}"/>
    <cellStyle name="Note 2 2 3 2 3 3" xfId="13768" xr:uid="{5F5C626E-5946-4F4E-B6B0-01AE07143A3F}"/>
    <cellStyle name="Note 2 2 3 2 4" xfId="17991" xr:uid="{66E1165C-E197-43BF-BA81-93E29B870661}"/>
    <cellStyle name="Note 2 2 3 2 5" xfId="9550" xr:uid="{4F4BEDA7-59F0-453E-A067-4D11E3F384EB}"/>
    <cellStyle name="Note 2 2 3 3" xfId="1424" xr:uid="{00000000-0005-0000-0000-0000C8200000}"/>
    <cellStyle name="Note 2 2 3 3 2" xfId="3654" xr:uid="{00000000-0005-0000-0000-0000C9200000}"/>
    <cellStyle name="Note 2 2 3 3 2 2" xfId="7876" xr:uid="{00000000-0005-0000-0000-0000CA200000}"/>
    <cellStyle name="Note 2 2 3 3 2 2 2" xfId="24767" xr:uid="{A122C969-6510-4F91-BBFB-ACD93411738E}"/>
    <cellStyle name="Note 2 2 3 3 2 2 3" xfId="16326" xr:uid="{B1AE2AB4-262A-405A-952C-C065A06CAA33}"/>
    <cellStyle name="Note 2 2 3 3 2 3" xfId="20549" xr:uid="{86031A7F-CF57-4593-B52D-5E2F001ED332}"/>
    <cellStyle name="Note 2 2 3 3 2 4" xfId="12108" xr:uid="{396DA383-F123-441A-9550-9FC69ABB06BC}"/>
    <cellStyle name="Note 2 2 3 3 3" xfId="5731" xr:uid="{00000000-0005-0000-0000-0000CB200000}"/>
    <cellStyle name="Note 2 2 3 3 3 2" xfId="22622" xr:uid="{0B29BAE7-22D2-412D-80CC-EB2ABD752623}"/>
    <cellStyle name="Note 2 2 3 3 3 3" xfId="14181" xr:uid="{C5A646F4-9FC0-4422-B0B2-1405FFD6E579}"/>
    <cellStyle name="Note 2 2 3 3 4" xfId="18404" xr:uid="{169A5691-EACE-49E6-B47D-704B0FC86512}"/>
    <cellStyle name="Note 2 2 3 3 5" xfId="9963" xr:uid="{246F8ACE-067F-4A1F-A447-2EFC0D602877}"/>
    <cellStyle name="Note 2 2 3 4" xfId="1838" xr:uid="{00000000-0005-0000-0000-0000CC200000}"/>
    <cellStyle name="Note 2 2 3 4 2" xfId="4067" xr:uid="{00000000-0005-0000-0000-0000CD200000}"/>
    <cellStyle name="Note 2 2 3 4 2 2" xfId="8289" xr:uid="{00000000-0005-0000-0000-0000CE200000}"/>
    <cellStyle name="Note 2 2 3 4 2 2 2" xfId="25180" xr:uid="{E30F93D5-28F4-4F9F-A2EB-4FAD72D3DE64}"/>
    <cellStyle name="Note 2 2 3 4 2 2 3" xfId="16739" xr:uid="{C2AB4B8F-CCE4-4AC0-AC12-1CCD5B1FD380}"/>
    <cellStyle name="Note 2 2 3 4 2 3" xfId="20962" xr:uid="{68F6082C-F5F7-4B3A-AE15-7A849B2746EF}"/>
    <cellStyle name="Note 2 2 3 4 2 4" xfId="12521" xr:uid="{8A1467CB-FAB4-4BEF-8B94-AD00CDBEC250}"/>
    <cellStyle name="Note 2 2 3 4 3" xfId="6144" xr:uid="{00000000-0005-0000-0000-0000CF200000}"/>
    <cellStyle name="Note 2 2 3 4 3 2" xfId="23035" xr:uid="{5B008D64-559E-4FCD-9731-0888896455CC}"/>
    <cellStyle name="Note 2 2 3 4 3 3" xfId="14594" xr:uid="{A3BA1C00-75B0-445B-AACA-7F9DF6BBAAA6}"/>
    <cellStyle name="Note 2 2 3 4 4" xfId="18817" xr:uid="{D87080B4-A4AC-4509-9373-21C5E1D6B449}"/>
    <cellStyle name="Note 2 2 3 4 5" xfId="10376" xr:uid="{3B856A0D-D09F-4FDA-B703-7E359D76CA2B}"/>
    <cellStyle name="Note 2 2 3 5" xfId="2251" xr:uid="{00000000-0005-0000-0000-0000D0200000}"/>
    <cellStyle name="Note 2 2 3 5 2" xfId="4480" xr:uid="{00000000-0005-0000-0000-0000D1200000}"/>
    <cellStyle name="Note 2 2 3 5 2 2" xfId="8702" xr:uid="{00000000-0005-0000-0000-0000D2200000}"/>
    <cellStyle name="Note 2 2 3 5 2 2 2" xfId="25593" xr:uid="{D5E1585A-D939-4A60-BA96-D7B972CDD0E3}"/>
    <cellStyle name="Note 2 2 3 5 2 2 3" xfId="17152" xr:uid="{F4DCEF8B-A0F6-40A3-ADFE-C3FFA6CAA14F}"/>
    <cellStyle name="Note 2 2 3 5 2 3" xfId="21375" xr:uid="{33520A41-9467-46D5-B334-0BAB3CE028BF}"/>
    <cellStyle name="Note 2 2 3 5 2 4" xfId="12934" xr:uid="{B77F0EA4-FB50-4F99-A8CE-81CCB3953B59}"/>
    <cellStyle name="Note 2 2 3 5 3" xfId="6557" xr:uid="{00000000-0005-0000-0000-0000D3200000}"/>
    <cellStyle name="Note 2 2 3 5 3 2" xfId="23448" xr:uid="{91A830DE-0D65-4581-85F5-1920C0AE382D}"/>
    <cellStyle name="Note 2 2 3 5 3 3" xfId="15007" xr:uid="{3FD4D1AE-CF15-468C-BB5F-F2DB992425C6}"/>
    <cellStyle name="Note 2 2 3 5 4" xfId="19230" xr:uid="{E29501C9-FBE4-4F6F-951B-99D7EFE476DB}"/>
    <cellStyle name="Note 2 2 3 5 5" xfId="10789" xr:uid="{FE01EE93-32E8-4457-92E9-E4E5A0A38D66}"/>
    <cellStyle name="Note 2 2 3 6" xfId="2687" xr:uid="{00000000-0005-0000-0000-0000D4200000}"/>
    <cellStyle name="Note 2 2 3 6 2" xfId="6970" xr:uid="{00000000-0005-0000-0000-0000D5200000}"/>
    <cellStyle name="Note 2 2 3 6 2 2" xfId="23861" xr:uid="{15C6BC87-33FD-4BF1-A1AB-FFA58A856EB1}"/>
    <cellStyle name="Note 2 2 3 6 2 3" xfId="15420" xr:uid="{39DBECE3-EE0C-4DAE-885A-1356DD7F14B7}"/>
    <cellStyle name="Note 2 2 3 6 3" xfId="19643" xr:uid="{A3D823A0-A49B-412B-B320-440C52085D17}"/>
    <cellStyle name="Note 2 2 3 6 4" xfId="11202" xr:uid="{8403DD41-37FF-4A93-9D9E-2017EE09C6A6}"/>
    <cellStyle name="Note 2 2 3 7" xfId="2746" xr:uid="{00000000-0005-0000-0000-0000D6200000}"/>
    <cellStyle name="Note 2 2 3 8" xfId="2827" xr:uid="{00000000-0005-0000-0000-0000D7200000}"/>
    <cellStyle name="Note 2 2 3 8 2" xfId="7050" xr:uid="{00000000-0005-0000-0000-0000D8200000}"/>
    <cellStyle name="Note 2 2 3 8 2 2" xfId="23941" xr:uid="{D47E55E3-8D87-40AF-886A-E046EA5FAE51}"/>
    <cellStyle name="Note 2 2 3 8 2 3" xfId="15500" xr:uid="{1A7FDD89-4E00-4A79-8D97-16DF086C6B56}"/>
    <cellStyle name="Note 2 2 3 8 3" xfId="19723" xr:uid="{ADB3347A-C861-4EEB-847D-10569C213516}"/>
    <cellStyle name="Note 2 2 3 8 4" xfId="11282" xr:uid="{93827E54-B854-4E5E-883F-39C657ECE3BA}"/>
    <cellStyle name="Note 2 2 3 9" xfId="4905" xr:uid="{00000000-0005-0000-0000-0000D9200000}"/>
    <cellStyle name="Note 2 2 3 9 2" xfId="21796" xr:uid="{4169C6C7-370B-4521-AF4C-C14F8691AFA6}"/>
    <cellStyle name="Note 2 2 3 9 3" xfId="13355" xr:uid="{B71115E5-79BE-445B-9E3B-592F45EDA5C5}"/>
    <cellStyle name="Note 2 2 4" xfId="1006" xr:uid="{00000000-0005-0000-0000-0000DA200000}"/>
    <cellStyle name="Note 2 2 4 2" xfId="3238" xr:uid="{00000000-0005-0000-0000-0000DB200000}"/>
    <cellStyle name="Note 2 2 4 2 2" xfId="7460" xr:uid="{00000000-0005-0000-0000-0000DC200000}"/>
    <cellStyle name="Note 2 2 4 2 2 2" xfId="24351" xr:uid="{E2C561A9-7B3C-4B71-A66E-336A168EF595}"/>
    <cellStyle name="Note 2 2 4 2 2 3" xfId="15910" xr:uid="{A65322C8-6627-4410-9379-E932F365FA9D}"/>
    <cellStyle name="Note 2 2 4 2 3" xfId="20133" xr:uid="{7D805EE6-6B9E-480F-9ABC-4BB70ECCF97F}"/>
    <cellStyle name="Note 2 2 4 2 4" xfId="11692" xr:uid="{2D328144-5C15-4ADC-9A34-C0F08722EDC8}"/>
    <cellStyle name="Note 2 2 4 3" xfId="5315" xr:uid="{00000000-0005-0000-0000-0000DD200000}"/>
    <cellStyle name="Note 2 2 4 3 2" xfId="22206" xr:uid="{FCDC9380-A534-42F3-9ADA-031FD43735E7}"/>
    <cellStyle name="Note 2 2 4 3 3" xfId="13765" xr:uid="{995CE89C-5B5F-499A-8AFC-346838790A74}"/>
    <cellStyle name="Note 2 2 4 4" xfId="17988" xr:uid="{28B17380-9A28-4592-96D9-7D4223A14DF7}"/>
    <cellStyle name="Note 2 2 4 5" xfId="9547" xr:uid="{0B691FED-3BA7-49F2-949E-6D39931DEBD1}"/>
    <cellStyle name="Note 2 2 5" xfId="1421" xr:uid="{00000000-0005-0000-0000-0000DE200000}"/>
    <cellStyle name="Note 2 2 5 2" xfId="3651" xr:uid="{00000000-0005-0000-0000-0000DF200000}"/>
    <cellStyle name="Note 2 2 5 2 2" xfId="7873" xr:uid="{00000000-0005-0000-0000-0000E0200000}"/>
    <cellStyle name="Note 2 2 5 2 2 2" xfId="24764" xr:uid="{7C0B2EC6-7080-418B-9227-4CD348FD429E}"/>
    <cellStyle name="Note 2 2 5 2 2 3" xfId="16323" xr:uid="{64C5A988-1D62-490D-B765-7495232E6441}"/>
    <cellStyle name="Note 2 2 5 2 3" xfId="20546" xr:uid="{535137C9-6150-4329-B08E-3994DBC7E8EC}"/>
    <cellStyle name="Note 2 2 5 2 4" xfId="12105" xr:uid="{F46F86D7-E4D5-4ADE-AB27-68A40D6A3BAE}"/>
    <cellStyle name="Note 2 2 5 3" xfId="5728" xr:uid="{00000000-0005-0000-0000-0000E1200000}"/>
    <cellStyle name="Note 2 2 5 3 2" xfId="22619" xr:uid="{8D1211F8-AB46-41F3-ACB5-67950DCE0A7E}"/>
    <cellStyle name="Note 2 2 5 3 3" xfId="14178" xr:uid="{F5E2097C-5C96-4B41-8769-72D50B08EC17}"/>
    <cellStyle name="Note 2 2 5 4" xfId="18401" xr:uid="{8FC09894-7B1F-4BD8-95D7-D1AC125F303F}"/>
    <cellStyle name="Note 2 2 5 5" xfId="9960" xr:uid="{104B9A0E-2201-4DF5-B967-17C868706C4E}"/>
    <cellStyle name="Note 2 2 6" xfId="1835" xr:uid="{00000000-0005-0000-0000-0000E2200000}"/>
    <cellStyle name="Note 2 2 6 2" xfId="4064" xr:uid="{00000000-0005-0000-0000-0000E3200000}"/>
    <cellStyle name="Note 2 2 6 2 2" xfId="8286" xr:uid="{00000000-0005-0000-0000-0000E4200000}"/>
    <cellStyle name="Note 2 2 6 2 2 2" xfId="25177" xr:uid="{1EAF0674-51E9-4750-AC8C-087C0A375F28}"/>
    <cellStyle name="Note 2 2 6 2 2 3" xfId="16736" xr:uid="{A60FD60E-D025-4237-8FEE-24EAE9D746AD}"/>
    <cellStyle name="Note 2 2 6 2 3" xfId="20959" xr:uid="{7C983F55-3FC4-48FD-A5E1-0A2BA11D4FE7}"/>
    <cellStyle name="Note 2 2 6 2 4" xfId="12518" xr:uid="{02597531-BE5A-48A3-91FA-B28D84777EC5}"/>
    <cellStyle name="Note 2 2 6 3" xfId="6141" xr:uid="{00000000-0005-0000-0000-0000E5200000}"/>
    <cellStyle name="Note 2 2 6 3 2" xfId="23032" xr:uid="{0E1BD46B-F6BD-450F-A6AC-5F14512B0537}"/>
    <cellStyle name="Note 2 2 6 3 3" xfId="14591" xr:uid="{25F2049D-8838-43EE-AE47-F6097DAE6623}"/>
    <cellStyle name="Note 2 2 6 4" xfId="18814" xr:uid="{4CE68FE7-E447-44E4-A5F2-F76E88C5B884}"/>
    <cellStyle name="Note 2 2 6 5" xfId="10373" xr:uid="{2FF61320-F6D9-4113-B204-33142A8D282F}"/>
    <cellStyle name="Note 2 2 7" xfId="2248" xr:uid="{00000000-0005-0000-0000-0000E6200000}"/>
    <cellStyle name="Note 2 2 7 2" xfId="4477" xr:uid="{00000000-0005-0000-0000-0000E7200000}"/>
    <cellStyle name="Note 2 2 7 2 2" xfId="8699" xr:uid="{00000000-0005-0000-0000-0000E8200000}"/>
    <cellStyle name="Note 2 2 7 2 2 2" xfId="25590" xr:uid="{D546DF7B-CB00-4283-9246-CF06049CA377}"/>
    <cellStyle name="Note 2 2 7 2 2 3" xfId="17149" xr:uid="{4BF4CA50-79BA-4B3C-91AF-AAB25E1EF4CE}"/>
    <cellStyle name="Note 2 2 7 2 3" xfId="21372" xr:uid="{4244F346-5E2A-4B5F-ADD6-8D556E5AF855}"/>
    <cellStyle name="Note 2 2 7 2 4" xfId="12931" xr:uid="{B9E78922-0347-41B0-BBF5-F75EC28F9F48}"/>
    <cellStyle name="Note 2 2 7 3" xfId="6554" xr:uid="{00000000-0005-0000-0000-0000E9200000}"/>
    <cellStyle name="Note 2 2 7 3 2" xfId="23445" xr:uid="{F43B3648-7622-4104-A3F7-F6FB10E88C56}"/>
    <cellStyle name="Note 2 2 7 3 3" xfId="15004" xr:uid="{2DA2FEE4-7121-4025-ABE9-5A4EB83EDCFC}"/>
    <cellStyle name="Note 2 2 7 4" xfId="19227" xr:uid="{319ED5B0-61A3-48A8-990A-1E8A8D81FC6B}"/>
    <cellStyle name="Note 2 2 7 5" xfId="10786" xr:uid="{1FF6B70F-E252-4FD3-A8E9-9B41139E979F}"/>
    <cellStyle name="Note 2 2 8" xfId="2684" xr:uid="{00000000-0005-0000-0000-0000EA200000}"/>
    <cellStyle name="Note 2 2 8 2" xfId="6967" xr:uid="{00000000-0005-0000-0000-0000EB200000}"/>
    <cellStyle name="Note 2 2 8 2 2" xfId="23858" xr:uid="{4D27B141-8157-4588-BC19-AB43423FB1FD}"/>
    <cellStyle name="Note 2 2 8 2 3" xfId="15417" xr:uid="{171BA713-0CC9-4AB3-BB02-F7FDEB053545}"/>
    <cellStyle name="Note 2 2 8 3" xfId="19640" xr:uid="{E8B7F4D8-AB0A-4CC6-8AF2-B57E7414C768}"/>
    <cellStyle name="Note 2 2 8 4" xfId="11199" xr:uid="{8A3A6538-ACE2-495E-A24B-A76D41B47D4B}"/>
    <cellStyle name="Note 2 2 9" xfId="2743" xr:uid="{00000000-0005-0000-0000-0000EC200000}"/>
    <cellStyle name="Note 2 3" xfId="549" xr:uid="{00000000-0005-0000-0000-0000ED200000}"/>
    <cellStyle name="Note 2 3 10" xfId="4906" xr:uid="{00000000-0005-0000-0000-0000EE200000}"/>
    <cellStyle name="Note 2 3 10 2" xfId="21797" xr:uid="{5A8014DE-9249-4A32-9E55-96DA0ED77D06}"/>
    <cellStyle name="Note 2 3 10 3" xfId="13356" xr:uid="{AA76FA1C-31D5-41E2-8CC5-931D62579235}"/>
    <cellStyle name="Note 2 3 11" xfId="17579" xr:uid="{177FE153-82FB-4906-A138-3A114C8EA3E8}"/>
    <cellStyle name="Note 2 3 12" xfId="9138" xr:uid="{693630CC-3D6F-4517-8DE4-12179D69D10B}"/>
    <cellStyle name="Note 2 3 2" xfId="550" xr:uid="{00000000-0005-0000-0000-0000EF200000}"/>
    <cellStyle name="Note 2 3 2 10" xfId="17580" xr:uid="{523AE1EC-687E-4F61-B8CD-FB879FC8588B}"/>
    <cellStyle name="Note 2 3 2 11" xfId="9139" xr:uid="{4C51C661-9B90-4E92-8875-A491FA3E1699}"/>
    <cellStyle name="Note 2 3 2 2" xfId="1011" xr:uid="{00000000-0005-0000-0000-0000F0200000}"/>
    <cellStyle name="Note 2 3 2 2 2" xfId="3243" xr:uid="{00000000-0005-0000-0000-0000F1200000}"/>
    <cellStyle name="Note 2 3 2 2 2 2" xfId="7465" xr:uid="{00000000-0005-0000-0000-0000F2200000}"/>
    <cellStyle name="Note 2 3 2 2 2 2 2" xfId="24356" xr:uid="{8521CD55-AAF7-45F2-861F-046133E11465}"/>
    <cellStyle name="Note 2 3 2 2 2 2 3" xfId="15915" xr:uid="{AEEF8AE1-3D61-44CD-9A48-0B6BA5D6C243}"/>
    <cellStyle name="Note 2 3 2 2 2 3" xfId="20138" xr:uid="{27BE5594-BA36-4368-AA05-89910172B73E}"/>
    <cellStyle name="Note 2 3 2 2 2 4" xfId="11697" xr:uid="{F1961F50-8CFD-4079-A3B6-121405C17E1F}"/>
    <cellStyle name="Note 2 3 2 2 3" xfId="5320" xr:uid="{00000000-0005-0000-0000-0000F3200000}"/>
    <cellStyle name="Note 2 3 2 2 3 2" xfId="22211" xr:uid="{9B1DF66D-29B1-41AA-9F4F-F8F757B24EEF}"/>
    <cellStyle name="Note 2 3 2 2 3 3" xfId="13770" xr:uid="{195035B2-E8EE-4C8B-896B-CED62DA9C343}"/>
    <cellStyle name="Note 2 3 2 2 4" xfId="17993" xr:uid="{9947A22D-0B77-4E5F-9667-C155B02B562A}"/>
    <cellStyle name="Note 2 3 2 2 5" xfId="9552" xr:uid="{DAC60E8E-A4BB-4D3F-99EE-237FD03A2B35}"/>
    <cellStyle name="Note 2 3 2 3" xfId="1426" xr:uid="{00000000-0005-0000-0000-0000F4200000}"/>
    <cellStyle name="Note 2 3 2 3 2" xfId="3656" xr:uid="{00000000-0005-0000-0000-0000F5200000}"/>
    <cellStyle name="Note 2 3 2 3 2 2" xfId="7878" xr:uid="{00000000-0005-0000-0000-0000F6200000}"/>
    <cellStyle name="Note 2 3 2 3 2 2 2" xfId="24769" xr:uid="{5FF8A3DA-48AE-450C-BB95-B5DD6D74504D}"/>
    <cellStyle name="Note 2 3 2 3 2 2 3" xfId="16328" xr:uid="{F0313600-3276-4FAC-938B-57C9C575936A}"/>
    <cellStyle name="Note 2 3 2 3 2 3" xfId="20551" xr:uid="{E99834E6-B0C2-4C6F-8CD8-107EF150AD8A}"/>
    <cellStyle name="Note 2 3 2 3 2 4" xfId="12110" xr:uid="{512A8276-94EC-468B-9075-A442A89BC7B7}"/>
    <cellStyle name="Note 2 3 2 3 3" xfId="5733" xr:uid="{00000000-0005-0000-0000-0000F7200000}"/>
    <cellStyle name="Note 2 3 2 3 3 2" xfId="22624" xr:uid="{9EFA48EF-AF81-4A4F-B9FC-4186CC1A9BBB}"/>
    <cellStyle name="Note 2 3 2 3 3 3" xfId="14183" xr:uid="{5286216B-E87B-463F-999D-2B4C250D18D8}"/>
    <cellStyle name="Note 2 3 2 3 4" xfId="18406" xr:uid="{E82CD97C-572E-43A7-8981-F49709ADDA9A}"/>
    <cellStyle name="Note 2 3 2 3 5" xfId="9965" xr:uid="{AFC3A6E1-C0F3-4885-881D-491C9E6D6441}"/>
    <cellStyle name="Note 2 3 2 4" xfId="1840" xr:uid="{00000000-0005-0000-0000-0000F8200000}"/>
    <cellStyle name="Note 2 3 2 4 2" xfId="4069" xr:uid="{00000000-0005-0000-0000-0000F9200000}"/>
    <cellStyle name="Note 2 3 2 4 2 2" xfId="8291" xr:uid="{00000000-0005-0000-0000-0000FA200000}"/>
    <cellStyle name="Note 2 3 2 4 2 2 2" xfId="25182" xr:uid="{A72F5037-974B-40F5-95F0-B361D21C8AB1}"/>
    <cellStyle name="Note 2 3 2 4 2 2 3" xfId="16741" xr:uid="{D82872DA-1AE8-4361-8148-32C3F2068F8F}"/>
    <cellStyle name="Note 2 3 2 4 2 3" xfId="20964" xr:uid="{902823EF-C5BA-426F-BD01-DCA2BC7874BA}"/>
    <cellStyle name="Note 2 3 2 4 2 4" xfId="12523" xr:uid="{76E75951-2BBF-458D-B664-392F2445056B}"/>
    <cellStyle name="Note 2 3 2 4 3" xfId="6146" xr:uid="{00000000-0005-0000-0000-0000FB200000}"/>
    <cellStyle name="Note 2 3 2 4 3 2" xfId="23037" xr:uid="{8D9E9BA3-1A02-452A-8995-7526A1937E3B}"/>
    <cellStyle name="Note 2 3 2 4 3 3" xfId="14596" xr:uid="{56D8B2BC-DF1E-46C8-B53E-2C02772A6660}"/>
    <cellStyle name="Note 2 3 2 4 4" xfId="18819" xr:uid="{632D56A2-4330-4CE8-AB0B-B2DF8A474B8A}"/>
    <cellStyle name="Note 2 3 2 4 5" xfId="10378" xr:uid="{5AF950DA-FDA3-4CD3-9B1E-535911B58B46}"/>
    <cellStyle name="Note 2 3 2 5" xfId="2253" xr:uid="{00000000-0005-0000-0000-0000FC200000}"/>
    <cellStyle name="Note 2 3 2 5 2" xfId="4482" xr:uid="{00000000-0005-0000-0000-0000FD200000}"/>
    <cellStyle name="Note 2 3 2 5 2 2" xfId="8704" xr:uid="{00000000-0005-0000-0000-0000FE200000}"/>
    <cellStyle name="Note 2 3 2 5 2 2 2" xfId="25595" xr:uid="{02041146-046C-403C-A44B-7CC6D3E45EF0}"/>
    <cellStyle name="Note 2 3 2 5 2 2 3" xfId="17154" xr:uid="{CAC055C6-0AFA-47F2-8531-970D98A58F80}"/>
    <cellStyle name="Note 2 3 2 5 2 3" xfId="21377" xr:uid="{DD4825DE-CE43-4D12-9D33-6FFBD4D8C6EA}"/>
    <cellStyle name="Note 2 3 2 5 2 4" xfId="12936" xr:uid="{42FC4712-DC43-425C-9BB5-EE515D70C73B}"/>
    <cellStyle name="Note 2 3 2 5 3" xfId="6559" xr:uid="{00000000-0005-0000-0000-0000FF200000}"/>
    <cellStyle name="Note 2 3 2 5 3 2" xfId="23450" xr:uid="{2F15ADB8-7F8B-4C08-BEA4-AEF6B05ABBAD}"/>
    <cellStyle name="Note 2 3 2 5 3 3" xfId="15009" xr:uid="{F8A2D5EE-56A1-4431-BE2F-E87061318A1E}"/>
    <cellStyle name="Note 2 3 2 5 4" xfId="19232" xr:uid="{381BCB8B-B53B-4923-889F-1AF56DAB0EBF}"/>
    <cellStyle name="Note 2 3 2 5 5" xfId="10791" xr:uid="{0D806573-4927-4FE5-9F7D-620C76803421}"/>
    <cellStyle name="Note 2 3 2 6" xfId="2689" xr:uid="{00000000-0005-0000-0000-000000210000}"/>
    <cellStyle name="Note 2 3 2 6 2" xfId="6972" xr:uid="{00000000-0005-0000-0000-000001210000}"/>
    <cellStyle name="Note 2 3 2 6 2 2" xfId="23863" xr:uid="{108F4FD3-BCB5-4B9E-875C-5F82C8D03309}"/>
    <cellStyle name="Note 2 3 2 6 2 3" xfId="15422" xr:uid="{A5A00D2D-F786-4FEC-B329-D3F63A65F821}"/>
    <cellStyle name="Note 2 3 2 6 3" xfId="19645" xr:uid="{D05ACA36-423E-4EAB-8ED7-0970B41A8EDC}"/>
    <cellStyle name="Note 2 3 2 6 4" xfId="11204" xr:uid="{9F7FE3B0-BC9D-4ACF-8FAE-515AA2F8D351}"/>
    <cellStyle name="Note 2 3 2 7" xfId="2748" xr:uid="{00000000-0005-0000-0000-000002210000}"/>
    <cellStyle name="Note 2 3 2 8" xfId="2829" xr:uid="{00000000-0005-0000-0000-000003210000}"/>
    <cellStyle name="Note 2 3 2 8 2" xfId="7052" xr:uid="{00000000-0005-0000-0000-000004210000}"/>
    <cellStyle name="Note 2 3 2 8 2 2" xfId="23943" xr:uid="{69BDAA5B-6D50-4DE5-8609-BE3BEABA433E}"/>
    <cellStyle name="Note 2 3 2 8 2 3" xfId="15502" xr:uid="{E0A736C7-AC06-4981-A3DF-13834F834B76}"/>
    <cellStyle name="Note 2 3 2 8 3" xfId="19725" xr:uid="{0F0CD746-8D15-40B2-9A40-7035E27A9B55}"/>
    <cellStyle name="Note 2 3 2 8 4" xfId="11284" xr:uid="{9ECA0F9A-0FA9-4FBA-88A5-90B0270A1CB1}"/>
    <cellStyle name="Note 2 3 2 9" xfId="4907" xr:uid="{00000000-0005-0000-0000-000005210000}"/>
    <cellStyle name="Note 2 3 2 9 2" xfId="21798" xr:uid="{FE9D6BE8-D924-4A94-9FA4-B9FDC45B1FD5}"/>
    <cellStyle name="Note 2 3 2 9 3" xfId="13357" xr:uid="{E23CEEEF-0EC6-4B0D-90D1-DF262B954300}"/>
    <cellStyle name="Note 2 3 3" xfId="1010" xr:uid="{00000000-0005-0000-0000-000006210000}"/>
    <cellStyle name="Note 2 3 3 2" xfId="3242" xr:uid="{00000000-0005-0000-0000-000007210000}"/>
    <cellStyle name="Note 2 3 3 2 2" xfId="7464" xr:uid="{00000000-0005-0000-0000-000008210000}"/>
    <cellStyle name="Note 2 3 3 2 2 2" xfId="24355" xr:uid="{F4438520-1E3B-43A8-8945-E41CBA6AE8EB}"/>
    <cellStyle name="Note 2 3 3 2 2 3" xfId="15914" xr:uid="{F29D989A-AA0F-4C84-9F5E-DEC9351B395D}"/>
    <cellStyle name="Note 2 3 3 2 3" xfId="20137" xr:uid="{70062FC4-DC39-4C76-BB0D-8292D3AC30A1}"/>
    <cellStyle name="Note 2 3 3 2 4" xfId="11696" xr:uid="{C7210A24-0FA7-4FB3-9582-7E615697B1B0}"/>
    <cellStyle name="Note 2 3 3 3" xfId="5319" xr:uid="{00000000-0005-0000-0000-000009210000}"/>
    <cellStyle name="Note 2 3 3 3 2" xfId="22210" xr:uid="{AEC93B6E-1E79-4C55-9927-0F876B3FD05F}"/>
    <cellStyle name="Note 2 3 3 3 3" xfId="13769" xr:uid="{6374FCD3-9C86-4186-94AB-4AED50C8EC2B}"/>
    <cellStyle name="Note 2 3 3 4" xfId="17992" xr:uid="{225B526E-B4DB-4206-844A-A1CA4E9761E6}"/>
    <cellStyle name="Note 2 3 3 5" xfId="9551" xr:uid="{5362559E-88E3-4069-9AEC-F073FC765821}"/>
    <cellStyle name="Note 2 3 4" xfId="1425" xr:uid="{00000000-0005-0000-0000-00000A210000}"/>
    <cellStyle name="Note 2 3 4 2" xfId="3655" xr:uid="{00000000-0005-0000-0000-00000B210000}"/>
    <cellStyle name="Note 2 3 4 2 2" xfId="7877" xr:uid="{00000000-0005-0000-0000-00000C210000}"/>
    <cellStyle name="Note 2 3 4 2 2 2" xfId="24768" xr:uid="{00951FE7-501E-4334-8668-5F6C13C8E8B8}"/>
    <cellStyle name="Note 2 3 4 2 2 3" xfId="16327" xr:uid="{345D5C5D-96F6-4B93-B528-A769F79C69B7}"/>
    <cellStyle name="Note 2 3 4 2 3" xfId="20550" xr:uid="{D9862608-EB0A-4E6D-85DC-1E05F9035EA7}"/>
    <cellStyle name="Note 2 3 4 2 4" xfId="12109" xr:uid="{E33D4106-B07D-456F-8E4B-DBB3F20B2A32}"/>
    <cellStyle name="Note 2 3 4 3" xfId="5732" xr:uid="{00000000-0005-0000-0000-00000D210000}"/>
    <cellStyle name="Note 2 3 4 3 2" xfId="22623" xr:uid="{35B9FCD2-6486-43E4-BB7A-3C5201C00405}"/>
    <cellStyle name="Note 2 3 4 3 3" xfId="14182" xr:uid="{E0390C32-5C3B-458A-9397-F2BFA99738DC}"/>
    <cellStyle name="Note 2 3 4 4" xfId="18405" xr:uid="{12177281-E931-40BE-B9FE-29E9209763D0}"/>
    <cellStyle name="Note 2 3 4 5" xfId="9964" xr:uid="{7A72A07F-205F-4ECD-A29E-EA54A697DA65}"/>
    <cellStyle name="Note 2 3 5" xfId="1839" xr:uid="{00000000-0005-0000-0000-00000E210000}"/>
    <cellStyle name="Note 2 3 5 2" xfId="4068" xr:uid="{00000000-0005-0000-0000-00000F210000}"/>
    <cellStyle name="Note 2 3 5 2 2" xfId="8290" xr:uid="{00000000-0005-0000-0000-000010210000}"/>
    <cellStyle name="Note 2 3 5 2 2 2" xfId="25181" xr:uid="{DC7D572C-D1A4-40A7-889D-D18DB7E6BB9E}"/>
    <cellStyle name="Note 2 3 5 2 2 3" xfId="16740" xr:uid="{FB93DB5E-3228-4724-AD97-FD265ABF2204}"/>
    <cellStyle name="Note 2 3 5 2 3" xfId="20963" xr:uid="{CDE8911C-2B48-4E94-B3DE-AE9D8112C58C}"/>
    <cellStyle name="Note 2 3 5 2 4" xfId="12522" xr:uid="{DA3E9AF2-A268-49AF-9A50-BE0FBF39EEC9}"/>
    <cellStyle name="Note 2 3 5 3" xfId="6145" xr:uid="{00000000-0005-0000-0000-000011210000}"/>
    <cellStyle name="Note 2 3 5 3 2" xfId="23036" xr:uid="{8B6F2ABF-7B93-4237-8CD1-8543A3A0F169}"/>
    <cellStyle name="Note 2 3 5 3 3" xfId="14595" xr:uid="{4F80D781-51A1-4C99-995C-8ABE5DA5A73A}"/>
    <cellStyle name="Note 2 3 5 4" xfId="18818" xr:uid="{DBA90272-9F1D-4280-B2D0-1C3B5E88D04E}"/>
    <cellStyle name="Note 2 3 5 5" xfId="10377" xr:uid="{11B8DEA5-891C-4242-AAA9-52BBB6ACE042}"/>
    <cellStyle name="Note 2 3 6" xfId="2252" xr:uid="{00000000-0005-0000-0000-000012210000}"/>
    <cellStyle name="Note 2 3 6 2" xfId="4481" xr:uid="{00000000-0005-0000-0000-000013210000}"/>
    <cellStyle name="Note 2 3 6 2 2" xfId="8703" xr:uid="{00000000-0005-0000-0000-000014210000}"/>
    <cellStyle name="Note 2 3 6 2 2 2" xfId="25594" xr:uid="{DF1D23EF-C4EF-48ED-BAD7-40C1B415D6F1}"/>
    <cellStyle name="Note 2 3 6 2 2 3" xfId="17153" xr:uid="{17510C30-0596-433D-9C63-5205E0F01E58}"/>
    <cellStyle name="Note 2 3 6 2 3" xfId="21376" xr:uid="{9A329C5C-75ED-4B64-B38F-FBAD49E06EEE}"/>
    <cellStyle name="Note 2 3 6 2 4" xfId="12935" xr:uid="{9115B7A6-126D-4254-8C39-01BBF8D9C148}"/>
    <cellStyle name="Note 2 3 6 3" xfId="6558" xr:uid="{00000000-0005-0000-0000-000015210000}"/>
    <cellStyle name="Note 2 3 6 3 2" xfId="23449" xr:uid="{8931DA16-2334-496D-BFFB-5B25C1AE95F1}"/>
    <cellStyle name="Note 2 3 6 3 3" xfId="15008" xr:uid="{D389BFDF-68B6-4990-BB07-DD71DAB9AEAC}"/>
    <cellStyle name="Note 2 3 6 4" xfId="19231" xr:uid="{4866F0DE-121A-4009-B66F-34265D46E515}"/>
    <cellStyle name="Note 2 3 6 5" xfId="10790" xr:uid="{23EA97B1-A748-4DC3-8833-132121D9D3F8}"/>
    <cellStyle name="Note 2 3 7" xfId="2688" xr:uid="{00000000-0005-0000-0000-000016210000}"/>
    <cellStyle name="Note 2 3 7 2" xfId="6971" xr:uid="{00000000-0005-0000-0000-000017210000}"/>
    <cellStyle name="Note 2 3 7 2 2" xfId="23862" xr:uid="{A05BB3B6-44BE-4B79-8184-B40537C82A36}"/>
    <cellStyle name="Note 2 3 7 2 3" xfId="15421" xr:uid="{08F37493-133D-427B-9BCA-BD253F371EAC}"/>
    <cellStyle name="Note 2 3 7 3" xfId="19644" xr:uid="{A7BF908A-E136-4291-A2E6-6FEE393168EC}"/>
    <cellStyle name="Note 2 3 7 4" xfId="11203" xr:uid="{CA958641-ADC7-4883-8EAF-057DF533A23D}"/>
    <cellStyle name="Note 2 3 8" xfId="2747" xr:uid="{00000000-0005-0000-0000-000018210000}"/>
    <cellStyle name="Note 2 3 9" xfId="2828" xr:uid="{00000000-0005-0000-0000-000019210000}"/>
    <cellStyle name="Note 2 3 9 2" xfId="7051" xr:uid="{00000000-0005-0000-0000-00001A210000}"/>
    <cellStyle name="Note 2 3 9 2 2" xfId="23942" xr:uid="{583B3CCF-F294-486B-8229-486F43BFE1EB}"/>
    <cellStyle name="Note 2 3 9 2 3" xfId="15501" xr:uid="{520527BE-EE10-454E-B1BF-19F3719534F1}"/>
    <cellStyle name="Note 2 3 9 3" xfId="19724" xr:uid="{298C100D-BD6C-4890-A9D1-7DA8BB6D57E7}"/>
    <cellStyle name="Note 2 3 9 4" xfId="11283" xr:uid="{7696694B-ADB2-4BBA-B4E7-B33460C3EF3D}"/>
    <cellStyle name="Note 2 4" xfId="551" xr:uid="{00000000-0005-0000-0000-00001B210000}"/>
    <cellStyle name="Note 2 4 10" xfId="17581" xr:uid="{3998C184-6C9F-4BFB-AC36-A9A7F0CF017A}"/>
    <cellStyle name="Note 2 4 11" xfId="9140" xr:uid="{AEDC65DE-248A-4E0A-BBD2-B5AD239EA9BC}"/>
    <cellStyle name="Note 2 4 2" xfId="1012" xr:uid="{00000000-0005-0000-0000-00001C210000}"/>
    <cellStyle name="Note 2 4 2 2" xfId="3244" xr:uid="{00000000-0005-0000-0000-00001D210000}"/>
    <cellStyle name="Note 2 4 2 2 2" xfId="7466" xr:uid="{00000000-0005-0000-0000-00001E210000}"/>
    <cellStyle name="Note 2 4 2 2 2 2" xfId="24357" xr:uid="{09FA9CFE-C0B3-4498-942D-DE97C53788E1}"/>
    <cellStyle name="Note 2 4 2 2 2 3" xfId="15916" xr:uid="{0878E93F-3DCA-4116-A5F8-6B7B7F09DBD5}"/>
    <cellStyle name="Note 2 4 2 2 3" xfId="20139" xr:uid="{B79D5FED-ECBE-4A72-81A3-203389E14054}"/>
    <cellStyle name="Note 2 4 2 2 4" xfId="11698" xr:uid="{4BB22A4E-C609-47ED-BCD4-FA7CACE6F641}"/>
    <cellStyle name="Note 2 4 2 3" xfId="5321" xr:uid="{00000000-0005-0000-0000-00001F210000}"/>
    <cellStyle name="Note 2 4 2 3 2" xfId="22212" xr:uid="{92F1BC99-CEE3-459F-8204-507E38099FD0}"/>
    <cellStyle name="Note 2 4 2 3 3" xfId="13771" xr:uid="{14B8AD79-87D0-4698-942E-70B58A85DD10}"/>
    <cellStyle name="Note 2 4 2 4" xfId="17994" xr:uid="{DBDC28CC-146F-4A53-A6DC-5AEB9A022557}"/>
    <cellStyle name="Note 2 4 2 5" xfId="9553" xr:uid="{FFE9A7F9-963B-42FD-BD98-CA7B33EA14B4}"/>
    <cellStyle name="Note 2 4 3" xfId="1427" xr:uid="{00000000-0005-0000-0000-000020210000}"/>
    <cellStyle name="Note 2 4 3 2" xfId="3657" xr:uid="{00000000-0005-0000-0000-000021210000}"/>
    <cellStyle name="Note 2 4 3 2 2" xfId="7879" xr:uid="{00000000-0005-0000-0000-000022210000}"/>
    <cellStyle name="Note 2 4 3 2 2 2" xfId="24770" xr:uid="{835C9531-9482-4CD7-90D8-67B7F451881F}"/>
    <cellStyle name="Note 2 4 3 2 2 3" xfId="16329" xr:uid="{EE9E873A-384D-4111-8127-0C252771080D}"/>
    <cellStyle name="Note 2 4 3 2 3" xfId="20552" xr:uid="{49AEA689-C9A1-47FC-93A8-26B14C4038FC}"/>
    <cellStyle name="Note 2 4 3 2 4" xfId="12111" xr:uid="{F4C4E621-357E-48AE-8DE4-23218EB11AF5}"/>
    <cellStyle name="Note 2 4 3 3" xfId="5734" xr:uid="{00000000-0005-0000-0000-000023210000}"/>
    <cellStyle name="Note 2 4 3 3 2" xfId="22625" xr:uid="{1E01EACB-D056-4874-BD28-82873CF7D087}"/>
    <cellStyle name="Note 2 4 3 3 3" xfId="14184" xr:uid="{0B8AE66F-945A-4A0F-B072-F10AB2D18A42}"/>
    <cellStyle name="Note 2 4 3 4" xfId="18407" xr:uid="{3E5610E7-7DA5-43A2-8180-45E84B881694}"/>
    <cellStyle name="Note 2 4 3 5" xfId="9966" xr:uid="{55E77A44-03BD-4067-9585-2D36A09F9D62}"/>
    <cellStyle name="Note 2 4 4" xfId="1841" xr:uid="{00000000-0005-0000-0000-000024210000}"/>
    <cellStyle name="Note 2 4 4 2" xfId="4070" xr:uid="{00000000-0005-0000-0000-000025210000}"/>
    <cellStyle name="Note 2 4 4 2 2" xfId="8292" xr:uid="{00000000-0005-0000-0000-000026210000}"/>
    <cellStyle name="Note 2 4 4 2 2 2" xfId="25183" xr:uid="{791C83C3-64A8-4F63-9714-F0A3E1241B96}"/>
    <cellStyle name="Note 2 4 4 2 2 3" xfId="16742" xr:uid="{EA7403DD-A386-43E0-A632-D677B6FBB11C}"/>
    <cellStyle name="Note 2 4 4 2 3" xfId="20965" xr:uid="{BF241F14-85D3-485D-894F-3ACEA1CAC173}"/>
    <cellStyle name="Note 2 4 4 2 4" xfId="12524" xr:uid="{9B481A7C-557D-4258-AC63-021C00A65FE1}"/>
    <cellStyle name="Note 2 4 4 3" xfId="6147" xr:uid="{00000000-0005-0000-0000-000027210000}"/>
    <cellStyle name="Note 2 4 4 3 2" xfId="23038" xr:uid="{748EA0D8-D0CE-403D-A7AE-D1A724D5F703}"/>
    <cellStyle name="Note 2 4 4 3 3" xfId="14597" xr:uid="{DF414317-429D-4729-BE8F-B509374A9923}"/>
    <cellStyle name="Note 2 4 4 4" xfId="18820" xr:uid="{7C1F9A48-A00F-46E2-9E52-B764F47A2051}"/>
    <cellStyle name="Note 2 4 4 5" xfId="10379" xr:uid="{FDCBFD0A-56E3-4F9C-A5E7-F807E4C6E8D2}"/>
    <cellStyle name="Note 2 4 5" xfId="2254" xr:uid="{00000000-0005-0000-0000-000028210000}"/>
    <cellStyle name="Note 2 4 5 2" xfId="4483" xr:uid="{00000000-0005-0000-0000-000029210000}"/>
    <cellStyle name="Note 2 4 5 2 2" xfId="8705" xr:uid="{00000000-0005-0000-0000-00002A210000}"/>
    <cellStyle name="Note 2 4 5 2 2 2" xfId="25596" xr:uid="{EBC740CF-9EC2-4C3C-A0D7-AA032AF206D5}"/>
    <cellStyle name="Note 2 4 5 2 2 3" xfId="17155" xr:uid="{0D26E7C5-1953-496B-AD13-47E4520C1C28}"/>
    <cellStyle name="Note 2 4 5 2 3" xfId="21378" xr:uid="{0D7F9C07-3AA6-40C5-AE2F-C1AC9BFC5B68}"/>
    <cellStyle name="Note 2 4 5 2 4" xfId="12937" xr:uid="{14BCE829-6DEC-4B13-A78B-C0B55C041CAE}"/>
    <cellStyle name="Note 2 4 5 3" xfId="6560" xr:uid="{00000000-0005-0000-0000-00002B210000}"/>
    <cellStyle name="Note 2 4 5 3 2" xfId="23451" xr:uid="{C3F9CE4A-F495-4CB7-A9E6-CD67364D5194}"/>
    <cellStyle name="Note 2 4 5 3 3" xfId="15010" xr:uid="{3C622387-0A29-42B7-88A1-F8369694E202}"/>
    <cellStyle name="Note 2 4 5 4" xfId="19233" xr:uid="{5B5C6A46-1BDF-41B0-8361-09C599269C32}"/>
    <cellStyle name="Note 2 4 5 5" xfId="10792" xr:uid="{7094D51A-30AC-465B-9D1D-2F389522B1BC}"/>
    <cellStyle name="Note 2 4 6" xfId="2690" xr:uid="{00000000-0005-0000-0000-00002C210000}"/>
    <cellStyle name="Note 2 4 6 2" xfId="6973" xr:uid="{00000000-0005-0000-0000-00002D210000}"/>
    <cellStyle name="Note 2 4 6 2 2" xfId="23864" xr:uid="{5093D2C3-4BAB-4CF0-9F7C-AE75D86A0789}"/>
    <cellStyle name="Note 2 4 6 2 3" xfId="15423" xr:uid="{77313C96-9CB5-408B-B5DE-04DBFDE68738}"/>
    <cellStyle name="Note 2 4 6 3" xfId="19646" xr:uid="{C26271C1-4505-4F00-B4F8-58545F9AC8F3}"/>
    <cellStyle name="Note 2 4 6 4" xfId="11205" xr:uid="{AAA31291-051C-4239-BFD4-E1E510E954FA}"/>
    <cellStyle name="Note 2 4 7" xfId="2749" xr:uid="{00000000-0005-0000-0000-00002E210000}"/>
    <cellStyle name="Note 2 4 8" xfId="2830" xr:uid="{00000000-0005-0000-0000-00002F210000}"/>
    <cellStyle name="Note 2 4 8 2" xfId="7053" xr:uid="{00000000-0005-0000-0000-000030210000}"/>
    <cellStyle name="Note 2 4 8 2 2" xfId="23944" xr:uid="{9C848A0E-509E-4F64-BE90-B6F0BDE03574}"/>
    <cellStyle name="Note 2 4 8 2 3" xfId="15503" xr:uid="{847049EB-AEC2-4755-B461-65FEFC256B9F}"/>
    <cellStyle name="Note 2 4 8 3" xfId="19726" xr:uid="{12C056E4-E78D-425E-A08D-8BF73343C344}"/>
    <cellStyle name="Note 2 4 8 4" xfId="11285" xr:uid="{F15D5AD2-C671-4026-A4F5-450DD4673D29}"/>
    <cellStyle name="Note 2 4 9" xfId="4908" xr:uid="{00000000-0005-0000-0000-000031210000}"/>
    <cellStyle name="Note 2 4 9 2" xfId="21799" xr:uid="{5AB53A23-DF40-4CCC-810D-E8AF35A421D5}"/>
    <cellStyle name="Note 2 4 9 3" xfId="13358" xr:uid="{B42A486E-B302-4B32-BBE4-187CDF866B79}"/>
    <cellStyle name="Note 2 5" xfId="552" xr:uid="{00000000-0005-0000-0000-000032210000}"/>
    <cellStyle name="Note 2 5 10" xfId="17582" xr:uid="{3C04BC40-A8BA-468D-9583-741D0D3F01B0}"/>
    <cellStyle name="Note 2 5 11" xfId="9141" xr:uid="{FD1017C0-3A0B-499B-8278-2BB536200C6A}"/>
    <cellStyle name="Note 2 5 2" xfId="1013" xr:uid="{00000000-0005-0000-0000-000033210000}"/>
    <cellStyle name="Note 2 5 2 2" xfId="3245" xr:uid="{00000000-0005-0000-0000-000034210000}"/>
    <cellStyle name="Note 2 5 2 2 2" xfId="7467" xr:uid="{00000000-0005-0000-0000-000035210000}"/>
    <cellStyle name="Note 2 5 2 2 2 2" xfId="24358" xr:uid="{7C982235-060F-4EA5-B5FA-C1198C751FCF}"/>
    <cellStyle name="Note 2 5 2 2 2 3" xfId="15917" xr:uid="{638DFED6-92A1-4D97-B948-ED22E12583EC}"/>
    <cellStyle name="Note 2 5 2 2 3" xfId="20140" xr:uid="{1CF4A39C-1258-49CA-810B-70B69354C1D4}"/>
    <cellStyle name="Note 2 5 2 2 4" xfId="11699" xr:uid="{A28F1D12-4A81-444E-B774-44086CF8F7B5}"/>
    <cellStyle name="Note 2 5 2 3" xfId="5322" xr:uid="{00000000-0005-0000-0000-000036210000}"/>
    <cellStyle name="Note 2 5 2 3 2" xfId="22213" xr:uid="{7EB1C664-B635-4DB6-BD2A-53049FB4AA76}"/>
    <cellStyle name="Note 2 5 2 3 3" xfId="13772" xr:uid="{707C3B22-7E77-4ECC-9353-D0927B33B119}"/>
    <cellStyle name="Note 2 5 2 4" xfId="17995" xr:uid="{C4EE9CC9-9336-4432-A53F-9146E818A5EE}"/>
    <cellStyle name="Note 2 5 2 5" xfId="9554" xr:uid="{86281FAB-7E14-4D7D-AC1F-CC5F5F6F393A}"/>
    <cellStyle name="Note 2 5 3" xfId="1428" xr:uid="{00000000-0005-0000-0000-000037210000}"/>
    <cellStyle name="Note 2 5 3 2" xfId="3658" xr:uid="{00000000-0005-0000-0000-000038210000}"/>
    <cellStyle name="Note 2 5 3 2 2" xfId="7880" xr:uid="{00000000-0005-0000-0000-000039210000}"/>
    <cellStyle name="Note 2 5 3 2 2 2" xfId="24771" xr:uid="{870CC739-4702-42D6-B759-B31E42C2C759}"/>
    <cellStyle name="Note 2 5 3 2 2 3" xfId="16330" xr:uid="{74F2987E-A6B9-4CF1-A44B-AE4D036DE4F4}"/>
    <cellStyle name="Note 2 5 3 2 3" xfId="20553" xr:uid="{978528C7-0936-4B23-82D0-5D9A6F6FB140}"/>
    <cellStyle name="Note 2 5 3 2 4" xfId="12112" xr:uid="{33B52F62-54B2-478D-AD61-EE4B6DEC9D5E}"/>
    <cellStyle name="Note 2 5 3 3" xfId="5735" xr:uid="{00000000-0005-0000-0000-00003A210000}"/>
    <cellStyle name="Note 2 5 3 3 2" xfId="22626" xr:uid="{4AC5A3E9-3146-4945-88A9-8C20CFD26837}"/>
    <cellStyle name="Note 2 5 3 3 3" xfId="14185" xr:uid="{842FBFC4-FD6A-47FB-BD68-A81DA6C9A7BD}"/>
    <cellStyle name="Note 2 5 3 4" xfId="18408" xr:uid="{F5975DE6-8D23-46C7-B9F5-E9CCE8FB1042}"/>
    <cellStyle name="Note 2 5 3 5" xfId="9967" xr:uid="{AEF05E9A-DF86-4E91-BD1A-E362AC4C8545}"/>
    <cellStyle name="Note 2 5 4" xfId="1842" xr:uid="{00000000-0005-0000-0000-00003B210000}"/>
    <cellStyle name="Note 2 5 4 2" xfId="4071" xr:uid="{00000000-0005-0000-0000-00003C210000}"/>
    <cellStyle name="Note 2 5 4 2 2" xfId="8293" xr:uid="{00000000-0005-0000-0000-00003D210000}"/>
    <cellStyle name="Note 2 5 4 2 2 2" xfId="25184" xr:uid="{577C2A1D-8951-4D75-8E5F-418C3FC5D486}"/>
    <cellStyle name="Note 2 5 4 2 2 3" xfId="16743" xr:uid="{4D2BB4C1-D942-4D72-81F6-47D8A94D0A94}"/>
    <cellStyle name="Note 2 5 4 2 3" xfId="20966" xr:uid="{71EE6419-E6DB-43EB-A464-8B702174D46E}"/>
    <cellStyle name="Note 2 5 4 2 4" xfId="12525" xr:uid="{6061E03F-3DBB-4679-89DC-9C5DF5D1A32E}"/>
    <cellStyle name="Note 2 5 4 3" xfId="6148" xr:uid="{00000000-0005-0000-0000-00003E210000}"/>
    <cellStyle name="Note 2 5 4 3 2" xfId="23039" xr:uid="{350AC1C0-19D3-440A-BD54-83062DBC0570}"/>
    <cellStyle name="Note 2 5 4 3 3" xfId="14598" xr:uid="{2ECF2618-3846-4B22-80FE-C3CB10CBBF6D}"/>
    <cellStyle name="Note 2 5 4 4" xfId="18821" xr:uid="{2AAF68EF-726A-4411-87E5-E7D493382611}"/>
    <cellStyle name="Note 2 5 4 5" xfId="10380" xr:uid="{80DE9B94-2115-44B7-A480-1DCA616D2335}"/>
    <cellStyle name="Note 2 5 5" xfId="2255" xr:uid="{00000000-0005-0000-0000-00003F210000}"/>
    <cellStyle name="Note 2 5 5 2" xfId="4484" xr:uid="{00000000-0005-0000-0000-000040210000}"/>
    <cellStyle name="Note 2 5 5 2 2" xfId="8706" xr:uid="{00000000-0005-0000-0000-000041210000}"/>
    <cellStyle name="Note 2 5 5 2 2 2" xfId="25597" xr:uid="{69F107C3-C1D0-4317-8BD0-E51BBA23157F}"/>
    <cellStyle name="Note 2 5 5 2 2 3" xfId="17156" xr:uid="{2ED45D00-CC6E-4DA7-B1D3-EB18FAFE3B5D}"/>
    <cellStyle name="Note 2 5 5 2 3" xfId="21379" xr:uid="{F957B03E-8723-4ABD-B08D-949BFB885C55}"/>
    <cellStyle name="Note 2 5 5 2 4" xfId="12938" xr:uid="{4D13E5C3-C781-4E90-8B0D-9077D8C0A289}"/>
    <cellStyle name="Note 2 5 5 3" xfId="6561" xr:uid="{00000000-0005-0000-0000-000042210000}"/>
    <cellStyle name="Note 2 5 5 3 2" xfId="23452" xr:uid="{798BA8A3-FF7C-43EC-A001-C5942082DC36}"/>
    <cellStyle name="Note 2 5 5 3 3" xfId="15011" xr:uid="{7B013DAB-30B0-4B7B-B665-DB34A740A9DC}"/>
    <cellStyle name="Note 2 5 5 4" xfId="19234" xr:uid="{358005E3-4783-470D-A7F5-35695D378389}"/>
    <cellStyle name="Note 2 5 5 5" xfId="10793" xr:uid="{85C69FBF-4F0E-44C6-89A7-3E546FF02156}"/>
    <cellStyle name="Note 2 5 6" xfId="2691" xr:uid="{00000000-0005-0000-0000-000043210000}"/>
    <cellStyle name="Note 2 5 6 2" xfId="6974" xr:uid="{00000000-0005-0000-0000-000044210000}"/>
    <cellStyle name="Note 2 5 6 2 2" xfId="23865" xr:uid="{4F6BDF0F-A12B-4634-8C68-57F8875DE258}"/>
    <cellStyle name="Note 2 5 6 2 3" xfId="15424" xr:uid="{9D6CED5C-5257-49D1-89BC-64628C4F2949}"/>
    <cellStyle name="Note 2 5 6 3" xfId="19647" xr:uid="{7B46777F-67C9-4F02-A9E6-DAF08222EDCD}"/>
    <cellStyle name="Note 2 5 6 4" xfId="11206" xr:uid="{0AA47D6C-834F-45F3-A672-5EBEAFBEB546}"/>
    <cellStyle name="Note 2 5 7" xfId="2750" xr:uid="{00000000-0005-0000-0000-000045210000}"/>
    <cellStyle name="Note 2 5 8" xfId="2831" xr:uid="{00000000-0005-0000-0000-000046210000}"/>
    <cellStyle name="Note 2 5 8 2" xfId="7054" xr:uid="{00000000-0005-0000-0000-000047210000}"/>
    <cellStyle name="Note 2 5 8 2 2" xfId="23945" xr:uid="{0394E236-4C82-42DE-8CE6-7816FB4D9FAD}"/>
    <cellStyle name="Note 2 5 8 2 3" xfId="15504" xr:uid="{D7DD3F7A-9294-42FA-8623-368CE8ED8420}"/>
    <cellStyle name="Note 2 5 8 3" xfId="19727" xr:uid="{33BB75BF-8E07-4C40-BA81-2602782BA0CC}"/>
    <cellStyle name="Note 2 5 8 4" xfId="11286" xr:uid="{2C834C6E-5A04-4A19-B043-DD50F44AD2E4}"/>
    <cellStyle name="Note 2 5 9" xfId="4909" xr:uid="{00000000-0005-0000-0000-000048210000}"/>
    <cellStyle name="Note 2 5 9 2" xfId="21800" xr:uid="{4A70D4B7-A4A6-416E-93B5-F6D8BA12B91A}"/>
    <cellStyle name="Note 2 5 9 3" xfId="13359" xr:uid="{C7F2FA8D-523E-4971-B092-6DA4BB2C2062}"/>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0 2 2" xfId="23946" xr:uid="{0257E105-F7FB-4555-9777-6EFDC0B09074}"/>
    <cellStyle name="Note 3 2 10 2 3" xfId="15505" xr:uid="{CA2BE6A5-0A70-46A4-9983-FDC025370A7A}"/>
    <cellStyle name="Note 3 2 10 3" xfId="19728" xr:uid="{0E610F13-2935-4FF6-B989-434B3E7AD05A}"/>
    <cellStyle name="Note 3 2 10 4" xfId="11287" xr:uid="{DD9AF27C-E2D3-47E8-8B97-8FFB8AEF1106}"/>
    <cellStyle name="Note 3 2 11" xfId="4910" xr:uid="{00000000-0005-0000-0000-00004D210000}"/>
    <cellStyle name="Note 3 2 11 2" xfId="21801" xr:uid="{F1B5E1C0-E218-4229-A340-FD775C6AB789}"/>
    <cellStyle name="Note 3 2 11 3" xfId="13360" xr:uid="{7C9BA844-7F02-47EB-B7D1-A5C63FE84E24}"/>
    <cellStyle name="Note 3 2 12" xfId="17583" xr:uid="{5877FFE7-A986-418E-A4CC-DA8E2846951A}"/>
    <cellStyle name="Note 3 2 13" xfId="9142" xr:uid="{8A875025-3B59-40C9-B906-812891C898A8}"/>
    <cellStyle name="Note 3 2 2" xfId="555" xr:uid="{00000000-0005-0000-0000-00004E210000}"/>
    <cellStyle name="Note 3 2 2 10" xfId="4911" xr:uid="{00000000-0005-0000-0000-00004F210000}"/>
    <cellStyle name="Note 3 2 2 10 2" xfId="21802" xr:uid="{E6EE6BE8-6BD2-4185-8D6F-9833D014B1CE}"/>
    <cellStyle name="Note 3 2 2 10 3" xfId="13361" xr:uid="{556B0399-E2F4-4059-80BD-5F7F1699AF4C}"/>
    <cellStyle name="Note 3 2 2 11" xfId="17584" xr:uid="{97677940-F258-4C7A-B6FF-FC47A32E9B86}"/>
    <cellStyle name="Note 3 2 2 12" xfId="9143" xr:uid="{0B841FDC-C5BC-4B2E-A58B-181F6589DDE7}"/>
    <cellStyle name="Note 3 2 2 2" xfId="556" xr:uid="{00000000-0005-0000-0000-000050210000}"/>
    <cellStyle name="Note 3 2 2 2 10" xfId="17585" xr:uid="{1CDF6023-87EC-4317-8E5E-484F5EEEE045}"/>
    <cellStyle name="Note 3 2 2 2 11" xfId="9144" xr:uid="{4BA84C9E-D2EE-4A75-BA29-F9555BFF9EB8}"/>
    <cellStyle name="Note 3 2 2 2 2" xfId="1016" xr:uid="{00000000-0005-0000-0000-000051210000}"/>
    <cellStyle name="Note 3 2 2 2 2 2" xfId="3248" xr:uid="{00000000-0005-0000-0000-000052210000}"/>
    <cellStyle name="Note 3 2 2 2 2 2 2" xfId="7470" xr:uid="{00000000-0005-0000-0000-000053210000}"/>
    <cellStyle name="Note 3 2 2 2 2 2 2 2" xfId="24361" xr:uid="{0DAB85F7-2576-443C-A9B3-F8896C6E9340}"/>
    <cellStyle name="Note 3 2 2 2 2 2 2 3" xfId="15920" xr:uid="{2E92A180-6CBA-4E5C-B7D8-4FBEF2C7633B}"/>
    <cellStyle name="Note 3 2 2 2 2 2 3" xfId="20143" xr:uid="{A05997C9-9142-412B-8574-819A2B12DC92}"/>
    <cellStyle name="Note 3 2 2 2 2 2 4" xfId="11702" xr:uid="{1FF61946-C110-4902-B4FA-2F839F98A842}"/>
    <cellStyle name="Note 3 2 2 2 2 3" xfId="5325" xr:uid="{00000000-0005-0000-0000-000054210000}"/>
    <cellStyle name="Note 3 2 2 2 2 3 2" xfId="22216" xr:uid="{46D80BE4-5411-470F-8A4A-82C4A41E31F6}"/>
    <cellStyle name="Note 3 2 2 2 2 3 3" xfId="13775" xr:uid="{FB90B162-2CA3-49DC-AF4A-FF6C27435A00}"/>
    <cellStyle name="Note 3 2 2 2 2 4" xfId="17998" xr:uid="{DA0669D4-23F0-413C-84CF-603D8ABF066D}"/>
    <cellStyle name="Note 3 2 2 2 2 5" xfId="9557" xr:uid="{336F8458-FC10-4236-93F0-0CA7EE9E2EA0}"/>
    <cellStyle name="Note 3 2 2 2 3" xfId="1431" xr:uid="{00000000-0005-0000-0000-000055210000}"/>
    <cellStyle name="Note 3 2 2 2 3 2" xfId="3661" xr:uid="{00000000-0005-0000-0000-000056210000}"/>
    <cellStyle name="Note 3 2 2 2 3 2 2" xfId="7883" xr:uid="{00000000-0005-0000-0000-000057210000}"/>
    <cellStyle name="Note 3 2 2 2 3 2 2 2" xfId="24774" xr:uid="{8ACBC52D-8310-4B7C-A53E-C21B0A28CB48}"/>
    <cellStyle name="Note 3 2 2 2 3 2 2 3" xfId="16333" xr:uid="{0376289F-257C-4E19-AAFC-04BC54C630EB}"/>
    <cellStyle name="Note 3 2 2 2 3 2 3" xfId="20556" xr:uid="{EED6AE62-A545-468A-9B3D-9EF19608C824}"/>
    <cellStyle name="Note 3 2 2 2 3 2 4" xfId="12115" xr:uid="{42F5ECCA-FFA9-4890-8A2A-66703486A196}"/>
    <cellStyle name="Note 3 2 2 2 3 3" xfId="5738" xr:uid="{00000000-0005-0000-0000-000058210000}"/>
    <cellStyle name="Note 3 2 2 2 3 3 2" xfId="22629" xr:uid="{99EBC292-417C-41DE-838D-495533C9DFBD}"/>
    <cellStyle name="Note 3 2 2 2 3 3 3" xfId="14188" xr:uid="{575D097B-DBF5-4817-874D-CEC03CDFFBF7}"/>
    <cellStyle name="Note 3 2 2 2 3 4" xfId="18411" xr:uid="{ECD220CB-A8E2-491E-9B66-F5B16D152900}"/>
    <cellStyle name="Note 3 2 2 2 3 5" xfId="9970" xr:uid="{76297009-242F-4625-A406-998DFDE17F76}"/>
    <cellStyle name="Note 3 2 2 2 4" xfId="1845" xr:uid="{00000000-0005-0000-0000-000059210000}"/>
    <cellStyle name="Note 3 2 2 2 4 2" xfId="4074" xr:uid="{00000000-0005-0000-0000-00005A210000}"/>
    <cellStyle name="Note 3 2 2 2 4 2 2" xfId="8296" xr:uid="{00000000-0005-0000-0000-00005B210000}"/>
    <cellStyle name="Note 3 2 2 2 4 2 2 2" xfId="25187" xr:uid="{2B4D7E13-DD62-41FB-B664-264E23F6796A}"/>
    <cellStyle name="Note 3 2 2 2 4 2 2 3" xfId="16746" xr:uid="{9286B506-9329-46BD-8099-96BEDA6DD3AD}"/>
    <cellStyle name="Note 3 2 2 2 4 2 3" xfId="20969" xr:uid="{C537302D-7DEA-417C-848E-78FD983D6E41}"/>
    <cellStyle name="Note 3 2 2 2 4 2 4" xfId="12528" xr:uid="{73B36CBF-B416-4128-AB92-1092629ADDAF}"/>
    <cellStyle name="Note 3 2 2 2 4 3" xfId="6151" xr:uid="{00000000-0005-0000-0000-00005C210000}"/>
    <cellStyle name="Note 3 2 2 2 4 3 2" xfId="23042" xr:uid="{CC144CE8-0DC0-449D-A5DC-DF28755C702F}"/>
    <cellStyle name="Note 3 2 2 2 4 3 3" xfId="14601" xr:uid="{25F57D97-33DD-4717-9E3D-3423442D1F68}"/>
    <cellStyle name="Note 3 2 2 2 4 4" xfId="18824" xr:uid="{0E7520B4-A15D-40B4-AAEC-27128B26146F}"/>
    <cellStyle name="Note 3 2 2 2 4 5" xfId="10383" xr:uid="{0974C3A9-082F-4AA3-BDC3-BB6A180CCA4C}"/>
    <cellStyle name="Note 3 2 2 2 5" xfId="2258" xr:uid="{00000000-0005-0000-0000-00005D210000}"/>
    <cellStyle name="Note 3 2 2 2 5 2" xfId="4487" xr:uid="{00000000-0005-0000-0000-00005E210000}"/>
    <cellStyle name="Note 3 2 2 2 5 2 2" xfId="8709" xr:uid="{00000000-0005-0000-0000-00005F210000}"/>
    <cellStyle name="Note 3 2 2 2 5 2 2 2" xfId="25600" xr:uid="{B5D106DC-EEB2-415A-9EA3-37E53DE23A15}"/>
    <cellStyle name="Note 3 2 2 2 5 2 2 3" xfId="17159" xr:uid="{E91094A1-E59F-4E4A-988A-77311350B8FB}"/>
    <cellStyle name="Note 3 2 2 2 5 2 3" xfId="21382" xr:uid="{5D935180-94F2-4448-9057-6D6616248576}"/>
    <cellStyle name="Note 3 2 2 2 5 2 4" xfId="12941" xr:uid="{FC45E57B-E2D5-47DC-B8DD-EA6C0BBAAD68}"/>
    <cellStyle name="Note 3 2 2 2 5 3" xfId="6564" xr:uid="{00000000-0005-0000-0000-000060210000}"/>
    <cellStyle name="Note 3 2 2 2 5 3 2" xfId="23455" xr:uid="{141ED1CF-4232-4E75-8692-CAB7F8C6A622}"/>
    <cellStyle name="Note 3 2 2 2 5 3 3" xfId="15014" xr:uid="{BD3D059F-0DC1-4D40-84C0-98560DFB8A9C}"/>
    <cellStyle name="Note 3 2 2 2 5 4" xfId="19237" xr:uid="{BD8DEE4A-FD79-444D-91A2-1AE7706B2B13}"/>
    <cellStyle name="Note 3 2 2 2 5 5" xfId="10796" xr:uid="{752C3E80-7D3A-4AC7-A2E2-066A29AB4300}"/>
    <cellStyle name="Note 3 2 2 2 6" xfId="2694" xr:uid="{00000000-0005-0000-0000-000061210000}"/>
    <cellStyle name="Note 3 2 2 2 6 2" xfId="6977" xr:uid="{00000000-0005-0000-0000-000062210000}"/>
    <cellStyle name="Note 3 2 2 2 6 2 2" xfId="23868" xr:uid="{D52498CE-73E8-4455-95EF-84B9BD25DCE8}"/>
    <cellStyle name="Note 3 2 2 2 6 2 3" xfId="15427" xr:uid="{F21A0BC0-25D6-47FB-B8CD-AB8DB6CE7149}"/>
    <cellStyle name="Note 3 2 2 2 6 3" xfId="19650" xr:uid="{0ABFC17B-CE35-4075-9839-D3D4FF575704}"/>
    <cellStyle name="Note 3 2 2 2 6 4" xfId="11209" xr:uid="{8E010C58-E57F-43C9-9B19-19D5D64D372B}"/>
    <cellStyle name="Note 3 2 2 2 7" xfId="2753" xr:uid="{00000000-0005-0000-0000-000063210000}"/>
    <cellStyle name="Note 3 2 2 2 8" xfId="2834" xr:uid="{00000000-0005-0000-0000-000064210000}"/>
    <cellStyle name="Note 3 2 2 2 8 2" xfId="7057" xr:uid="{00000000-0005-0000-0000-000065210000}"/>
    <cellStyle name="Note 3 2 2 2 8 2 2" xfId="23948" xr:uid="{E7676D44-8983-4F90-A176-4B14EE5AEBF2}"/>
    <cellStyle name="Note 3 2 2 2 8 2 3" xfId="15507" xr:uid="{466D50F7-900D-4C86-943A-DE7C73E1264C}"/>
    <cellStyle name="Note 3 2 2 2 8 3" xfId="19730" xr:uid="{EAD5219D-AB1A-4DAA-AD51-3F1D433CB59D}"/>
    <cellStyle name="Note 3 2 2 2 8 4" xfId="11289" xr:uid="{52BAF646-8132-4400-AE04-B9E219DC5843}"/>
    <cellStyle name="Note 3 2 2 2 9" xfId="4912" xr:uid="{00000000-0005-0000-0000-000066210000}"/>
    <cellStyle name="Note 3 2 2 2 9 2" xfId="21803" xr:uid="{824D8F22-8711-4FD7-8F0A-8CD2A9C6BD09}"/>
    <cellStyle name="Note 3 2 2 2 9 3" xfId="13362" xr:uid="{91C3C963-BDB4-427B-AEC7-1F7B32FC6E35}"/>
    <cellStyle name="Note 3 2 2 3" xfId="1015" xr:uid="{00000000-0005-0000-0000-000067210000}"/>
    <cellStyle name="Note 3 2 2 3 2" xfId="3247" xr:uid="{00000000-0005-0000-0000-000068210000}"/>
    <cellStyle name="Note 3 2 2 3 2 2" xfId="7469" xr:uid="{00000000-0005-0000-0000-000069210000}"/>
    <cellStyle name="Note 3 2 2 3 2 2 2" xfId="24360" xr:uid="{CD4A9D26-A181-4F4B-BBF2-1782337F1851}"/>
    <cellStyle name="Note 3 2 2 3 2 2 3" xfId="15919" xr:uid="{DDB99015-A395-483A-B039-29002F00A8B1}"/>
    <cellStyle name="Note 3 2 2 3 2 3" xfId="20142" xr:uid="{55DF519D-49BA-4329-8810-FB25F37E241A}"/>
    <cellStyle name="Note 3 2 2 3 2 4" xfId="11701" xr:uid="{B45716BE-703C-4852-8672-3F5DC28D0BB3}"/>
    <cellStyle name="Note 3 2 2 3 3" xfId="5324" xr:uid="{00000000-0005-0000-0000-00006A210000}"/>
    <cellStyle name="Note 3 2 2 3 3 2" xfId="22215" xr:uid="{72FEB490-CE24-4558-9F57-8A0BE3506B3D}"/>
    <cellStyle name="Note 3 2 2 3 3 3" xfId="13774" xr:uid="{F0DE195F-5CC9-45FE-9C26-1AA6CD612728}"/>
    <cellStyle name="Note 3 2 2 3 4" xfId="17997" xr:uid="{F238F2F2-EF09-41A6-AB17-A2BB92699DC2}"/>
    <cellStyle name="Note 3 2 2 3 5" xfId="9556" xr:uid="{B66271E1-B52C-42FC-B3E4-244F75574D88}"/>
    <cellStyle name="Note 3 2 2 4" xfId="1430" xr:uid="{00000000-0005-0000-0000-00006B210000}"/>
    <cellStyle name="Note 3 2 2 4 2" xfId="3660" xr:uid="{00000000-0005-0000-0000-00006C210000}"/>
    <cellStyle name="Note 3 2 2 4 2 2" xfId="7882" xr:uid="{00000000-0005-0000-0000-00006D210000}"/>
    <cellStyle name="Note 3 2 2 4 2 2 2" xfId="24773" xr:uid="{3075E9FD-8122-49CF-B004-A6A6C579CDD0}"/>
    <cellStyle name="Note 3 2 2 4 2 2 3" xfId="16332" xr:uid="{35169D86-530E-463B-8A6A-C48D09FF9735}"/>
    <cellStyle name="Note 3 2 2 4 2 3" xfId="20555" xr:uid="{F2C4109C-5B5F-41AD-B93E-0413562E1C1B}"/>
    <cellStyle name="Note 3 2 2 4 2 4" xfId="12114" xr:uid="{974F4CE6-6B12-4A31-BDF7-9090EE3D3221}"/>
    <cellStyle name="Note 3 2 2 4 3" xfId="5737" xr:uid="{00000000-0005-0000-0000-00006E210000}"/>
    <cellStyle name="Note 3 2 2 4 3 2" xfId="22628" xr:uid="{87B4DD2C-6FCE-4E4A-BBE1-0252027BFE98}"/>
    <cellStyle name="Note 3 2 2 4 3 3" xfId="14187" xr:uid="{A62049C9-DD44-4430-9965-34833FF9E604}"/>
    <cellStyle name="Note 3 2 2 4 4" xfId="18410" xr:uid="{6BF82E82-542C-4241-9F0D-6A4B0EDD3013}"/>
    <cellStyle name="Note 3 2 2 4 5" xfId="9969" xr:uid="{52748673-4419-48E0-9A08-DC9D297A6CD3}"/>
    <cellStyle name="Note 3 2 2 5" xfId="1844" xr:uid="{00000000-0005-0000-0000-00006F210000}"/>
    <cellStyle name="Note 3 2 2 5 2" xfId="4073" xr:uid="{00000000-0005-0000-0000-000070210000}"/>
    <cellStyle name="Note 3 2 2 5 2 2" xfId="8295" xr:uid="{00000000-0005-0000-0000-000071210000}"/>
    <cellStyle name="Note 3 2 2 5 2 2 2" xfId="25186" xr:uid="{FCFD13A1-0EC2-4A9C-BDE1-09E1320605F3}"/>
    <cellStyle name="Note 3 2 2 5 2 2 3" xfId="16745" xr:uid="{197DBAD8-A27D-4A92-B7E8-C75EA3A1E2C9}"/>
    <cellStyle name="Note 3 2 2 5 2 3" xfId="20968" xr:uid="{06636C0F-C0A3-49F7-A797-0C5CFF08A6CC}"/>
    <cellStyle name="Note 3 2 2 5 2 4" xfId="12527" xr:uid="{CC78C570-B1DD-4005-9B26-6309CBA8DDD1}"/>
    <cellStyle name="Note 3 2 2 5 3" xfId="6150" xr:uid="{00000000-0005-0000-0000-000072210000}"/>
    <cellStyle name="Note 3 2 2 5 3 2" xfId="23041" xr:uid="{7F7D4D42-597E-4F3B-BA32-67D547E67357}"/>
    <cellStyle name="Note 3 2 2 5 3 3" xfId="14600" xr:uid="{FD753721-3B7E-4E05-B69D-6F613736D188}"/>
    <cellStyle name="Note 3 2 2 5 4" xfId="18823" xr:uid="{F4D18754-9CD9-4B30-993E-BD1D93F5FB00}"/>
    <cellStyle name="Note 3 2 2 5 5" xfId="10382" xr:uid="{8D02058F-2D97-43E4-BDAE-25406AB9C87A}"/>
    <cellStyle name="Note 3 2 2 6" xfId="2257" xr:uid="{00000000-0005-0000-0000-000073210000}"/>
    <cellStyle name="Note 3 2 2 6 2" xfId="4486" xr:uid="{00000000-0005-0000-0000-000074210000}"/>
    <cellStyle name="Note 3 2 2 6 2 2" xfId="8708" xr:uid="{00000000-0005-0000-0000-000075210000}"/>
    <cellStyle name="Note 3 2 2 6 2 2 2" xfId="25599" xr:uid="{DA86C41F-F9A4-458A-85AF-36121CDED594}"/>
    <cellStyle name="Note 3 2 2 6 2 2 3" xfId="17158" xr:uid="{71709C4B-7104-40C9-9CA5-C908080A1430}"/>
    <cellStyle name="Note 3 2 2 6 2 3" xfId="21381" xr:uid="{62FD82BC-3D62-4A76-A520-246FAF135887}"/>
    <cellStyle name="Note 3 2 2 6 2 4" xfId="12940" xr:uid="{8E3FC10D-3F4D-434B-A0D9-10AF5C19191B}"/>
    <cellStyle name="Note 3 2 2 6 3" xfId="6563" xr:uid="{00000000-0005-0000-0000-000076210000}"/>
    <cellStyle name="Note 3 2 2 6 3 2" xfId="23454" xr:uid="{C699CEFE-6947-4812-BA4D-8446D6F92CEB}"/>
    <cellStyle name="Note 3 2 2 6 3 3" xfId="15013" xr:uid="{B458B7A2-2AB2-4F94-8F13-2B6D8A66D49A}"/>
    <cellStyle name="Note 3 2 2 6 4" xfId="19236" xr:uid="{64939856-5B06-437F-A38C-32F0DA2F9DED}"/>
    <cellStyle name="Note 3 2 2 6 5" xfId="10795" xr:uid="{8222FF3A-55F9-4722-8884-8037258464FA}"/>
    <cellStyle name="Note 3 2 2 7" xfId="2693" xr:uid="{00000000-0005-0000-0000-000077210000}"/>
    <cellStyle name="Note 3 2 2 7 2" xfId="6976" xr:uid="{00000000-0005-0000-0000-000078210000}"/>
    <cellStyle name="Note 3 2 2 7 2 2" xfId="23867" xr:uid="{BA2EA203-F4F7-47A7-845E-9DFCCF39C392}"/>
    <cellStyle name="Note 3 2 2 7 2 3" xfId="15426" xr:uid="{8885A236-E551-4F58-A3AF-456D95D334CD}"/>
    <cellStyle name="Note 3 2 2 7 3" xfId="19649" xr:uid="{D700DD95-E896-4540-ABF7-89216EAE62FF}"/>
    <cellStyle name="Note 3 2 2 7 4" xfId="11208" xr:uid="{348D137A-B749-4BAC-A771-7C1942AB2911}"/>
    <cellStyle name="Note 3 2 2 8" xfId="2752" xr:uid="{00000000-0005-0000-0000-000079210000}"/>
    <cellStyle name="Note 3 2 2 9" xfId="2833" xr:uid="{00000000-0005-0000-0000-00007A210000}"/>
    <cellStyle name="Note 3 2 2 9 2" xfId="7056" xr:uid="{00000000-0005-0000-0000-00007B210000}"/>
    <cellStyle name="Note 3 2 2 9 2 2" xfId="23947" xr:uid="{BE6CB5D7-6400-40C0-89FD-207FDD0CFCED}"/>
    <cellStyle name="Note 3 2 2 9 2 3" xfId="15506" xr:uid="{AF6122D7-F483-4E4F-AA4E-1E2DA98728F7}"/>
    <cellStyle name="Note 3 2 2 9 3" xfId="19729" xr:uid="{92A1B9CB-5342-450C-9B98-54C55174ECDC}"/>
    <cellStyle name="Note 3 2 2 9 4" xfId="11288" xr:uid="{82700762-24CF-49FF-87D2-7587A0FFCCF5}"/>
    <cellStyle name="Note 3 2 3" xfId="557" xr:uid="{00000000-0005-0000-0000-00007C210000}"/>
    <cellStyle name="Note 3 2 3 10" xfId="17586" xr:uid="{ECD2611A-635C-417F-BAD2-49AEF9C50ACD}"/>
    <cellStyle name="Note 3 2 3 11" xfId="9145" xr:uid="{6390B204-15BC-4C5F-8CC3-58755DB2E46E}"/>
    <cellStyle name="Note 3 2 3 2" xfId="1017" xr:uid="{00000000-0005-0000-0000-00007D210000}"/>
    <cellStyle name="Note 3 2 3 2 2" xfId="3249" xr:uid="{00000000-0005-0000-0000-00007E210000}"/>
    <cellStyle name="Note 3 2 3 2 2 2" xfId="7471" xr:uid="{00000000-0005-0000-0000-00007F210000}"/>
    <cellStyle name="Note 3 2 3 2 2 2 2" xfId="24362" xr:uid="{95DDFE29-57E8-4933-A294-A5A9EB44EEC0}"/>
    <cellStyle name="Note 3 2 3 2 2 2 3" xfId="15921" xr:uid="{922D6A38-C89C-41B4-B071-F8A974686665}"/>
    <cellStyle name="Note 3 2 3 2 2 3" xfId="20144" xr:uid="{480E9C1F-8BB2-424C-8EAC-8F0598B0793B}"/>
    <cellStyle name="Note 3 2 3 2 2 4" xfId="11703" xr:uid="{8C027D49-E44D-4067-8497-649ECACD18D0}"/>
    <cellStyle name="Note 3 2 3 2 3" xfId="5326" xr:uid="{00000000-0005-0000-0000-000080210000}"/>
    <cellStyle name="Note 3 2 3 2 3 2" xfId="22217" xr:uid="{BB177D45-A19C-4382-8EED-1486A8B26275}"/>
    <cellStyle name="Note 3 2 3 2 3 3" xfId="13776" xr:uid="{C9B2AF97-98C8-4FDB-BB01-7F1406DDDDA9}"/>
    <cellStyle name="Note 3 2 3 2 4" xfId="17999" xr:uid="{BEF8DAC0-9AC7-4F5F-81E1-5B5CDFA50AD7}"/>
    <cellStyle name="Note 3 2 3 2 5" xfId="9558" xr:uid="{7879939E-DC16-4E3C-83F3-6CA8DEB08EDC}"/>
    <cellStyle name="Note 3 2 3 3" xfId="1432" xr:uid="{00000000-0005-0000-0000-000081210000}"/>
    <cellStyle name="Note 3 2 3 3 2" xfId="3662" xr:uid="{00000000-0005-0000-0000-000082210000}"/>
    <cellStyle name="Note 3 2 3 3 2 2" xfId="7884" xr:uid="{00000000-0005-0000-0000-000083210000}"/>
    <cellStyle name="Note 3 2 3 3 2 2 2" xfId="24775" xr:uid="{AB976BF0-85FA-4E91-ADE7-418D1FC6C97B}"/>
    <cellStyle name="Note 3 2 3 3 2 2 3" xfId="16334" xr:uid="{48C16138-38D0-4DF1-8B97-8E23F1B4247F}"/>
    <cellStyle name="Note 3 2 3 3 2 3" xfId="20557" xr:uid="{78335379-B20F-4D1B-9D18-ADDE7F06CC97}"/>
    <cellStyle name="Note 3 2 3 3 2 4" xfId="12116" xr:uid="{4E8B9C6F-2D08-413E-BFF8-F51ED7868EE1}"/>
    <cellStyle name="Note 3 2 3 3 3" xfId="5739" xr:uid="{00000000-0005-0000-0000-000084210000}"/>
    <cellStyle name="Note 3 2 3 3 3 2" xfId="22630" xr:uid="{D5F047B8-62CE-4290-BB09-40BB9E09EEFD}"/>
    <cellStyle name="Note 3 2 3 3 3 3" xfId="14189" xr:uid="{D5E17E78-8E27-4D30-BC5E-36D5FF4ECAA0}"/>
    <cellStyle name="Note 3 2 3 3 4" xfId="18412" xr:uid="{D54FDE8D-4AAE-4188-89CA-3F8F54A77FF7}"/>
    <cellStyle name="Note 3 2 3 3 5" xfId="9971" xr:uid="{A70AF533-79D5-4768-B404-64C257BD66EE}"/>
    <cellStyle name="Note 3 2 3 4" xfId="1846" xr:uid="{00000000-0005-0000-0000-000085210000}"/>
    <cellStyle name="Note 3 2 3 4 2" xfId="4075" xr:uid="{00000000-0005-0000-0000-000086210000}"/>
    <cellStyle name="Note 3 2 3 4 2 2" xfId="8297" xr:uid="{00000000-0005-0000-0000-000087210000}"/>
    <cellStyle name="Note 3 2 3 4 2 2 2" xfId="25188" xr:uid="{6CAD78B0-6174-4E0D-8DF9-AA06643E9155}"/>
    <cellStyle name="Note 3 2 3 4 2 2 3" xfId="16747" xr:uid="{AC0B3E4D-117A-4C26-9CB9-29A64635D192}"/>
    <cellStyle name="Note 3 2 3 4 2 3" xfId="20970" xr:uid="{DAAF8AF5-D729-4AD9-BF5A-656FD3158DF2}"/>
    <cellStyle name="Note 3 2 3 4 2 4" xfId="12529" xr:uid="{298243C2-7838-41E6-B0D7-15583DE71667}"/>
    <cellStyle name="Note 3 2 3 4 3" xfId="6152" xr:uid="{00000000-0005-0000-0000-000088210000}"/>
    <cellStyle name="Note 3 2 3 4 3 2" xfId="23043" xr:uid="{217B51BC-8AF3-41BD-96F0-22EAA07BC989}"/>
    <cellStyle name="Note 3 2 3 4 3 3" xfId="14602" xr:uid="{6AB61AB2-4271-482D-8E40-8F8C81D94A1C}"/>
    <cellStyle name="Note 3 2 3 4 4" xfId="18825" xr:uid="{83CC726C-A28A-4FE9-90AD-9F895A2B77DD}"/>
    <cellStyle name="Note 3 2 3 4 5" xfId="10384" xr:uid="{CB927111-A276-4BA3-B4F4-22CC2A0957F6}"/>
    <cellStyle name="Note 3 2 3 5" xfId="2259" xr:uid="{00000000-0005-0000-0000-000089210000}"/>
    <cellStyle name="Note 3 2 3 5 2" xfId="4488" xr:uid="{00000000-0005-0000-0000-00008A210000}"/>
    <cellStyle name="Note 3 2 3 5 2 2" xfId="8710" xr:uid="{00000000-0005-0000-0000-00008B210000}"/>
    <cellStyle name="Note 3 2 3 5 2 2 2" xfId="25601" xr:uid="{59C2EA74-360A-403A-BE0D-593EC04DF10E}"/>
    <cellStyle name="Note 3 2 3 5 2 2 3" xfId="17160" xr:uid="{2DB9E4EB-36F2-4D90-9AF8-C6C563F96B92}"/>
    <cellStyle name="Note 3 2 3 5 2 3" xfId="21383" xr:uid="{47EDD0DD-1777-4E1F-BA44-BFA9098484EB}"/>
    <cellStyle name="Note 3 2 3 5 2 4" xfId="12942" xr:uid="{6565C179-4605-4A39-952E-317DCF83AB75}"/>
    <cellStyle name="Note 3 2 3 5 3" xfId="6565" xr:uid="{00000000-0005-0000-0000-00008C210000}"/>
    <cellStyle name="Note 3 2 3 5 3 2" xfId="23456" xr:uid="{510398BC-4603-44EE-8231-6EE043E62AAC}"/>
    <cellStyle name="Note 3 2 3 5 3 3" xfId="15015" xr:uid="{D0AE36BB-B019-4A6A-9021-DEFDD61719E0}"/>
    <cellStyle name="Note 3 2 3 5 4" xfId="19238" xr:uid="{64391292-0D77-4161-A18D-775883797ECB}"/>
    <cellStyle name="Note 3 2 3 5 5" xfId="10797" xr:uid="{8EC4BF0C-01F4-4C8C-9DDC-D6A9C8B872FF}"/>
    <cellStyle name="Note 3 2 3 6" xfId="2695" xr:uid="{00000000-0005-0000-0000-00008D210000}"/>
    <cellStyle name="Note 3 2 3 6 2" xfId="6978" xr:uid="{00000000-0005-0000-0000-00008E210000}"/>
    <cellStyle name="Note 3 2 3 6 2 2" xfId="23869" xr:uid="{CDE8A1AA-6C0F-4E48-A6FC-E7B250DB4665}"/>
    <cellStyle name="Note 3 2 3 6 2 3" xfId="15428" xr:uid="{E8F6BBC5-7D58-4C8D-9BC6-F0AD6A76CE9C}"/>
    <cellStyle name="Note 3 2 3 6 3" xfId="19651" xr:uid="{1F876BFE-229E-4EDD-AF09-56C13C788907}"/>
    <cellStyle name="Note 3 2 3 6 4" xfId="11210" xr:uid="{430945E4-F9BA-450F-935E-82DD2D8ACCEE}"/>
    <cellStyle name="Note 3 2 3 7" xfId="2754" xr:uid="{00000000-0005-0000-0000-00008F210000}"/>
    <cellStyle name="Note 3 2 3 8" xfId="2835" xr:uid="{00000000-0005-0000-0000-000090210000}"/>
    <cellStyle name="Note 3 2 3 8 2" xfId="7058" xr:uid="{00000000-0005-0000-0000-000091210000}"/>
    <cellStyle name="Note 3 2 3 8 2 2" xfId="23949" xr:uid="{AA1B2C74-1A8A-4D83-87C9-39EAC8D6E946}"/>
    <cellStyle name="Note 3 2 3 8 2 3" xfId="15508" xr:uid="{B99908CE-7529-4915-AB69-6F3DF96AE84E}"/>
    <cellStyle name="Note 3 2 3 8 3" xfId="19731" xr:uid="{FF149650-BB52-4B29-8917-C37E6EAC56AE}"/>
    <cellStyle name="Note 3 2 3 8 4" xfId="11290" xr:uid="{FA46551C-E21D-41C8-835A-2DB676E65DF1}"/>
    <cellStyle name="Note 3 2 3 9" xfId="4913" xr:uid="{00000000-0005-0000-0000-000092210000}"/>
    <cellStyle name="Note 3 2 3 9 2" xfId="21804" xr:uid="{7F5A64ED-9E10-467F-82BB-8E0796C611A4}"/>
    <cellStyle name="Note 3 2 3 9 3" xfId="13363" xr:uid="{D217D26E-D1DC-488D-92CB-19A480238645}"/>
    <cellStyle name="Note 3 2 4" xfId="1014" xr:uid="{00000000-0005-0000-0000-000093210000}"/>
    <cellStyle name="Note 3 2 4 2" xfId="3246" xr:uid="{00000000-0005-0000-0000-000094210000}"/>
    <cellStyle name="Note 3 2 4 2 2" xfId="7468" xr:uid="{00000000-0005-0000-0000-000095210000}"/>
    <cellStyle name="Note 3 2 4 2 2 2" xfId="24359" xr:uid="{74E75A79-219C-4ED2-9F5B-AC0FADB892A1}"/>
    <cellStyle name="Note 3 2 4 2 2 3" xfId="15918" xr:uid="{084DDEE8-4782-4AFF-BAEB-42E78523F5F7}"/>
    <cellStyle name="Note 3 2 4 2 3" xfId="20141" xr:uid="{C85B80A4-A7BF-435F-B42D-E9E77F0A9BCE}"/>
    <cellStyle name="Note 3 2 4 2 4" xfId="11700" xr:uid="{A2F8E1D0-1C41-443E-88CE-2DA98CA46A7F}"/>
    <cellStyle name="Note 3 2 4 3" xfId="5323" xr:uid="{00000000-0005-0000-0000-000096210000}"/>
    <cellStyle name="Note 3 2 4 3 2" xfId="22214" xr:uid="{AE5EC2F0-DBFB-40FC-999D-A3FA3F4644D9}"/>
    <cellStyle name="Note 3 2 4 3 3" xfId="13773" xr:uid="{91F735F9-1086-455A-AE38-1FF6E956562A}"/>
    <cellStyle name="Note 3 2 4 4" xfId="17996" xr:uid="{49D850EB-E03A-4A14-AAE7-5776782D4BF4}"/>
    <cellStyle name="Note 3 2 4 5" xfId="9555" xr:uid="{0AC6DCCA-87A7-4C7B-8FF1-61CB9E49EE10}"/>
    <cellStyle name="Note 3 2 5" xfId="1429" xr:uid="{00000000-0005-0000-0000-000097210000}"/>
    <cellStyle name="Note 3 2 5 2" xfId="3659" xr:uid="{00000000-0005-0000-0000-000098210000}"/>
    <cellStyle name="Note 3 2 5 2 2" xfId="7881" xr:uid="{00000000-0005-0000-0000-000099210000}"/>
    <cellStyle name="Note 3 2 5 2 2 2" xfId="24772" xr:uid="{C829888E-2B11-48CC-8F2B-1075DB65297E}"/>
    <cellStyle name="Note 3 2 5 2 2 3" xfId="16331" xr:uid="{CB3E65B0-BF57-4A1B-8D41-123ACEB0EF3B}"/>
    <cellStyle name="Note 3 2 5 2 3" xfId="20554" xr:uid="{0873C2B7-E253-458E-BF0F-2C23EC64D6E2}"/>
    <cellStyle name="Note 3 2 5 2 4" xfId="12113" xr:uid="{6ACC178B-7D70-42D2-81FB-7456E1721755}"/>
    <cellStyle name="Note 3 2 5 3" xfId="5736" xr:uid="{00000000-0005-0000-0000-00009A210000}"/>
    <cellStyle name="Note 3 2 5 3 2" xfId="22627" xr:uid="{1A3C68FE-D007-4788-B7FE-022AB96B5734}"/>
    <cellStyle name="Note 3 2 5 3 3" xfId="14186" xr:uid="{F64DBEAC-ED3F-451B-B526-658E97AA3CA1}"/>
    <cellStyle name="Note 3 2 5 4" xfId="18409" xr:uid="{2B312043-4D74-41D5-8605-7FD3DADBFBFB}"/>
    <cellStyle name="Note 3 2 5 5" xfId="9968" xr:uid="{DB27DCEE-B39D-49A4-8B6B-08698E5F3B8D}"/>
    <cellStyle name="Note 3 2 6" xfId="1843" xr:uid="{00000000-0005-0000-0000-00009B210000}"/>
    <cellStyle name="Note 3 2 6 2" xfId="4072" xr:uid="{00000000-0005-0000-0000-00009C210000}"/>
    <cellStyle name="Note 3 2 6 2 2" xfId="8294" xr:uid="{00000000-0005-0000-0000-00009D210000}"/>
    <cellStyle name="Note 3 2 6 2 2 2" xfId="25185" xr:uid="{4DD88E6A-6980-48CE-B9C7-2F1C34EFB810}"/>
    <cellStyle name="Note 3 2 6 2 2 3" xfId="16744" xr:uid="{0C0B4985-A55F-4DE7-B194-5D36260FCDF0}"/>
    <cellStyle name="Note 3 2 6 2 3" xfId="20967" xr:uid="{7D7813E7-2FB6-4902-B258-8A73F29BB8C1}"/>
    <cellStyle name="Note 3 2 6 2 4" xfId="12526" xr:uid="{78D151AB-866B-4206-A7C1-C607AC05A45C}"/>
    <cellStyle name="Note 3 2 6 3" xfId="6149" xr:uid="{00000000-0005-0000-0000-00009E210000}"/>
    <cellStyle name="Note 3 2 6 3 2" xfId="23040" xr:uid="{BF8999B9-502A-4140-B759-FFFCA9D4D530}"/>
    <cellStyle name="Note 3 2 6 3 3" xfId="14599" xr:uid="{D964F9F4-1DDB-46EA-8932-2372134D458D}"/>
    <cellStyle name="Note 3 2 6 4" xfId="18822" xr:uid="{EAC8BF28-BB7A-45EC-AF70-09E4745EA7DF}"/>
    <cellStyle name="Note 3 2 6 5" xfId="10381" xr:uid="{0F5FBDA2-FF41-4137-9B70-F64C78F3110B}"/>
    <cellStyle name="Note 3 2 7" xfId="2256" xr:uid="{00000000-0005-0000-0000-00009F210000}"/>
    <cellStyle name="Note 3 2 7 2" xfId="4485" xr:uid="{00000000-0005-0000-0000-0000A0210000}"/>
    <cellStyle name="Note 3 2 7 2 2" xfId="8707" xr:uid="{00000000-0005-0000-0000-0000A1210000}"/>
    <cellStyle name="Note 3 2 7 2 2 2" xfId="25598" xr:uid="{63B2C923-39F4-4898-865C-484C741CDF12}"/>
    <cellStyle name="Note 3 2 7 2 2 3" xfId="17157" xr:uid="{32CFED41-31C7-437A-908B-9A81CE22257E}"/>
    <cellStyle name="Note 3 2 7 2 3" xfId="21380" xr:uid="{303143D4-E85C-4368-9D59-AE8C4D0DEE4E}"/>
    <cellStyle name="Note 3 2 7 2 4" xfId="12939" xr:uid="{3E197655-9EE3-4BB6-A5D6-020966AEC4FA}"/>
    <cellStyle name="Note 3 2 7 3" xfId="6562" xr:uid="{00000000-0005-0000-0000-0000A2210000}"/>
    <cellStyle name="Note 3 2 7 3 2" xfId="23453" xr:uid="{5EAA4B98-3704-447F-9336-FC78EF05B803}"/>
    <cellStyle name="Note 3 2 7 3 3" xfId="15012" xr:uid="{3F51DD82-0EDB-4AE6-8001-EA3CEA18C8F7}"/>
    <cellStyle name="Note 3 2 7 4" xfId="19235" xr:uid="{7D9B553F-F656-4C7F-A4C0-6F9869296DCF}"/>
    <cellStyle name="Note 3 2 7 5" xfId="10794" xr:uid="{01958E36-96F4-44A7-A3E9-41BEE68656F4}"/>
    <cellStyle name="Note 3 2 8" xfId="2692" xr:uid="{00000000-0005-0000-0000-0000A3210000}"/>
    <cellStyle name="Note 3 2 8 2" xfId="6975" xr:uid="{00000000-0005-0000-0000-0000A4210000}"/>
    <cellStyle name="Note 3 2 8 2 2" xfId="23866" xr:uid="{E7D8A5F0-9A51-437D-B60F-692DA7DF6B62}"/>
    <cellStyle name="Note 3 2 8 2 3" xfId="15425" xr:uid="{AF6999B2-211B-4361-AE47-87D36EADAA80}"/>
    <cellStyle name="Note 3 2 8 3" xfId="19648" xr:uid="{54F95F6C-631E-4787-B10E-B4C51548D1A3}"/>
    <cellStyle name="Note 3 2 8 4" xfId="11207" xr:uid="{0AE7F7A6-CF70-4622-81D2-C902EF74101D}"/>
    <cellStyle name="Note 3 2 9" xfId="2751" xr:uid="{00000000-0005-0000-0000-0000A5210000}"/>
    <cellStyle name="Note 3 3" xfId="558" xr:uid="{00000000-0005-0000-0000-0000A6210000}"/>
    <cellStyle name="Note 3 3 10" xfId="4914" xr:uid="{00000000-0005-0000-0000-0000A7210000}"/>
    <cellStyle name="Note 3 3 10 2" xfId="21805" xr:uid="{CA1D55DE-660C-4D17-87FC-3D0527612640}"/>
    <cellStyle name="Note 3 3 10 3" xfId="13364" xr:uid="{52252B31-61B8-441E-961F-470D50388869}"/>
    <cellStyle name="Note 3 3 11" xfId="17587" xr:uid="{B587F00B-E372-45FB-9675-F083CB7DCB15}"/>
    <cellStyle name="Note 3 3 12" xfId="9146" xr:uid="{FE0E2938-620D-4545-B746-F34DA128E6FE}"/>
    <cellStyle name="Note 3 3 2" xfId="559" xr:uid="{00000000-0005-0000-0000-0000A8210000}"/>
    <cellStyle name="Note 3 3 2 10" xfId="17588" xr:uid="{C1D3CE3B-E03D-49A7-A54B-AA25C3CF36C0}"/>
    <cellStyle name="Note 3 3 2 11" xfId="9147" xr:uid="{A4663FB5-017B-4689-9FB3-7F0459696B10}"/>
    <cellStyle name="Note 3 3 2 2" xfId="1019" xr:uid="{00000000-0005-0000-0000-0000A9210000}"/>
    <cellStyle name="Note 3 3 2 2 2" xfId="3251" xr:uid="{00000000-0005-0000-0000-0000AA210000}"/>
    <cellStyle name="Note 3 3 2 2 2 2" xfId="7473" xr:uid="{00000000-0005-0000-0000-0000AB210000}"/>
    <cellStyle name="Note 3 3 2 2 2 2 2" xfId="24364" xr:uid="{DEA26DD1-619B-4251-81FC-03CC750CD1B6}"/>
    <cellStyle name="Note 3 3 2 2 2 2 3" xfId="15923" xr:uid="{C36CAB47-71EE-4AD5-97B4-A2D46FC5D045}"/>
    <cellStyle name="Note 3 3 2 2 2 3" xfId="20146" xr:uid="{D4EBBBA8-A062-4606-B6DF-DB6A87E1E5B8}"/>
    <cellStyle name="Note 3 3 2 2 2 4" xfId="11705" xr:uid="{C202EDB3-43EA-40A4-9C06-FA332F6DFDAF}"/>
    <cellStyle name="Note 3 3 2 2 3" xfId="5328" xr:uid="{00000000-0005-0000-0000-0000AC210000}"/>
    <cellStyle name="Note 3 3 2 2 3 2" xfId="22219" xr:uid="{E926386D-1152-4C95-A239-F464BBAD2979}"/>
    <cellStyle name="Note 3 3 2 2 3 3" xfId="13778" xr:uid="{847C0F0E-50FF-4EB2-A4CF-D73C7F3EBC73}"/>
    <cellStyle name="Note 3 3 2 2 4" xfId="18001" xr:uid="{604DDE9A-E06F-4F84-9794-BEBF7F09E8E8}"/>
    <cellStyle name="Note 3 3 2 2 5" xfId="9560" xr:uid="{FF0DD111-10F3-4518-8F95-233D405A3A52}"/>
    <cellStyle name="Note 3 3 2 3" xfId="1434" xr:uid="{00000000-0005-0000-0000-0000AD210000}"/>
    <cellStyle name="Note 3 3 2 3 2" xfId="3664" xr:uid="{00000000-0005-0000-0000-0000AE210000}"/>
    <cellStyle name="Note 3 3 2 3 2 2" xfId="7886" xr:uid="{00000000-0005-0000-0000-0000AF210000}"/>
    <cellStyle name="Note 3 3 2 3 2 2 2" xfId="24777" xr:uid="{727AC537-D80F-4D2F-AB7C-DBA0DA22C626}"/>
    <cellStyle name="Note 3 3 2 3 2 2 3" xfId="16336" xr:uid="{27A37030-FCFF-4475-9D2A-68246C2C9571}"/>
    <cellStyle name="Note 3 3 2 3 2 3" xfId="20559" xr:uid="{9A176CC7-131C-4429-9A90-718B527227D0}"/>
    <cellStyle name="Note 3 3 2 3 2 4" xfId="12118" xr:uid="{696F3926-C9FA-4236-BFA6-CA3ECA9F8BF6}"/>
    <cellStyle name="Note 3 3 2 3 3" xfId="5741" xr:uid="{00000000-0005-0000-0000-0000B0210000}"/>
    <cellStyle name="Note 3 3 2 3 3 2" xfId="22632" xr:uid="{805FE3B4-31A7-469E-BFCB-1CA44552DEA8}"/>
    <cellStyle name="Note 3 3 2 3 3 3" xfId="14191" xr:uid="{8F86CF56-1664-4C17-8A8B-A2C2F773556F}"/>
    <cellStyle name="Note 3 3 2 3 4" xfId="18414" xr:uid="{956718A3-EB93-47C6-AEC3-4E33E57CBA70}"/>
    <cellStyle name="Note 3 3 2 3 5" xfId="9973" xr:uid="{0F7EAAC5-880D-4768-A8C6-95642D82081E}"/>
    <cellStyle name="Note 3 3 2 4" xfId="1848" xr:uid="{00000000-0005-0000-0000-0000B1210000}"/>
    <cellStyle name="Note 3 3 2 4 2" xfId="4077" xr:uid="{00000000-0005-0000-0000-0000B2210000}"/>
    <cellStyle name="Note 3 3 2 4 2 2" xfId="8299" xr:uid="{00000000-0005-0000-0000-0000B3210000}"/>
    <cellStyle name="Note 3 3 2 4 2 2 2" xfId="25190" xr:uid="{1B8EDE1F-FD94-42DE-AE81-3D14D9BE594E}"/>
    <cellStyle name="Note 3 3 2 4 2 2 3" xfId="16749" xr:uid="{FEA06A6D-1655-4C45-AE4E-2282E58749AA}"/>
    <cellStyle name="Note 3 3 2 4 2 3" xfId="20972" xr:uid="{0A388ECE-1718-4015-B800-C285D0A448BA}"/>
    <cellStyle name="Note 3 3 2 4 2 4" xfId="12531" xr:uid="{017C0DF2-D434-4309-B77B-012990452527}"/>
    <cellStyle name="Note 3 3 2 4 3" xfId="6154" xr:uid="{00000000-0005-0000-0000-0000B4210000}"/>
    <cellStyle name="Note 3 3 2 4 3 2" xfId="23045" xr:uid="{80755FE6-CDBF-42B7-808B-4476BE84C8E7}"/>
    <cellStyle name="Note 3 3 2 4 3 3" xfId="14604" xr:uid="{33AB9289-879E-4556-8DBD-37D13F5CE6DE}"/>
    <cellStyle name="Note 3 3 2 4 4" xfId="18827" xr:uid="{70163EEA-529B-4A5E-9D83-C310EF91E206}"/>
    <cellStyle name="Note 3 3 2 4 5" xfId="10386" xr:uid="{B94F3261-6334-4B85-9FAC-217ED7B8403A}"/>
    <cellStyle name="Note 3 3 2 5" xfId="2261" xr:uid="{00000000-0005-0000-0000-0000B5210000}"/>
    <cellStyle name="Note 3 3 2 5 2" xfId="4490" xr:uid="{00000000-0005-0000-0000-0000B6210000}"/>
    <cellStyle name="Note 3 3 2 5 2 2" xfId="8712" xr:uid="{00000000-0005-0000-0000-0000B7210000}"/>
    <cellStyle name="Note 3 3 2 5 2 2 2" xfId="25603" xr:uid="{397CBA53-718A-4800-83E4-8018882092D0}"/>
    <cellStyle name="Note 3 3 2 5 2 2 3" xfId="17162" xr:uid="{3A5EB170-9DED-4AB5-84A1-9BF4C9C44130}"/>
    <cellStyle name="Note 3 3 2 5 2 3" xfId="21385" xr:uid="{00CE3F01-6793-4A92-901F-E0532B59E724}"/>
    <cellStyle name="Note 3 3 2 5 2 4" xfId="12944" xr:uid="{68A4D7C0-4B32-45F0-8DE0-61A3D5986189}"/>
    <cellStyle name="Note 3 3 2 5 3" xfId="6567" xr:uid="{00000000-0005-0000-0000-0000B8210000}"/>
    <cellStyle name="Note 3 3 2 5 3 2" xfId="23458" xr:uid="{E2F4BEB9-5DF1-4C0E-AB71-81A872CB8BE0}"/>
    <cellStyle name="Note 3 3 2 5 3 3" xfId="15017" xr:uid="{AD45BA3A-6ACC-47B7-9D99-68A2DBF8DBF2}"/>
    <cellStyle name="Note 3 3 2 5 4" xfId="19240" xr:uid="{DC7B641C-E538-436E-95D7-7259F6DCBD6C}"/>
    <cellStyle name="Note 3 3 2 5 5" xfId="10799" xr:uid="{F84B8368-B7AC-483A-A6E1-AE092194142B}"/>
    <cellStyle name="Note 3 3 2 6" xfId="2697" xr:uid="{00000000-0005-0000-0000-0000B9210000}"/>
    <cellStyle name="Note 3 3 2 6 2" xfId="6980" xr:uid="{00000000-0005-0000-0000-0000BA210000}"/>
    <cellStyle name="Note 3 3 2 6 2 2" xfId="23871" xr:uid="{BC68F5DC-851E-49E2-817A-29A2C0D359D8}"/>
    <cellStyle name="Note 3 3 2 6 2 3" xfId="15430" xr:uid="{F8BEB2E9-997C-446C-ACB5-0DA4B1BF2174}"/>
    <cellStyle name="Note 3 3 2 6 3" xfId="19653" xr:uid="{71192675-6741-4023-90EE-8BA1959B40C5}"/>
    <cellStyle name="Note 3 3 2 6 4" xfId="11212" xr:uid="{5D009A79-D79E-4AAF-B7C8-3FA0D45B49F4}"/>
    <cellStyle name="Note 3 3 2 7" xfId="2756" xr:uid="{00000000-0005-0000-0000-0000BB210000}"/>
    <cellStyle name="Note 3 3 2 8" xfId="2837" xr:uid="{00000000-0005-0000-0000-0000BC210000}"/>
    <cellStyle name="Note 3 3 2 8 2" xfId="7060" xr:uid="{00000000-0005-0000-0000-0000BD210000}"/>
    <cellStyle name="Note 3 3 2 8 2 2" xfId="23951" xr:uid="{5CF4D1AD-FFD5-4F50-A05E-FC3327DEA725}"/>
    <cellStyle name="Note 3 3 2 8 2 3" xfId="15510" xr:uid="{008900F7-D014-46B5-8F29-F329C64E1A20}"/>
    <cellStyle name="Note 3 3 2 8 3" xfId="19733" xr:uid="{8FC88FE9-7690-4FC0-B34D-38C2F04294F1}"/>
    <cellStyle name="Note 3 3 2 8 4" xfId="11292" xr:uid="{D1BA92AD-8FC0-4295-93A7-A7485CED85F4}"/>
    <cellStyle name="Note 3 3 2 9" xfId="4915" xr:uid="{00000000-0005-0000-0000-0000BE210000}"/>
    <cellStyle name="Note 3 3 2 9 2" xfId="21806" xr:uid="{53CFCD98-49A6-45A1-8804-331C3D03B99D}"/>
    <cellStyle name="Note 3 3 2 9 3" xfId="13365" xr:uid="{8E1E208F-CDA5-4F47-9255-B7C38080C640}"/>
    <cellStyle name="Note 3 3 3" xfId="1018" xr:uid="{00000000-0005-0000-0000-0000BF210000}"/>
    <cellStyle name="Note 3 3 3 2" xfId="3250" xr:uid="{00000000-0005-0000-0000-0000C0210000}"/>
    <cellStyle name="Note 3 3 3 2 2" xfId="7472" xr:uid="{00000000-0005-0000-0000-0000C1210000}"/>
    <cellStyle name="Note 3 3 3 2 2 2" xfId="24363" xr:uid="{48131F24-4FC7-4BB5-B621-45AE2869C30A}"/>
    <cellStyle name="Note 3 3 3 2 2 3" xfId="15922" xr:uid="{7728E35F-E14B-48EC-BA84-22C452883631}"/>
    <cellStyle name="Note 3 3 3 2 3" xfId="20145" xr:uid="{7EF1B040-8B5A-4008-A9A6-18239B19E01C}"/>
    <cellStyle name="Note 3 3 3 2 4" xfId="11704" xr:uid="{A8ADDF1B-9C3C-49AD-81CC-33D6E0FCC296}"/>
    <cellStyle name="Note 3 3 3 3" xfId="5327" xr:uid="{00000000-0005-0000-0000-0000C2210000}"/>
    <cellStyle name="Note 3 3 3 3 2" xfId="22218" xr:uid="{62106A42-AB65-4083-9DEB-432AEF522085}"/>
    <cellStyle name="Note 3 3 3 3 3" xfId="13777" xr:uid="{33D457DE-0F59-483F-953C-02B72E0B516A}"/>
    <cellStyle name="Note 3 3 3 4" xfId="18000" xr:uid="{6DEAF9F7-AAAF-42B8-BCE8-6A44FB743D4E}"/>
    <cellStyle name="Note 3 3 3 5" xfId="9559" xr:uid="{84991DD9-BC7A-4A5A-885F-592BEBB31A2D}"/>
    <cellStyle name="Note 3 3 4" xfId="1433" xr:uid="{00000000-0005-0000-0000-0000C3210000}"/>
    <cellStyle name="Note 3 3 4 2" xfId="3663" xr:uid="{00000000-0005-0000-0000-0000C4210000}"/>
    <cellStyle name="Note 3 3 4 2 2" xfId="7885" xr:uid="{00000000-0005-0000-0000-0000C5210000}"/>
    <cellStyle name="Note 3 3 4 2 2 2" xfId="24776" xr:uid="{E7EE45DA-AD9F-4DCC-B7F8-C1732605FAF8}"/>
    <cellStyle name="Note 3 3 4 2 2 3" xfId="16335" xr:uid="{4C852F92-B9EE-441D-9907-174F91CF3859}"/>
    <cellStyle name="Note 3 3 4 2 3" xfId="20558" xr:uid="{E4E79B3A-4F3A-4A26-8BD3-C575FDCD6573}"/>
    <cellStyle name="Note 3 3 4 2 4" xfId="12117" xr:uid="{03D44844-CE83-4C01-AA7E-E56471F2D0F7}"/>
    <cellStyle name="Note 3 3 4 3" xfId="5740" xr:uid="{00000000-0005-0000-0000-0000C6210000}"/>
    <cellStyle name="Note 3 3 4 3 2" xfId="22631" xr:uid="{5B78AC20-E154-486C-AC9C-1B350BF53117}"/>
    <cellStyle name="Note 3 3 4 3 3" xfId="14190" xr:uid="{D3123717-A840-435B-ADF8-406AC08A970F}"/>
    <cellStyle name="Note 3 3 4 4" xfId="18413" xr:uid="{18AC749E-741C-45EE-AF82-36D769E20ED1}"/>
    <cellStyle name="Note 3 3 4 5" xfId="9972" xr:uid="{DB4F5E30-CEDF-4596-BD65-54AB95018088}"/>
    <cellStyle name="Note 3 3 5" xfId="1847" xr:uid="{00000000-0005-0000-0000-0000C7210000}"/>
    <cellStyle name="Note 3 3 5 2" xfId="4076" xr:uid="{00000000-0005-0000-0000-0000C8210000}"/>
    <cellStyle name="Note 3 3 5 2 2" xfId="8298" xr:uid="{00000000-0005-0000-0000-0000C9210000}"/>
    <cellStyle name="Note 3 3 5 2 2 2" xfId="25189" xr:uid="{AAA22CA3-7094-4E3D-9708-A2721AC78A22}"/>
    <cellStyle name="Note 3 3 5 2 2 3" xfId="16748" xr:uid="{E47EEFF0-6174-41A3-A9E2-F54D4A2AE39D}"/>
    <cellStyle name="Note 3 3 5 2 3" xfId="20971" xr:uid="{EAC06483-71CF-42BE-9163-3DFBD9417CC5}"/>
    <cellStyle name="Note 3 3 5 2 4" xfId="12530" xr:uid="{61D4D0B9-CBF5-433A-8360-F94601122FD8}"/>
    <cellStyle name="Note 3 3 5 3" xfId="6153" xr:uid="{00000000-0005-0000-0000-0000CA210000}"/>
    <cellStyle name="Note 3 3 5 3 2" xfId="23044" xr:uid="{455AEDBA-F661-4F69-91AE-49FA3F97A91C}"/>
    <cellStyle name="Note 3 3 5 3 3" xfId="14603" xr:uid="{3DDE1D26-4B94-4C52-A0F2-6944C3E9E57A}"/>
    <cellStyle name="Note 3 3 5 4" xfId="18826" xr:uid="{94BC970D-D095-45BE-8527-C8F7A1D55A4B}"/>
    <cellStyle name="Note 3 3 5 5" xfId="10385" xr:uid="{4BC3AC97-ACB0-47AA-A54B-EA48AB6B0C98}"/>
    <cellStyle name="Note 3 3 6" xfId="2260" xr:uid="{00000000-0005-0000-0000-0000CB210000}"/>
    <cellStyle name="Note 3 3 6 2" xfId="4489" xr:uid="{00000000-0005-0000-0000-0000CC210000}"/>
    <cellStyle name="Note 3 3 6 2 2" xfId="8711" xr:uid="{00000000-0005-0000-0000-0000CD210000}"/>
    <cellStyle name="Note 3 3 6 2 2 2" xfId="25602" xr:uid="{C5CAD9F1-2CFC-44B3-A362-D98D483F6DD7}"/>
    <cellStyle name="Note 3 3 6 2 2 3" xfId="17161" xr:uid="{C53AD67A-412E-4A9E-AAA6-9F59AF1919DB}"/>
    <cellStyle name="Note 3 3 6 2 3" xfId="21384" xr:uid="{17AA772C-E43A-49EC-B5FF-50F1CB5DD840}"/>
    <cellStyle name="Note 3 3 6 2 4" xfId="12943" xr:uid="{F9C0ECCE-DAE5-4E1A-B014-BB6C97D0AF97}"/>
    <cellStyle name="Note 3 3 6 3" xfId="6566" xr:uid="{00000000-0005-0000-0000-0000CE210000}"/>
    <cellStyle name="Note 3 3 6 3 2" xfId="23457" xr:uid="{DCF3B335-FAC1-4655-8B9D-89281077B778}"/>
    <cellStyle name="Note 3 3 6 3 3" xfId="15016" xr:uid="{6E87677E-F1C4-492A-8517-75680A6B9E4E}"/>
    <cellStyle name="Note 3 3 6 4" xfId="19239" xr:uid="{56425B06-7265-4B62-9ADA-6D7C18F01096}"/>
    <cellStyle name="Note 3 3 6 5" xfId="10798" xr:uid="{3F03C5BF-0D19-49ED-9C28-3BE6098C39A6}"/>
    <cellStyle name="Note 3 3 7" xfId="2696" xr:uid="{00000000-0005-0000-0000-0000CF210000}"/>
    <cellStyle name="Note 3 3 7 2" xfId="6979" xr:uid="{00000000-0005-0000-0000-0000D0210000}"/>
    <cellStyle name="Note 3 3 7 2 2" xfId="23870" xr:uid="{E537F9A9-235B-4218-BA52-02D809E069F2}"/>
    <cellStyle name="Note 3 3 7 2 3" xfId="15429" xr:uid="{E44433FD-BBAA-4853-9EB0-94FE0DCEE93E}"/>
    <cellStyle name="Note 3 3 7 3" xfId="19652" xr:uid="{8F3E6992-DBEB-4808-9B4A-32C6FB46CB64}"/>
    <cellStyle name="Note 3 3 7 4" xfId="11211" xr:uid="{708C07BA-810A-4769-A5FC-742C794EC914}"/>
    <cellStyle name="Note 3 3 8" xfId="2755" xr:uid="{00000000-0005-0000-0000-0000D1210000}"/>
    <cellStyle name="Note 3 3 9" xfId="2836" xr:uid="{00000000-0005-0000-0000-0000D2210000}"/>
    <cellStyle name="Note 3 3 9 2" xfId="7059" xr:uid="{00000000-0005-0000-0000-0000D3210000}"/>
    <cellStyle name="Note 3 3 9 2 2" xfId="23950" xr:uid="{0789B0ED-015B-45DE-988F-16C4CD83BB0F}"/>
    <cellStyle name="Note 3 3 9 2 3" xfId="15509" xr:uid="{5099D558-5E27-4301-A025-53D6F7489AB7}"/>
    <cellStyle name="Note 3 3 9 3" xfId="19732" xr:uid="{687C1223-F9A4-428E-B667-BF3F1DAE9D70}"/>
    <cellStyle name="Note 3 3 9 4" xfId="11291" xr:uid="{D9C5027F-F1DF-4DA9-92F6-C43A01926780}"/>
    <cellStyle name="Note 3 4" xfId="560" xr:uid="{00000000-0005-0000-0000-0000D4210000}"/>
    <cellStyle name="Note 3 4 10" xfId="17589" xr:uid="{D28B56E2-0346-442D-B525-91E982C9292E}"/>
    <cellStyle name="Note 3 4 11" xfId="9148" xr:uid="{BA6ECA40-A299-4A46-A7B3-DA8F59BF159A}"/>
    <cellStyle name="Note 3 4 2" xfId="1020" xr:uid="{00000000-0005-0000-0000-0000D5210000}"/>
    <cellStyle name="Note 3 4 2 2" xfId="3252" xr:uid="{00000000-0005-0000-0000-0000D6210000}"/>
    <cellStyle name="Note 3 4 2 2 2" xfId="7474" xr:uid="{00000000-0005-0000-0000-0000D7210000}"/>
    <cellStyle name="Note 3 4 2 2 2 2" xfId="24365" xr:uid="{6E2406C1-360F-49BF-8A1F-37FFFD3C26D1}"/>
    <cellStyle name="Note 3 4 2 2 2 3" xfId="15924" xr:uid="{74F64C88-FDF0-4387-BDFB-DC128817CE0B}"/>
    <cellStyle name="Note 3 4 2 2 3" xfId="20147" xr:uid="{4FFAE9FF-F8AE-434F-82AE-3594BCE00049}"/>
    <cellStyle name="Note 3 4 2 2 4" xfId="11706" xr:uid="{60F0521B-6253-4316-B0D0-F2D7A1EE74BE}"/>
    <cellStyle name="Note 3 4 2 3" xfId="5329" xr:uid="{00000000-0005-0000-0000-0000D8210000}"/>
    <cellStyle name="Note 3 4 2 3 2" xfId="22220" xr:uid="{F6EBEFC8-E599-42DF-8A44-9BD1FB2A2B2B}"/>
    <cellStyle name="Note 3 4 2 3 3" xfId="13779" xr:uid="{D29AB438-579D-44EB-AFFB-5133B191A940}"/>
    <cellStyle name="Note 3 4 2 4" xfId="18002" xr:uid="{2AF03F72-8E84-428F-98A4-DFCCEB057B78}"/>
    <cellStyle name="Note 3 4 2 5" xfId="9561" xr:uid="{DF9A9103-3748-4CD5-8903-C3380C26EA7E}"/>
    <cellStyle name="Note 3 4 3" xfId="1435" xr:uid="{00000000-0005-0000-0000-0000D9210000}"/>
    <cellStyle name="Note 3 4 3 2" xfId="3665" xr:uid="{00000000-0005-0000-0000-0000DA210000}"/>
    <cellStyle name="Note 3 4 3 2 2" xfId="7887" xr:uid="{00000000-0005-0000-0000-0000DB210000}"/>
    <cellStyle name="Note 3 4 3 2 2 2" xfId="24778" xr:uid="{EDB6E304-4F3C-4D61-99E5-38A46AB71D22}"/>
    <cellStyle name="Note 3 4 3 2 2 3" xfId="16337" xr:uid="{7F418C6C-836A-4370-94EB-22C29E488BA8}"/>
    <cellStyle name="Note 3 4 3 2 3" xfId="20560" xr:uid="{2A9D56E9-2F5D-4F50-901B-CF8A12D5D01F}"/>
    <cellStyle name="Note 3 4 3 2 4" xfId="12119" xr:uid="{387CADD2-7819-451D-92D3-EBC255B13AA7}"/>
    <cellStyle name="Note 3 4 3 3" xfId="5742" xr:uid="{00000000-0005-0000-0000-0000DC210000}"/>
    <cellStyle name="Note 3 4 3 3 2" xfId="22633" xr:uid="{7F0A0BFC-4633-4B3D-88EE-106390D41721}"/>
    <cellStyle name="Note 3 4 3 3 3" xfId="14192" xr:uid="{73490E52-EDE6-4805-852C-627D17BD78A3}"/>
    <cellStyle name="Note 3 4 3 4" xfId="18415" xr:uid="{A14D6E1B-1EB5-4EC7-BC15-D3E1C68FCF6F}"/>
    <cellStyle name="Note 3 4 3 5" xfId="9974" xr:uid="{054C6210-B85D-4627-8773-B6ABDC1B94D4}"/>
    <cellStyle name="Note 3 4 4" xfId="1849" xr:uid="{00000000-0005-0000-0000-0000DD210000}"/>
    <cellStyle name="Note 3 4 4 2" xfId="4078" xr:uid="{00000000-0005-0000-0000-0000DE210000}"/>
    <cellStyle name="Note 3 4 4 2 2" xfId="8300" xr:uid="{00000000-0005-0000-0000-0000DF210000}"/>
    <cellStyle name="Note 3 4 4 2 2 2" xfId="25191" xr:uid="{238634AE-C545-4612-8A38-011DA5512726}"/>
    <cellStyle name="Note 3 4 4 2 2 3" xfId="16750" xr:uid="{8482B2FF-9F1F-4804-85B9-E3DDA23B1BD0}"/>
    <cellStyle name="Note 3 4 4 2 3" xfId="20973" xr:uid="{65F6376C-ED33-420B-BCC5-30027DA9EBF2}"/>
    <cellStyle name="Note 3 4 4 2 4" xfId="12532" xr:uid="{1353819D-82EE-4AE7-91CE-555CEA16D365}"/>
    <cellStyle name="Note 3 4 4 3" xfId="6155" xr:uid="{00000000-0005-0000-0000-0000E0210000}"/>
    <cellStyle name="Note 3 4 4 3 2" xfId="23046" xr:uid="{B12B70CA-602F-43C1-9717-D9CD8A623D02}"/>
    <cellStyle name="Note 3 4 4 3 3" xfId="14605" xr:uid="{60F34995-6222-47B1-B8D1-902E604D6BC3}"/>
    <cellStyle name="Note 3 4 4 4" xfId="18828" xr:uid="{A480E709-1C23-4FD8-93AA-3B44EBAFFF5F}"/>
    <cellStyle name="Note 3 4 4 5" xfId="10387" xr:uid="{C519AA61-A026-44E5-BF11-CACB3B14AE58}"/>
    <cellStyle name="Note 3 4 5" xfId="2262" xr:uid="{00000000-0005-0000-0000-0000E1210000}"/>
    <cellStyle name="Note 3 4 5 2" xfId="4491" xr:uid="{00000000-0005-0000-0000-0000E2210000}"/>
    <cellStyle name="Note 3 4 5 2 2" xfId="8713" xr:uid="{00000000-0005-0000-0000-0000E3210000}"/>
    <cellStyle name="Note 3 4 5 2 2 2" xfId="25604" xr:uid="{DCF4CEB1-C395-435A-A9F1-C2F837E184A8}"/>
    <cellStyle name="Note 3 4 5 2 2 3" xfId="17163" xr:uid="{21778876-CD4D-43C6-BCF0-D64606470113}"/>
    <cellStyle name="Note 3 4 5 2 3" xfId="21386" xr:uid="{FB4A1C20-4D62-48EA-A751-8750F2DC63C4}"/>
    <cellStyle name="Note 3 4 5 2 4" xfId="12945" xr:uid="{AA009C6C-81A2-4F04-BDF2-1496F1028A1C}"/>
    <cellStyle name="Note 3 4 5 3" xfId="6568" xr:uid="{00000000-0005-0000-0000-0000E4210000}"/>
    <cellStyle name="Note 3 4 5 3 2" xfId="23459" xr:uid="{BCAA493A-2053-4D92-9002-18FB557A0DBC}"/>
    <cellStyle name="Note 3 4 5 3 3" xfId="15018" xr:uid="{140AC1A3-C08C-4A69-8288-16AE5E0C1433}"/>
    <cellStyle name="Note 3 4 5 4" xfId="19241" xr:uid="{B5C68045-B443-4FC9-91A2-A17A0C9970F3}"/>
    <cellStyle name="Note 3 4 5 5" xfId="10800" xr:uid="{087B4730-C397-419E-8B9B-4F22B7E00076}"/>
    <cellStyle name="Note 3 4 6" xfId="2698" xr:uid="{00000000-0005-0000-0000-0000E5210000}"/>
    <cellStyle name="Note 3 4 6 2" xfId="6981" xr:uid="{00000000-0005-0000-0000-0000E6210000}"/>
    <cellStyle name="Note 3 4 6 2 2" xfId="23872" xr:uid="{B053A326-2293-4FE7-95D7-CF2457C73643}"/>
    <cellStyle name="Note 3 4 6 2 3" xfId="15431" xr:uid="{5B4CCE99-5AF0-4AC0-84C9-1412E8D21A47}"/>
    <cellStyle name="Note 3 4 6 3" xfId="19654" xr:uid="{4BED47D2-EC16-4160-B32F-7F2007EE4073}"/>
    <cellStyle name="Note 3 4 6 4" xfId="11213" xr:uid="{B006C03B-2A43-4EEB-8A73-E555262FABD7}"/>
    <cellStyle name="Note 3 4 7" xfId="2757" xr:uid="{00000000-0005-0000-0000-0000E7210000}"/>
    <cellStyle name="Note 3 4 8" xfId="2838" xr:uid="{00000000-0005-0000-0000-0000E8210000}"/>
    <cellStyle name="Note 3 4 8 2" xfId="7061" xr:uid="{00000000-0005-0000-0000-0000E9210000}"/>
    <cellStyle name="Note 3 4 8 2 2" xfId="23952" xr:uid="{AAE0C0B9-2A25-4382-AA3A-56BC5F9E3D43}"/>
    <cellStyle name="Note 3 4 8 2 3" xfId="15511" xr:uid="{19FA4D8B-4D5D-4376-B581-E9FC1D804A37}"/>
    <cellStyle name="Note 3 4 8 3" xfId="19734" xr:uid="{1F228F94-6CA8-4AF0-BCE5-0E6846BAAC3A}"/>
    <cellStyle name="Note 3 4 8 4" xfId="11293" xr:uid="{F54165FA-66A4-4793-A3AA-AF691CEE8B3A}"/>
    <cellStyle name="Note 3 4 9" xfId="4916" xr:uid="{00000000-0005-0000-0000-0000EA210000}"/>
    <cellStyle name="Note 3 4 9 2" xfId="21807" xr:uid="{3F5A1F50-943B-4B31-8606-9D8320C8924D}"/>
    <cellStyle name="Note 3 4 9 3" xfId="13366" xr:uid="{B3570510-8398-459E-8E0D-AA832DF46DD2}"/>
    <cellStyle name="Note 3 5" xfId="561" xr:uid="{00000000-0005-0000-0000-0000EB210000}"/>
    <cellStyle name="Note 3 5 10" xfId="17590" xr:uid="{6F236596-0DC4-4DCD-91A2-136B49E3C1BA}"/>
    <cellStyle name="Note 3 5 11" xfId="9149" xr:uid="{DA65DB71-3CFA-4C91-A5DD-A912FDA8FF15}"/>
    <cellStyle name="Note 3 5 2" xfId="1021" xr:uid="{00000000-0005-0000-0000-0000EC210000}"/>
    <cellStyle name="Note 3 5 2 2" xfId="3253" xr:uid="{00000000-0005-0000-0000-0000ED210000}"/>
    <cellStyle name="Note 3 5 2 2 2" xfId="7475" xr:uid="{00000000-0005-0000-0000-0000EE210000}"/>
    <cellStyle name="Note 3 5 2 2 2 2" xfId="24366" xr:uid="{DCBC2CAF-7CB3-4DF7-8F0F-BC335F0AAD61}"/>
    <cellStyle name="Note 3 5 2 2 2 3" xfId="15925" xr:uid="{3D843028-91BE-404B-A9DD-4C989354B92F}"/>
    <cellStyle name="Note 3 5 2 2 3" xfId="20148" xr:uid="{4E78B03D-D1EF-485A-9D03-0D5CD6D100FD}"/>
    <cellStyle name="Note 3 5 2 2 4" xfId="11707" xr:uid="{502388F3-C2CD-4B27-868E-78C35B20E79D}"/>
    <cellStyle name="Note 3 5 2 3" xfId="5330" xr:uid="{00000000-0005-0000-0000-0000EF210000}"/>
    <cellStyle name="Note 3 5 2 3 2" xfId="22221" xr:uid="{7F4409D4-B07A-4709-AC90-B22009B7FBAA}"/>
    <cellStyle name="Note 3 5 2 3 3" xfId="13780" xr:uid="{246F5826-5381-4CE4-80E7-B4A7DC2F7714}"/>
    <cellStyle name="Note 3 5 2 4" xfId="18003" xr:uid="{4E9FECFE-C06F-4CB7-A819-9E5256FEDABB}"/>
    <cellStyle name="Note 3 5 2 5" xfId="9562" xr:uid="{A0B5ABAF-4BB3-4F73-930C-37A683CFC19A}"/>
    <cellStyle name="Note 3 5 3" xfId="1436" xr:uid="{00000000-0005-0000-0000-0000F0210000}"/>
    <cellStyle name="Note 3 5 3 2" xfId="3666" xr:uid="{00000000-0005-0000-0000-0000F1210000}"/>
    <cellStyle name="Note 3 5 3 2 2" xfId="7888" xr:uid="{00000000-0005-0000-0000-0000F2210000}"/>
    <cellStyle name="Note 3 5 3 2 2 2" xfId="24779" xr:uid="{5BE5502D-0360-42B5-8788-FFBA52E72EEA}"/>
    <cellStyle name="Note 3 5 3 2 2 3" xfId="16338" xr:uid="{FF2AF261-D3F2-459B-B18E-828D7C15B6E6}"/>
    <cellStyle name="Note 3 5 3 2 3" xfId="20561" xr:uid="{BD062B48-B158-4CEC-A0F6-8AADEE01F82F}"/>
    <cellStyle name="Note 3 5 3 2 4" xfId="12120" xr:uid="{7D5294A0-B13B-4611-A480-8E2D7653F604}"/>
    <cellStyle name="Note 3 5 3 3" xfId="5743" xr:uid="{00000000-0005-0000-0000-0000F3210000}"/>
    <cellStyle name="Note 3 5 3 3 2" xfId="22634" xr:uid="{171FB094-3A2A-429E-85C8-CD76D9618D55}"/>
    <cellStyle name="Note 3 5 3 3 3" xfId="14193" xr:uid="{6894D15B-23AD-4CA8-9912-A5054FD8333A}"/>
    <cellStyle name="Note 3 5 3 4" xfId="18416" xr:uid="{1001FAF6-7064-4A3A-9C75-E1E4B23342F9}"/>
    <cellStyle name="Note 3 5 3 5" xfId="9975" xr:uid="{67F4CB65-3F67-49B4-B49F-AB9EFFFBA1E5}"/>
    <cellStyle name="Note 3 5 4" xfId="1850" xr:uid="{00000000-0005-0000-0000-0000F4210000}"/>
    <cellStyle name="Note 3 5 4 2" xfId="4079" xr:uid="{00000000-0005-0000-0000-0000F5210000}"/>
    <cellStyle name="Note 3 5 4 2 2" xfId="8301" xr:uid="{00000000-0005-0000-0000-0000F6210000}"/>
    <cellStyle name="Note 3 5 4 2 2 2" xfId="25192" xr:uid="{6EBE3CBD-F77C-4DD8-B59E-1C740C9C1CFB}"/>
    <cellStyle name="Note 3 5 4 2 2 3" xfId="16751" xr:uid="{0DC6A083-97CF-42A6-BBBF-CB18C55B1B0C}"/>
    <cellStyle name="Note 3 5 4 2 3" xfId="20974" xr:uid="{FD4BAFA1-C192-4C17-BC5F-361BD1C9836A}"/>
    <cellStyle name="Note 3 5 4 2 4" xfId="12533" xr:uid="{3E364D41-A70A-477F-8090-B420896BD7A5}"/>
    <cellStyle name="Note 3 5 4 3" xfId="6156" xr:uid="{00000000-0005-0000-0000-0000F7210000}"/>
    <cellStyle name="Note 3 5 4 3 2" xfId="23047" xr:uid="{92A36B82-41AE-4E94-88F4-CF2885F4FE71}"/>
    <cellStyle name="Note 3 5 4 3 3" xfId="14606" xr:uid="{68C0E04D-F1DD-4E5F-812A-0C51D787C6D7}"/>
    <cellStyle name="Note 3 5 4 4" xfId="18829" xr:uid="{AAB88C57-CBA3-4A9E-BFE0-DFA8FCC6F8E5}"/>
    <cellStyle name="Note 3 5 4 5" xfId="10388" xr:uid="{A78BD024-B668-4E54-9501-3087576974E3}"/>
    <cellStyle name="Note 3 5 5" xfId="2263" xr:uid="{00000000-0005-0000-0000-0000F8210000}"/>
    <cellStyle name="Note 3 5 5 2" xfId="4492" xr:uid="{00000000-0005-0000-0000-0000F9210000}"/>
    <cellStyle name="Note 3 5 5 2 2" xfId="8714" xr:uid="{00000000-0005-0000-0000-0000FA210000}"/>
    <cellStyle name="Note 3 5 5 2 2 2" xfId="25605" xr:uid="{D9870130-4299-47A0-9B55-DDD9EDA903E8}"/>
    <cellStyle name="Note 3 5 5 2 2 3" xfId="17164" xr:uid="{CE5642D4-B2F9-4C07-8F00-C7A5A3F01AB6}"/>
    <cellStyle name="Note 3 5 5 2 3" xfId="21387" xr:uid="{2EE06A61-42D1-41E3-9BED-5AC36045B902}"/>
    <cellStyle name="Note 3 5 5 2 4" xfId="12946" xr:uid="{1BD5F1E0-DD96-49FB-ACB7-CBB94CA09D89}"/>
    <cellStyle name="Note 3 5 5 3" xfId="6569" xr:uid="{00000000-0005-0000-0000-0000FB210000}"/>
    <cellStyle name="Note 3 5 5 3 2" xfId="23460" xr:uid="{61491D2C-ADF1-4EE3-86C7-F2D110A21D65}"/>
    <cellStyle name="Note 3 5 5 3 3" xfId="15019" xr:uid="{4F83B00E-4BF7-42C3-BF19-1F7EFDAE9491}"/>
    <cellStyle name="Note 3 5 5 4" xfId="19242" xr:uid="{9ADB615A-5952-4EDA-845A-9132A2768F68}"/>
    <cellStyle name="Note 3 5 5 5" xfId="10801" xr:uid="{4316013A-6F38-4662-ABC5-B2C9DF57CC23}"/>
    <cellStyle name="Note 3 5 6" xfId="2699" xr:uid="{00000000-0005-0000-0000-0000FC210000}"/>
    <cellStyle name="Note 3 5 6 2" xfId="6982" xr:uid="{00000000-0005-0000-0000-0000FD210000}"/>
    <cellStyle name="Note 3 5 6 2 2" xfId="23873" xr:uid="{36A6FFA4-3611-406A-938A-FB13F6F80908}"/>
    <cellStyle name="Note 3 5 6 2 3" xfId="15432" xr:uid="{9B0493D0-4C08-4B53-830B-7BBDCA637D5B}"/>
    <cellStyle name="Note 3 5 6 3" xfId="19655" xr:uid="{D2B924E6-A791-40B7-A15D-31B1098A541B}"/>
    <cellStyle name="Note 3 5 6 4" xfId="11214" xr:uid="{96231A8C-1B59-40A0-98B8-2B14897A7985}"/>
    <cellStyle name="Note 3 5 7" xfId="2758" xr:uid="{00000000-0005-0000-0000-0000FE210000}"/>
    <cellStyle name="Note 3 5 8" xfId="2839" xr:uid="{00000000-0005-0000-0000-0000FF210000}"/>
    <cellStyle name="Note 3 5 8 2" xfId="7062" xr:uid="{00000000-0005-0000-0000-000000220000}"/>
    <cellStyle name="Note 3 5 8 2 2" xfId="23953" xr:uid="{EE338AC3-1DF8-4EE1-8D7D-4C5400305B25}"/>
    <cellStyle name="Note 3 5 8 2 3" xfId="15512" xr:uid="{A46EE91B-62F1-4CDE-9FC1-9370F54464E2}"/>
    <cellStyle name="Note 3 5 8 3" xfId="19735" xr:uid="{9D8ED195-9B1A-4E93-967A-DD754F14BDB9}"/>
    <cellStyle name="Note 3 5 8 4" xfId="11294" xr:uid="{5A9F26AE-F38A-4B33-8C18-F89B4513DB07}"/>
    <cellStyle name="Note 3 5 9" xfId="4917" xr:uid="{00000000-0005-0000-0000-000001220000}"/>
    <cellStyle name="Note 3 5 9 2" xfId="21808" xr:uid="{D362F32A-C9EA-4E83-AE14-A294636B2724}"/>
    <cellStyle name="Note 3 5 9 3" xfId="13367" xr:uid="{FAF0CE1E-E800-4D37-BCB0-3AF8E9DA20CC}"/>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21391" xr:uid="{B2D3CD46-5298-4F9D-AD7D-4015B23CC5F9}"/>
    <cellStyle name="Percent 3 3" xfId="12950" xr:uid="{B95F3066-C6F8-4410-BB11-728D03D26A59}"/>
    <cellStyle name="Percent 4" xfId="4502" xr:uid="{00000000-0005-0000-0000-000007220000}"/>
    <cellStyle name="Percent 4 2" xfId="8717" xr:uid="{00000000-0005-0000-0000-000008220000}"/>
    <cellStyle name="Percent 4 2 2" xfId="25608" xr:uid="{3D820959-59B5-4E11-A299-FDE9F8E1E083}"/>
    <cellStyle name="Percent 4 2 3" xfId="17167" xr:uid="{0007F30F-A595-451A-A5AC-B34007BBEE0F}"/>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Percent 4 3 2 2 3" xfId="17176" xr:uid="{95F068EA-79D0-4803-B381-13C9A8B4014B}"/>
    <cellStyle name="Percent 4 3 2 3" xfId="25614" xr:uid="{0A331FF8-2AE8-417C-9AC0-78F969AFD0D9}"/>
    <cellStyle name="Percent 4 3 2 4" xfId="17173" xr:uid="{32820687-D322-416D-98C8-33277FD5AC88}"/>
    <cellStyle name="Percent 4 3 3" xfId="25611" xr:uid="{94D2BB3B-346D-4270-A3E9-3CB014E11315}"/>
    <cellStyle name="Percent 4 3 4" xfId="17170" xr:uid="{0D8BABAE-E654-4EC8-9748-C2C364FBBBC1}"/>
    <cellStyle name="Percent 4 4" xfId="21394" xr:uid="{E3179B18-569D-4566-8F37-7B8E406C248F}"/>
    <cellStyle name="Percent 4 5" xfId="12953" xr:uid="{8C4FBADB-DE95-432E-8040-1BC89CC2FE77}"/>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356" workbookViewId="0">
      <selection activeCell="F386" sqref="F386:AK388"/>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6" t="s">
        <v>550</v>
      </c>
      <c r="B1" s="1266"/>
      <c r="C1" s="1266"/>
      <c r="D1" s="1266"/>
      <c r="E1" s="1266"/>
      <c r="F1" s="1266"/>
      <c r="G1" s="1266"/>
      <c r="H1" s="1266"/>
      <c r="I1" s="1266"/>
      <c r="J1" s="1266"/>
      <c r="K1" s="1266"/>
      <c r="L1" s="1266"/>
      <c r="M1" s="1266"/>
      <c r="N1" s="1266"/>
      <c r="O1" s="1266"/>
      <c r="P1" s="1266"/>
      <c r="Q1" s="1266"/>
      <c r="R1" s="1266"/>
      <c r="S1" s="1266"/>
      <c r="T1" s="1266"/>
      <c r="U1" s="1266"/>
      <c r="V1" s="1266"/>
      <c r="W1" s="1266"/>
      <c r="X1" s="1266"/>
      <c r="Y1" s="1266"/>
      <c r="Z1" s="1266"/>
      <c r="AA1" s="1266"/>
      <c r="AB1" s="1266"/>
      <c r="AC1" s="1266"/>
      <c r="AD1" s="1266"/>
      <c r="AE1" s="1266"/>
      <c r="AF1" s="1266"/>
      <c r="AG1" s="1266"/>
      <c r="AH1" s="1266"/>
      <c r="AI1" s="1266"/>
      <c r="AJ1" s="1266"/>
      <c r="AK1" s="1266"/>
      <c r="AL1" s="1266"/>
    </row>
    <row r="2" spans="1:38" ht="13.5" thickBot="1">
      <c r="A2" s="1267"/>
      <c r="B2" s="1267"/>
      <c r="C2" s="1267"/>
      <c r="D2" s="1267"/>
      <c r="E2" s="1267"/>
      <c r="F2" s="1267"/>
      <c r="G2" s="1267"/>
      <c r="H2" s="1267"/>
      <c r="I2" s="1267"/>
      <c r="J2" s="1267"/>
      <c r="K2" s="1267"/>
      <c r="L2" s="1267"/>
      <c r="M2" s="1267"/>
      <c r="N2" s="1267"/>
      <c r="O2" s="1267"/>
      <c r="P2" s="1267"/>
      <c r="Q2" s="1267"/>
      <c r="R2" s="1267"/>
      <c r="S2" s="1267"/>
      <c r="T2" s="1267"/>
      <c r="U2" s="1267"/>
      <c r="V2" s="1267"/>
      <c r="W2" s="1267"/>
      <c r="X2" s="1267"/>
      <c r="Y2" s="1267"/>
      <c r="Z2" s="1267"/>
      <c r="AA2" s="1267"/>
      <c r="AB2" s="1267"/>
      <c r="AC2" s="1267"/>
      <c r="AD2" s="1267"/>
      <c r="AE2" s="1267"/>
      <c r="AF2" s="1267"/>
      <c r="AG2" s="1267"/>
      <c r="AH2" s="1267"/>
      <c r="AI2" s="1267"/>
      <c r="AJ2" s="1267"/>
      <c r="AK2" s="1267"/>
      <c r="AL2" s="1267"/>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8" t="s">
        <v>2035</v>
      </c>
      <c r="E7" s="1268"/>
      <c r="F7" s="1268"/>
      <c r="G7" s="1268"/>
      <c r="H7" s="1268"/>
      <c r="I7" s="1268"/>
      <c r="J7" s="1268"/>
      <c r="K7" s="1268"/>
      <c r="L7" s="1268"/>
      <c r="M7" s="1268"/>
      <c r="N7" s="1268"/>
      <c r="O7" s="1268"/>
      <c r="P7" s="1268"/>
      <c r="Q7" s="1268"/>
      <c r="R7" s="1268"/>
      <c r="S7" s="1268"/>
      <c r="T7" s="1268"/>
      <c r="U7" s="1268"/>
      <c r="V7" s="1268"/>
      <c r="W7" s="1268"/>
      <c r="X7" s="1268"/>
      <c r="Y7" s="1268"/>
      <c r="Z7" s="1268"/>
      <c r="AA7" s="1268"/>
      <c r="AB7" s="1268"/>
      <c r="AC7" s="1268"/>
      <c r="AD7" s="1268"/>
      <c r="AE7" s="1268"/>
      <c r="AF7" s="1268"/>
      <c r="AG7" s="1268"/>
      <c r="AH7" s="1268"/>
      <c r="AI7" s="1268"/>
      <c r="AJ7" s="1268"/>
      <c r="AK7" s="1268"/>
      <c r="AL7" s="455"/>
    </row>
    <row r="8" spans="1:38">
      <c r="A8" s="204"/>
      <c r="B8" s="204"/>
      <c r="C8" s="205"/>
      <c r="D8" s="1268"/>
      <c r="E8" s="1268"/>
      <c r="F8" s="1268"/>
      <c r="G8" s="1268"/>
      <c r="H8" s="1268"/>
      <c r="I8" s="1268"/>
      <c r="J8" s="1268"/>
      <c r="K8" s="1268"/>
      <c r="L8" s="1268"/>
      <c r="M8" s="1268"/>
      <c r="N8" s="1268"/>
      <c r="O8" s="1268"/>
      <c r="P8" s="1268"/>
      <c r="Q8" s="1268"/>
      <c r="R8" s="1268"/>
      <c r="S8" s="1268"/>
      <c r="T8" s="1268"/>
      <c r="U8" s="1268"/>
      <c r="V8" s="1268"/>
      <c r="W8" s="1268"/>
      <c r="X8" s="1268"/>
      <c r="Y8" s="1268"/>
      <c r="Z8" s="1268"/>
      <c r="AA8" s="1268"/>
      <c r="AB8" s="1268"/>
      <c r="AC8" s="1268"/>
      <c r="AD8" s="1268"/>
      <c r="AE8" s="1268"/>
      <c r="AF8" s="1268"/>
      <c r="AG8" s="1268"/>
      <c r="AH8" s="1268"/>
      <c r="AI8" s="1268"/>
      <c r="AJ8" s="1268"/>
      <c r="AK8" s="1268"/>
      <c r="AL8" s="455"/>
    </row>
    <row r="9" spans="1:38">
      <c r="A9" s="204"/>
      <c r="B9" s="204"/>
      <c r="C9" s="205"/>
      <c r="D9" s="1268"/>
      <c r="E9" s="1268"/>
      <c r="F9" s="1268"/>
      <c r="G9" s="1268"/>
      <c r="H9" s="1268"/>
      <c r="I9" s="1268"/>
      <c r="J9" s="1268"/>
      <c r="K9" s="1268"/>
      <c r="L9" s="1268"/>
      <c r="M9" s="1268"/>
      <c r="N9" s="1268"/>
      <c r="O9" s="1268"/>
      <c r="P9" s="1268"/>
      <c r="Q9" s="1268"/>
      <c r="R9" s="1268"/>
      <c r="S9" s="1268"/>
      <c r="T9" s="1268"/>
      <c r="U9" s="1268"/>
      <c r="V9" s="1268"/>
      <c r="W9" s="1268"/>
      <c r="X9" s="1268"/>
      <c r="Y9" s="1268"/>
      <c r="Z9" s="1268"/>
      <c r="AA9" s="1268"/>
      <c r="AB9" s="1268"/>
      <c r="AC9" s="1268"/>
      <c r="AD9" s="1268"/>
      <c r="AE9" s="1268"/>
      <c r="AF9" s="1268"/>
      <c r="AG9" s="1268"/>
      <c r="AH9" s="1268"/>
      <c r="AI9" s="1268"/>
      <c r="AJ9" s="1268"/>
      <c r="AK9" s="1268"/>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8" t="s">
        <v>2036</v>
      </c>
      <c r="E11" s="1268"/>
      <c r="F11" s="1268"/>
      <c r="G11" s="1268"/>
      <c r="H11" s="1268"/>
      <c r="I11" s="1268"/>
      <c r="J11" s="1268"/>
      <c r="K11" s="1268"/>
      <c r="L11" s="1268"/>
      <c r="M11" s="1268"/>
      <c r="N11" s="1268"/>
      <c r="O11" s="1268"/>
      <c r="P11" s="1268"/>
      <c r="Q11" s="1268"/>
      <c r="R11" s="1268"/>
      <c r="S11" s="1268"/>
      <c r="T11" s="1268"/>
      <c r="U11" s="1268"/>
      <c r="V11" s="1268"/>
      <c r="W11" s="1268"/>
      <c r="X11" s="1268"/>
      <c r="Y11" s="1268"/>
      <c r="Z11" s="1268"/>
      <c r="AA11" s="1268"/>
      <c r="AB11" s="1268"/>
      <c r="AC11" s="1268"/>
      <c r="AD11" s="1268"/>
      <c r="AE11" s="1268"/>
      <c r="AF11" s="1268"/>
      <c r="AG11" s="1268"/>
      <c r="AH11" s="1268"/>
      <c r="AI11" s="1268"/>
      <c r="AJ11" s="1268"/>
      <c r="AK11" s="1268"/>
      <c r="AL11" s="455"/>
    </row>
    <row r="12" spans="1:38">
      <c r="A12" s="204"/>
      <c r="B12" s="204"/>
      <c r="C12" s="205"/>
      <c r="D12" s="1268"/>
      <c r="E12" s="1268"/>
      <c r="F12" s="1268"/>
      <c r="G12" s="1268"/>
      <c r="H12" s="1268"/>
      <c r="I12" s="1268"/>
      <c r="J12" s="1268"/>
      <c r="K12" s="1268"/>
      <c r="L12" s="1268"/>
      <c r="M12" s="1268"/>
      <c r="N12" s="1268"/>
      <c r="O12" s="1268"/>
      <c r="P12" s="1268"/>
      <c r="Q12" s="1268"/>
      <c r="R12" s="1268"/>
      <c r="S12" s="1268"/>
      <c r="T12" s="1268"/>
      <c r="U12" s="1268"/>
      <c r="V12" s="1268"/>
      <c r="W12" s="1268"/>
      <c r="X12" s="1268"/>
      <c r="Y12" s="1268"/>
      <c r="Z12" s="1268"/>
      <c r="AA12" s="1268"/>
      <c r="AB12" s="1268"/>
      <c r="AC12" s="1268"/>
      <c r="AD12" s="1268"/>
      <c r="AE12" s="1268"/>
      <c r="AF12" s="1268"/>
      <c r="AG12" s="1268"/>
      <c r="AH12" s="1268"/>
      <c r="AI12" s="1268"/>
      <c r="AJ12" s="1268"/>
      <c r="AK12" s="1268"/>
      <c r="AL12" s="455"/>
    </row>
    <row r="13" spans="1:38">
      <c r="A13" s="204"/>
      <c r="B13" s="204"/>
      <c r="C13" s="205"/>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8" t="s">
        <v>2605</v>
      </c>
      <c r="E15" s="1268"/>
      <c r="F15" s="1268"/>
      <c r="G15" s="1268"/>
      <c r="H15" s="1268"/>
      <c r="I15" s="1268"/>
      <c r="J15" s="1268"/>
      <c r="K15" s="1268"/>
      <c r="L15" s="1268"/>
      <c r="M15" s="1268"/>
      <c r="N15" s="1268"/>
      <c r="O15" s="1268"/>
      <c r="P15" s="1268"/>
      <c r="Q15" s="1268"/>
      <c r="R15" s="1268"/>
      <c r="S15" s="1268"/>
      <c r="T15" s="1268"/>
      <c r="U15" s="1268"/>
      <c r="V15" s="1268"/>
      <c r="W15" s="1268"/>
      <c r="X15" s="1268"/>
      <c r="Y15" s="1268"/>
      <c r="Z15" s="1268"/>
      <c r="AA15" s="1268"/>
      <c r="AB15" s="1268"/>
      <c r="AC15" s="1268"/>
      <c r="AD15" s="1268"/>
      <c r="AE15" s="1268"/>
      <c r="AF15" s="1268"/>
      <c r="AG15" s="1268"/>
      <c r="AH15" s="1268"/>
      <c r="AI15" s="1268"/>
      <c r="AJ15" s="1268"/>
      <c r="AK15" s="1268"/>
      <c r="AL15" s="455"/>
    </row>
    <row r="16" spans="1:38" ht="13.15" customHeight="1">
      <c r="A16" s="204"/>
      <c r="B16" s="204"/>
      <c r="C16" s="205"/>
      <c r="D16" s="1268"/>
      <c r="E16" s="1268"/>
      <c r="F16" s="1268"/>
      <c r="G16" s="1268"/>
      <c r="H16" s="1268"/>
      <c r="I16" s="1268"/>
      <c r="J16" s="1268"/>
      <c r="K16" s="1268"/>
      <c r="L16" s="1268"/>
      <c r="M16" s="1268"/>
      <c r="N16" s="1268"/>
      <c r="O16" s="1268"/>
      <c r="P16" s="1268"/>
      <c r="Q16" s="1268"/>
      <c r="R16" s="1268"/>
      <c r="S16" s="1268"/>
      <c r="T16" s="1268"/>
      <c r="U16" s="1268"/>
      <c r="V16" s="1268"/>
      <c r="W16" s="1268"/>
      <c r="X16" s="1268"/>
      <c r="Y16" s="1268"/>
      <c r="Z16" s="1268"/>
      <c r="AA16" s="1268"/>
      <c r="AB16" s="1268"/>
      <c r="AC16" s="1268"/>
      <c r="AD16" s="1268"/>
      <c r="AE16" s="1268"/>
      <c r="AF16" s="1268"/>
      <c r="AG16" s="1268"/>
      <c r="AH16" s="1268"/>
      <c r="AI16" s="1268"/>
      <c r="AJ16" s="1268"/>
      <c r="AK16" s="1268"/>
      <c r="AL16" s="455"/>
    </row>
    <row r="17" spans="1:38">
      <c r="A17" s="204"/>
      <c r="B17" s="204"/>
      <c r="C17" s="205"/>
      <c r="D17" s="1268"/>
      <c r="E17" s="1268"/>
      <c r="F17" s="1268"/>
      <c r="G17" s="1268"/>
      <c r="H17" s="1268"/>
      <c r="I17" s="1268"/>
      <c r="J17" s="1268"/>
      <c r="K17" s="1268"/>
      <c r="L17" s="1268"/>
      <c r="M17" s="1268"/>
      <c r="N17" s="1268"/>
      <c r="O17" s="1268"/>
      <c r="P17" s="1268"/>
      <c r="Q17" s="1268"/>
      <c r="R17" s="1268"/>
      <c r="S17" s="1268"/>
      <c r="T17" s="1268"/>
      <c r="U17" s="1268"/>
      <c r="V17" s="1268"/>
      <c r="W17" s="1268"/>
      <c r="X17" s="1268"/>
      <c r="Y17" s="1268"/>
      <c r="Z17" s="1268"/>
      <c r="AA17" s="1268"/>
      <c r="AB17" s="1268"/>
      <c r="AC17" s="1268"/>
      <c r="AD17" s="1268"/>
      <c r="AE17" s="1268"/>
      <c r="AF17" s="1268"/>
      <c r="AG17" s="1268"/>
      <c r="AH17" s="1268"/>
      <c r="AI17" s="1268"/>
      <c r="AJ17" s="1268"/>
      <c r="AK17" s="1268"/>
      <c r="AL17" s="455"/>
    </row>
    <row r="18" spans="1:38">
      <c r="A18" s="204"/>
      <c r="B18" s="204"/>
      <c r="C18" s="205"/>
      <c r="D18" s="519" t="s">
        <v>2604</v>
      </c>
      <c r="E18" s="441"/>
      <c r="G18" s="441"/>
      <c r="H18" s="441"/>
      <c r="I18" s="441"/>
      <c r="J18" s="1270" t="s">
        <v>2603</v>
      </c>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8" t="s">
        <v>2037</v>
      </c>
      <c r="E20" s="1268"/>
      <c r="F20" s="1268"/>
      <c r="G20" s="1268"/>
      <c r="H20" s="1268"/>
      <c r="I20" s="1268"/>
      <c r="J20" s="1268"/>
      <c r="K20" s="1268"/>
      <c r="L20" s="1268"/>
      <c r="M20" s="1268"/>
      <c r="N20" s="1268"/>
      <c r="O20" s="1268"/>
      <c r="P20" s="1268"/>
      <c r="Q20" s="1268"/>
      <c r="R20" s="1268"/>
      <c r="S20" s="1268"/>
      <c r="T20" s="1268"/>
      <c r="U20" s="1268"/>
      <c r="V20" s="1268"/>
      <c r="W20" s="1268"/>
      <c r="X20" s="1268"/>
      <c r="Y20" s="1268"/>
      <c r="Z20" s="1268"/>
      <c r="AA20" s="1268"/>
      <c r="AB20" s="1268"/>
      <c r="AC20" s="1268"/>
      <c r="AD20" s="1268"/>
      <c r="AE20" s="1268"/>
      <c r="AF20" s="1268"/>
      <c r="AG20" s="1268"/>
      <c r="AH20" s="1268"/>
      <c r="AI20" s="1268"/>
      <c r="AJ20" s="1268"/>
      <c r="AK20" s="1268"/>
      <c r="AL20" s="204"/>
    </row>
    <row r="21" spans="1:38">
      <c r="A21" s="204"/>
      <c r="B21" s="204"/>
      <c r="C21" s="205"/>
      <c r="D21" s="1268"/>
      <c r="E21" s="1268"/>
      <c r="F21" s="1268"/>
      <c r="G21" s="1268"/>
      <c r="H21" s="1268"/>
      <c r="I21" s="1268"/>
      <c r="J21" s="1268"/>
      <c r="K21" s="1268"/>
      <c r="L21" s="1268"/>
      <c r="M21" s="1268"/>
      <c r="N21" s="1268"/>
      <c r="O21" s="1268"/>
      <c r="P21" s="1268"/>
      <c r="Q21" s="1268"/>
      <c r="R21" s="1268"/>
      <c r="S21" s="1268"/>
      <c r="T21" s="1268"/>
      <c r="U21" s="1268"/>
      <c r="V21" s="1268"/>
      <c r="W21" s="1268"/>
      <c r="X21" s="1268"/>
      <c r="Y21" s="1268"/>
      <c r="Z21" s="1268"/>
      <c r="AA21" s="1268"/>
      <c r="AB21" s="1268"/>
      <c r="AC21" s="1268"/>
      <c r="AD21" s="1268"/>
      <c r="AE21" s="1268"/>
      <c r="AF21" s="1268"/>
      <c r="AG21" s="1268"/>
      <c r="AH21" s="1268"/>
      <c r="AI21" s="1268"/>
      <c r="AJ21" s="1268"/>
      <c r="AK21" s="1268"/>
      <c r="AL21" s="204"/>
    </row>
    <row r="22" spans="1:38">
      <c r="A22" s="204"/>
      <c r="B22" s="204"/>
      <c r="C22" s="205"/>
      <c r="D22" s="1268"/>
      <c r="E22" s="1268"/>
      <c r="F22" s="1268"/>
      <c r="G22" s="1268"/>
      <c r="H22" s="1268"/>
      <c r="I22" s="1268"/>
      <c r="J22" s="1268"/>
      <c r="K22" s="1268"/>
      <c r="L22" s="1268"/>
      <c r="M22" s="1268"/>
      <c r="N22" s="1268"/>
      <c r="O22" s="1268"/>
      <c r="P22" s="1268"/>
      <c r="Q22" s="1268"/>
      <c r="R22" s="1268"/>
      <c r="S22" s="1268"/>
      <c r="T22" s="1268"/>
      <c r="U22" s="1268"/>
      <c r="V22" s="1268"/>
      <c r="W22" s="1268"/>
      <c r="X22" s="1268"/>
      <c r="Y22" s="1268"/>
      <c r="Z22" s="1268"/>
      <c r="AA22" s="1268"/>
      <c r="AB22" s="1268"/>
      <c r="AC22" s="1268"/>
      <c r="AD22" s="1268"/>
      <c r="AE22" s="1268"/>
      <c r="AF22" s="1268"/>
      <c r="AG22" s="1268"/>
      <c r="AH22" s="1268"/>
      <c r="AI22" s="1268"/>
      <c r="AJ22" s="1268"/>
      <c r="AK22" s="1268"/>
      <c r="AL22" s="204"/>
    </row>
    <row r="23" spans="1:38" ht="13.15" customHeight="1">
      <c r="A23" s="204"/>
      <c r="B23" s="204"/>
      <c r="C23" s="205"/>
      <c r="D23" s="1268"/>
      <c r="E23" s="1268"/>
      <c r="F23" s="1268"/>
      <c r="G23" s="1268"/>
      <c r="H23" s="1268"/>
      <c r="I23" s="1268"/>
      <c r="J23" s="1268"/>
      <c r="K23" s="1268"/>
      <c r="L23" s="1268"/>
      <c r="M23" s="1268"/>
      <c r="N23" s="1268"/>
      <c r="O23" s="1268"/>
      <c r="P23" s="1268"/>
      <c r="Q23" s="1268"/>
      <c r="R23" s="1268"/>
      <c r="S23" s="1268"/>
      <c r="T23" s="1268"/>
      <c r="U23" s="1268"/>
      <c r="V23" s="1268"/>
      <c r="W23" s="1268"/>
      <c r="X23" s="1268"/>
      <c r="Y23" s="1268"/>
      <c r="Z23" s="1268"/>
      <c r="AA23" s="1268"/>
      <c r="AB23" s="1268"/>
      <c r="AC23" s="1268"/>
      <c r="AD23" s="1268"/>
      <c r="AE23" s="1268"/>
      <c r="AF23" s="1268"/>
      <c r="AG23" s="1268"/>
      <c r="AH23" s="1268"/>
      <c r="AI23" s="1268"/>
      <c r="AJ23" s="1268"/>
      <c r="AK23" s="1268"/>
      <c r="AL23" s="204"/>
    </row>
    <row r="24" spans="1:38">
      <c r="A24" s="204"/>
      <c r="B24" s="204"/>
      <c r="C24" s="205"/>
      <c r="D24" s="1268"/>
      <c r="E24" s="1268"/>
      <c r="F24" s="1268"/>
      <c r="G24" s="1268"/>
      <c r="H24" s="1268"/>
      <c r="I24" s="1268"/>
      <c r="J24" s="1268"/>
      <c r="K24" s="1268"/>
      <c r="L24" s="1268"/>
      <c r="M24" s="1268"/>
      <c r="N24" s="1268"/>
      <c r="O24" s="1268"/>
      <c r="P24" s="1268"/>
      <c r="Q24" s="1268"/>
      <c r="R24" s="1268"/>
      <c r="S24" s="1268"/>
      <c r="T24" s="1268"/>
      <c r="U24" s="1268"/>
      <c r="V24" s="1268"/>
      <c r="W24" s="1268"/>
      <c r="X24" s="1268"/>
      <c r="Y24" s="1268"/>
      <c r="Z24" s="1268"/>
      <c r="AA24" s="1268"/>
      <c r="AB24" s="1268"/>
      <c r="AC24" s="1268"/>
      <c r="AD24" s="1268"/>
      <c r="AE24" s="1268"/>
      <c r="AF24" s="1268"/>
      <c r="AG24" s="1268"/>
      <c r="AH24" s="1268"/>
      <c r="AI24" s="1268"/>
      <c r="AJ24" s="1268"/>
      <c r="AK24" s="1268"/>
      <c r="AL24" s="204"/>
    </row>
    <row r="25" spans="1:38">
      <c r="A25" s="204"/>
      <c r="B25" s="204"/>
      <c r="C25" s="205"/>
      <c r="D25" s="1268"/>
      <c r="E25" s="1268"/>
      <c r="F25" s="1268"/>
      <c r="G25" s="1268"/>
      <c r="H25" s="1268"/>
      <c r="I25" s="1268"/>
      <c r="J25" s="1268"/>
      <c r="K25" s="1268"/>
      <c r="L25" s="1268"/>
      <c r="M25" s="1268"/>
      <c r="N25" s="1268"/>
      <c r="O25" s="1268"/>
      <c r="P25" s="1268"/>
      <c r="Q25" s="1268"/>
      <c r="R25" s="1268"/>
      <c r="S25" s="1268"/>
      <c r="T25" s="1268"/>
      <c r="U25" s="1268"/>
      <c r="V25" s="1268"/>
      <c r="W25" s="1268"/>
      <c r="X25" s="1268"/>
      <c r="Y25" s="1268"/>
      <c r="Z25" s="1268"/>
      <c r="AA25" s="1268"/>
      <c r="AB25" s="1268"/>
      <c r="AC25" s="1268"/>
      <c r="AD25" s="1268"/>
      <c r="AE25" s="1268"/>
      <c r="AF25" s="1268"/>
      <c r="AG25" s="1268"/>
      <c r="AH25" s="1268"/>
      <c r="AI25" s="1268"/>
      <c r="AJ25" s="1268"/>
      <c r="AK25" s="1268"/>
      <c r="AL25" s="204"/>
    </row>
    <row r="26" spans="1:38">
      <c r="A26" s="204"/>
      <c r="B26" s="204"/>
      <c r="C26" s="205"/>
      <c r="D26" s="1268"/>
      <c r="E26" s="1268"/>
      <c r="F26" s="1268"/>
      <c r="G26" s="1268"/>
      <c r="H26" s="1268"/>
      <c r="I26" s="1268"/>
      <c r="J26" s="1268"/>
      <c r="K26" s="1268"/>
      <c r="L26" s="1268"/>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8"/>
      <c r="AI26" s="1268"/>
      <c r="AJ26" s="1268"/>
      <c r="AK26" s="1268"/>
      <c r="AL26" s="204"/>
    </row>
    <row r="27" spans="1:38">
      <c r="A27" s="204"/>
      <c r="B27" s="204"/>
      <c r="C27" s="205"/>
      <c r="D27" s="1268"/>
      <c r="E27" s="1268"/>
      <c r="F27" s="1268"/>
      <c r="G27" s="1268"/>
      <c r="H27" s="1268"/>
      <c r="I27" s="1268"/>
      <c r="J27" s="1268"/>
      <c r="K27" s="1268"/>
      <c r="L27" s="1268"/>
      <c r="M27" s="1268"/>
      <c r="N27" s="1268"/>
      <c r="O27" s="1268"/>
      <c r="P27" s="1268"/>
      <c r="Q27" s="1268"/>
      <c r="R27" s="1268"/>
      <c r="S27" s="1268"/>
      <c r="T27" s="1268"/>
      <c r="U27" s="1268"/>
      <c r="V27" s="1268"/>
      <c r="W27" s="1268"/>
      <c r="X27" s="1268"/>
      <c r="Y27" s="1268"/>
      <c r="Z27" s="1268"/>
      <c r="AA27" s="1268"/>
      <c r="AB27" s="1268"/>
      <c r="AC27" s="1268"/>
      <c r="AD27" s="1268"/>
      <c r="AE27" s="1268"/>
      <c r="AF27" s="1268"/>
      <c r="AG27" s="1268"/>
      <c r="AH27" s="1268"/>
      <c r="AI27" s="1268"/>
      <c r="AJ27" s="1268"/>
      <c r="AK27" s="1268"/>
      <c r="AL27" s="204"/>
    </row>
    <row r="28" spans="1:38">
      <c r="A28" s="204"/>
      <c r="B28" s="204"/>
      <c r="C28" s="205"/>
      <c r="D28" s="1268"/>
      <c r="E28" s="1268"/>
      <c r="F28" s="1268"/>
      <c r="G28" s="1268"/>
      <c r="H28" s="1268"/>
      <c r="I28" s="1268"/>
      <c r="J28" s="1268"/>
      <c r="K28" s="1268"/>
      <c r="L28" s="1268"/>
      <c r="M28" s="1268"/>
      <c r="N28" s="1268"/>
      <c r="O28" s="1268"/>
      <c r="P28" s="1268"/>
      <c r="Q28" s="1268"/>
      <c r="R28" s="1268"/>
      <c r="S28" s="1268"/>
      <c r="T28" s="1268"/>
      <c r="U28" s="1268"/>
      <c r="V28" s="1268"/>
      <c r="W28" s="1268"/>
      <c r="X28" s="1268"/>
      <c r="Y28" s="1268"/>
      <c r="Z28" s="1268"/>
      <c r="AA28" s="1268"/>
      <c r="AB28" s="1268"/>
      <c r="AC28" s="1268"/>
      <c r="AD28" s="1268"/>
      <c r="AE28" s="1268"/>
      <c r="AF28" s="1268"/>
      <c r="AG28" s="1268"/>
      <c r="AH28" s="1268"/>
      <c r="AI28" s="1268"/>
      <c r="AJ28" s="1268"/>
      <c r="AK28" s="1268"/>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8" t="s">
        <v>2038</v>
      </c>
      <c r="E30" s="1268"/>
      <c r="F30" s="1268"/>
      <c r="G30" s="1268"/>
      <c r="H30" s="1268"/>
      <c r="I30" s="1268"/>
      <c r="J30" s="1268"/>
      <c r="K30" s="1268"/>
      <c r="L30" s="1268"/>
      <c r="M30" s="1268"/>
      <c r="N30" s="1268"/>
      <c r="O30" s="1268"/>
      <c r="P30" s="1268"/>
      <c r="Q30" s="1268"/>
      <c r="R30" s="1268"/>
      <c r="S30" s="1268"/>
      <c r="T30" s="1268"/>
      <c r="U30" s="1268"/>
      <c r="V30" s="1268"/>
      <c r="W30" s="1268"/>
      <c r="X30" s="1268"/>
      <c r="Y30" s="1268"/>
      <c r="Z30" s="1268"/>
      <c r="AA30" s="1268"/>
      <c r="AB30" s="1268"/>
      <c r="AC30" s="1268"/>
      <c r="AD30" s="1268"/>
      <c r="AE30" s="1268"/>
      <c r="AF30" s="1268"/>
      <c r="AG30" s="1268"/>
      <c r="AH30" s="1268"/>
      <c r="AI30" s="1268"/>
      <c r="AJ30" s="1268"/>
      <c r="AK30" s="1268"/>
      <c r="AL30" s="204"/>
    </row>
    <row r="31" spans="1:38">
      <c r="A31" s="204"/>
      <c r="B31" s="204"/>
      <c r="C31" s="205"/>
      <c r="D31" s="455"/>
      <c r="E31" s="1276" t="s">
        <v>2519</v>
      </c>
      <c r="F31" s="1277"/>
      <c r="G31" s="1277"/>
      <c r="H31" s="1277"/>
      <c r="I31" s="1277"/>
      <c r="J31" s="1277"/>
      <c r="K31" s="1277"/>
      <c r="L31" s="1277"/>
      <c r="M31" s="1277"/>
      <c r="N31" s="1277"/>
      <c r="O31" s="1277"/>
      <c r="P31" s="1277"/>
      <c r="Q31" s="1277"/>
      <c r="R31" s="1277"/>
      <c r="S31" s="1277"/>
      <c r="T31" s="1277"/>
      <c r="U31" s="1277"/>
      <c r="V31" s="1277"/>
      <c r="W31" s="1277"/>
      <c r="X31" s="1277"/>
      <c r="Y31" s="1277"/>
      <c r="Z31" s="1277"/>
      <c r="AA31" s="1277"/>
      <c r="AB31" s="1277"/>
      <c r="AC31" s="1277"/>
      <c r="AD31" s="1277"/>
      <c r="AE31" s="1277"/>
      <c r="AF31" s="1277"/>
      <c r="AG31" s="1277"/>
      <c r="AH31" s="1277"/>
      <c r="AI31" s="1277"/>
      <c r="AJ31" s="1277"/>
      <c r="AK31" s="1277"/>
      <c r="AL31" s="204"/>
    </row>
    <row r="32" spans="1:38">
      <c r="A32" s="4"/>
      <c r="C32" s="2"/>
    </row>
    <row r="33" spans="1:38">
      <c r="A33" s="4"/>
      <c r="D33" s="1269" t="s">
        <v>2142</v>
      </c>
      <c r="E33" s="1269"/>
      <c r="F33" s="1269"/>
      <c r="G33" s="1269"/>
      <c r="H33" s="1269"/>
      <c r="I33" s="1269"/>
      <c r="J33" s="1269"/>
      <c r="K33" s="1269"/>
      <c r="L33" s="1269"/>
      <c r="M33" s="1269"/>
      <c r="N33" s="1269"/>
      <c r="O33" s="1269"/>
      <c r="P33" s="1269"/>
      <c r="Q33" s="1269"/>
      <c r="R33" s="1269"/>
      <c r="S33" s="1269"/>
      <c r="T33" s="1269"/>
      <c r="U33" s="1269"/>
      <c r="V33" s="1269"/>
      <c r="W33" s="1269"/>
      <c r="X33" s="1269"/>
      <c r="Y33" s="1269"/>
      <c r="Z33" s="1269"/>
      <c r="AA33" s="1269"/>
      <c r="AB33" s="1269"/>
      <c r="AC33" s="1269"/>
      <c r="AD33" s="1269"/>
      <c r="AE33" s="1269"/>
      <c r="AF33" s="1269"/>
      <c r="AG33" s="1269"/>
      <c r="AH33" s="1269"/>
      <c r="AI33" s="1269"/>
      <c r="AJ33" s="1269"/>
      <c r="AK33" s="1269"/>
    </row>
    <row r="34" spans="1:38">
      <c r="A34" s="4"/>
      <c r="D34" s="1269"/>
      <c r="E34" s="1269"/>
      <c r="F34" s="1269"/>
      <c r="G34" s="1269"/>
      <c r="H34" s="1269"/>
      <c r="I34" s="1269"/>
      <c r="J34" s="1269"/>
      <c r="K34" s="1269"/>
      <c r="L34" s="1269"/>
      <c r="M34" s="1269"/>
      <c r="N34" s="1269"/>
      <c r="O34" s="1269"/>
      <c r="P34" s="1269"/>
      <c r="Q34" s="1269"/>
      <c r="R34" s="1269"/>
      <c r="S34" s="1269"/>
      <c r="T34" s="1269"/>
      <c r="U34" s="1269"/>
      <c r="V34" s="1269"/>
      <c r="W34" s="1269"/>
      <c r="X34" s="1269"/>
      <c r="Y34" s="1269"/>
      <c r="Z34" s="1269"/>
      <c r="AA34" s="1269"/>
      <c r="AB34" s="1269"/>
      <c r="AC34" s="1269"/>
      <c r="AD34" s="1269"/>
      <c r="AE34" s="1269"/>
      <c r="AF34" s="1269"/>
      <c r="AG34" s="1269"/>
      <c r="AH34" s="1269"/>
      <c r="AI34" s="1269"/>
      <c r="AJ34" s="1269"/>
      <c r="AK34" s="1269"/>
    </row>
    <row r="35" spans="1:38">
      <c r="A35" s="4"/>
      <c r="D35" s="120"/>
      <c r="E35" s="1275" t="s">
        <v>2045</v>
      </c>
      <c r="F35" s="1275"/>
      <c r="G35" s="1275"/>
      <c r="H35" s="1275"/>
      <c r="I35" s="1275"/>
      <c r="J35" s="1275"/>
      <c r="K35" s="1275"/>
      <c r="L35" s="1275"/>
      <c r="M35" s="1275"/>
      <c r="N35" s="1275"/>
      <c r="O35" s="1275"/>
      <c r="P35" s="1275"/>
      <c r="Q35" s="1275"/>
      <c r="R35" s="1275"/>
      <c r="S35" s="1275"/>
      <c r="T35" s="1275"/>
      <c r="U35" s="1275"/>
      <c r="V35" s="1275"/>
      <c r="W35" s="1275"/>
      <c r="X35" s="1275"/>
      <c r="Y35" s="1275"/>
      <c r="Z35" s="1275"/>
      <c r="AA35" s="1275"/>
      <c r="AB35" s="1275"/>
      <c r="AC35" s="1275"/>
      <c r="AD35" s="1275"/>
      <c r="AE35" s="1275"/>
      <c r="AF35" s="1275"/>
      <c r="AG35" s="1275"/>
      <c r="AH35" s="1275"/>
      <c r="AI35" s="1275"/>
      <c r="AJ35" s="1275"/>
      <c r="AK35" s="1275"/>
    </row>
    <row r="36" spans="1:38">
      <c r="A36" s="4"/>
      <c r="D36" s="120"/>
      <c r="E36" s="1275" t="s">
        <v>2046</v>
      </c>
      <c r="F36" s="1275"/>
      <c r="G36" s="1275"/>
      <c r="H36" s="1275"/>
      <c r="I36" s="1275"/>
      <c r="J36" s="1275"/>
      <c r="K36" s="1275"/>
      <c r="L36" s="1275"/>
      <c r="M36" s="1275"/>
      <c r="N36" s="1275"/>
      <c r="O36" s="1275"/>
      <c r="P36" s="1275"/>
      <c r="Q36" s="1275"/>
      <c r="R36" s="1275"/>
      <c r="S36" s="1275"/>
      <c r="T36" s="1275"/>
      <c r="U36" s="1275"/>
      <c r="V36" s="1275"/>
      <c r="W36" s="1275"/>
      <c r="X36" s="1275"/>
      <c r="Y36" s="1275"/>
      <c r="Z36" s="1275"/>
      <c r="AA36" s="1275"/>
      <c r="AB36" s="1275"/>
      <c r="AC36" s="1275"/>
      <c r="AD36" s="1275"/>
      <c r="AE36" s="1275"/>
      <c r="AF36" s="1275"/>
      <c r="AG36" s="1275"/>
      <c r="AH36" s="1275"/>
      <c r="AI36" s="1275"/>
      <c r="AJ36" s="1275"/>
      <c r="AK36" s="1275"/>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8" customFormat="1" ht="13.15" customHeight="1">
      <c r="A40" s="4"/>
      <c r="B40"/>
      <c r="C40" s="2"/>
      <c r="D40" s="4"/>
      <c r="E40" s="4" t="s">
        <v>653</v>
      </c>
      <c r="F40" s="1268" t="s">
        <v>1164</v>
      </c>
    </row>
    <row r="41" spans="1:38" s="1268" customFormat="1" ht="13.1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73" t="s">
        <v>1246</v>
      </c>
      <c r="G43" s="1273"/>
      <c r="H43" s="1273"/>
      <c r="I43" s="1273"/>
      <c r="J43" s="1273"/>
      <c r="K43" s="1273"/>
      <c r="L43" s="1273"/>
      <c r="M43" s="1273"/>
      <c r="N43" s="1273"/>
      <c r="O43" s="1273"/>
      <c r="P43" s="1273"/>
      <c r="Q43" s="1273"/>
      <c r="R43" s="1273"/>
      <c r="S43" s="1273"/>
      <c r="T43" s="1273"/>
      <c r="U43" s="1273"/>
      <c r="V43" s="1273"/>
      <c r="W43" s="1273"/>
      <c r="X43" s="1273"/>
      <c r="Y43" s="1273"/>
      <c r="Z43" s="1273"/>
      <c r="AA43" s="1273"/>
      <c r="AB43" s="1273"/>
      <c r="AC43" s="1273"/>
      <c r="AD43" s="1273"/>
      <c r="AE43" s="1273"/>
      <c r="AF43" s="1273"/>
      <c r="AG43" s="1273"/>
      <c r="AH43" s="1273"/>
      <c r="AI43" s="1273"/>
      <c r="AJ43" s="1273"/>
      <c r="AK43" s="1273"/>
      <c r="AL43" s="1273"/>
    </row>
    <row r="44" spans="1:38" s="118" customFormat="1">
      <c r="A44" s="4"/>
      <c r="B44"/>
      <c r="C44" s="2"/>
      <c r="D44" s="4"/>
      <c r="E44" s="4"/>
      <c r="F44" s="1273"/>
      <c r="G44" s="1273"/>
      <c r="H44" s="1273"/>
      <c r="I44" s="1273"/>
      <c r="J44" s="1273"/>
      <c r="K44" s="1273"/>
      <c r="L44" s="1273"/>
      <c r="M44" s="1273"/>
      <c r="N44" s="1273"/>
      <c r="O44" s="1273"/>
      <c r="P44" s="1273"/>
      <c r="Q44" s="1273"/>
      <c r="R44" s="1273"/>
      <c r="S44" s="1273"/>
      <c r="T44" s="1273"/>
      <c r="U44" s="1273"/>
      <c r="V44" s="1273"/>
      <c r="W44" s="1273"/>
      <c r="X44" s="1273"/>
      <c r="Y44" s="1273"/>
      <c r="Z44" s="1273"/>
      <c r="AA44" s="1273"/>
      <c r="AB44" s="1273"/>
      <c r="AC44" s="1273"/>
      <c r="AD44" s="1273"/>
      <c r="AE44" s="1273"/>
      <c r="AF44" s="1273"/>
      <c r="AG44" s="1273"/>
      <c r="AH44" s="1273"/>
      <c r="AI44" s="1273"/>
      <c r="AJ44" s="1273"/>
      <c r="AK44" s="1273"/>
      <c r="AL44" s="1273"/>
    </row>
    <row r="45" spans="1:38" s="118" customFormat="1" ht="13.15" customHeight="1">
      <c r="A45" s="4"/>
      <c r="B45"/>
      <c r="C45" s="2"/>
      <c r="D45" s="4"/>
      <c r="E45" s="4"/>
      <c r="F45" s="1273"/>
      <c r="G45" s="1273"/>
      <c r="H45" s="1273"/>
      <c r="I45" s="1273"/>
      <c r="J45" s="1273"/>
      <c r="K45" s="1273"/>
      <c r="L45" s="1273"/>
      <c r="M45" s="1273"/>
      <c r="N45" s="1273"/>
      <c r="O45" s="1273"/>
      <c r="P45" s="1273"/>
      <c r="Q45" s="1273"/>
      <c r="R45" s="1273"/>
      <c r="S45" s="1273"/>
      <c r="T45" s="1273"/>
      <c r="U45" s="1273"/>
      <c r="V45" s="1273"/>
      <c r="W45" s="1273"/>
      <c r="X45" s="1273"/>
      <c r="Y45" s="1273"/>
      <c r="Z45" s="1273"/>
      <c r="AA45" s="1273"/>
      <c r="AB45" s="1273"/>
      <c r="AC45" s="1273"/>
      <c r="AD45" s="1273"/>
      <c r="AE45" s="1273"/>
      <c r="AF45" s="1273"/>
      <c r="AG45" s="1273"/>
      <c r="AH45" s="1273"/>
      <c r="AI45" s="1273"/>
      <c r="AJ45" s="1273"/>
      <c r="AK45" s="1273"/>
      <c r="AL45" s="1273"/>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8" t="s">
        <v>2040</v>
      </c>
      <c r="G48" s="1268"/>
      <c r="H48" s="1268"/>
      <c r="I48" s="1268"/>
      <c r="J48" s="1268"/>
      <c r="K48" s="1268"/>
      <c r="L48" s="1268"/>
      <c r="M48" s="1268"/>
      <c r="N48" s="1268"/>
      <c r="O48" s="1268"/>
      <c r="P48" s="1268"/>
      <c r="Q48" s="1268"/>
      <c r="R48" s="1268"/>
      <c r="S48" s="1268"/>
      <c r="T48" s="1268"/>
      <c r="U48" s="1268"/>
      <c r="V48" s="1268"/>
      <c r="W48" s="1268"/>
      <c r="X48" s="1268"/>
      <c r="Y48" s="1268"/>
      <c r="Z48" s="1268"/>
      <c r="AA48" s="1268"/>
      <c r="AB48" s="1268"/>
      <c r="AC48" s="1268"/>
      <c r="AD48" s="1268"/>
      <c r="AE48" s="1268"/>
      <c r="AF48" s="1268"/>
      <c r="AG48" s="1268"/>
      <c r="AH48" s="1268"/>
      <c r="AI48" s="1268"/>
      <c r="AJ48" s="1268"/>
      <c r="AK48" s="1268"/>
    </row>
    <row r="49" spans="1:38">
      <c r="A49" s="4"/>
      <c r="C49" s="2"/>
      <c r="D49" s="4"/>
      <c r="E49" s="4"/>
      <c r="F49" s="1268"/>
      <c r="G49" s="1268"/>
      <c r="H49" s="1268"/>
      <c r="I49" s="1268"/>
      <c r="J49" s="1268"/>
      <c r="K49" s="1268"/>
      <c r="L49" s="1268"/>
      <c r="M49" s="1268"/>
      <c r="N49" s="1268"/>
      <c r="O49" s="1268"/>
      <c r="P49" s="1268"/>
      <c r="Q49" s="1268"/>
      <c r="R49" s="1268"/>
      <c r="S49" s="1268"/>
      <c r="T49" s="1268"/>
      <c r="U49" s="1268"/>
      <c r="V49" s="1268"/>
      <c r="W49" s="1268"/>
      <c r="X49" s="1268"/>
      <c r="Y49" s="1268"/>
      <c r="Z49" s="1268"/>
      <c r="AA49" s="1268"/>
      <c r="AB49" s="1268"/>
      <c r="AC49" s="1268"/>
      <c r="AD49" s="1268"/>
      <c r="AE49" s="1268"/>
      <c r="AF49" s="1268"/>
      <c r="AG49" s="1268"/>
      <c r="AH49" s="1268"/>
      <c r="AI49" s="1268"/>
      <c r="AJ49" s="1268"/>
      <c r="AK49" s="1268"/>
    </row>
    <row r="50" spans="1:38">
      <c r="A50" s="4"/>
      <c r="C50" s="2"/>
      <c r="D50" s="4"/>
      <c r="F50" s="1268"/>
      <c r="G50" s="1268"/>
      <c r="H50" s="1268"/>
      <c r="I50" s="1268"/>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8"/>
      <c r="AI50" s="1268"/>
      <c r="AJ50" s="1268"/>
      <c r="AK50" s="1268"/>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71" t="s">
        <v>1191</v>
      </c>
      <c r="H54" s="1271"/>
      <c r="I54" s="1271"/>
      <c r="J54" s="1271"/>
      <c r="K54" s="1271"/>
      <c r="L54" s="1271"/>
      <c r="M54" s="1271"/>
      <c r="N54" s="1271"/>
      <c r="O54" s="1271"/>
      <c r="P54" s="1271"/>
      <c r="Q54" s="1271"/>
      <c r="R54" s="1271"/>
      <c r="S54" s="1271"/>
      <c r="T54" s="1271"/>
      <c r="U54" s="1271"/>
      <c r="V54" s="1271"/>
      <c r="W54" s="1271"/>
      <c r="X54" s="1271"/>
      <c r="Y54" s="1271"/>
      <c r="Z54" s="1271"/>
      <c r="AA54" s="1271"/>
      <c r="AB54" s="1271"/>
      <c r="AC54" s="1271"/>
      <c r="AD54" s="1271"/>
      <c r="AE54" s="1271"/>
      <c r="AF54" s="1271"/>
      <c r="AG54" s="1271"/>
      <c r="AH54" s="1271"/>
      <c r="AI54" s="1271"/>
      <c r="AJ54" s="1271"/>
      <c r="AK54" s="1271"/>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71" t="s">
        <v>575</v>
      </c>
      <c r="H56" s="1271"/>
      <c r="I56" s="1271"/>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71" t="s">
        <v>2041</v>
      </c>
      <c r="H57" s="1271"/>
      <c r="I57" s="1271"/>
      <c r="J57" s="1271"/>
      <c r="K57" s="1271"/>
      <c r="L57" s="1271"/>
      <c r="M57" s="1271"/>
      <c r="N57" s="1271"/>
      <c r="O57" s="1271"/>
      <c r="P57" s="1271"/>
      <c r="Q57" s="1271"/>
      <c r="R57" s="1271"/>
      <c r="S57" s="1271"/>
      <c r="T57" s="1271"/>
      <c r="U57" s="1271"/>
      <c r="V57" s="1271"/>
      <c r="W57" s="1271"/>
      <c r="X57" s="1271"/>
      <c r="Y57" s="1271"/>
      <c r="Z57" s="1271"/>
      <c r="AA57" s="1271"/>
      <c r="AB57" s="1271"/>
      <c r="AC57" s="1271"/>
      <c r="AD57" s="1271"/>
      <c r="AE57" s="1271"/>
      <c r="AF57" s="1271"/>
      <c r="AG57" s="1271"/>
      <c r="AH57" s="1271"/>
      <c r="AI57" s="1271"/>
      <c r="AJ57" s="1271"/>
      <c r="AK57" s="1271"/>
      <c r="AL57" s="1271"/>
    </row>
    <row r="58" spans="1:38">
      <c r="A58" s="204"/>
      <c r="B58" s="204"/>
      <c r="C58" s="205"/>
      <c r="D58" s="205"/>
      <c r="E58" s="204"/>
      <c r="F58" s="206"/>
      <c r="G58" s="1271"/>
      <c r="H58" s="1271"/>
      <c r="I58" s="1271"/>
      <c r="J58" s="1271"/>
      <c r="K58" s="1271"/>
      <c r="L58" s="1271"/>
      <c r="M58" s="1271"/>
      <c r="N58" s="1271"/>
      <c r="O58" s="1271"/>
      <c r="P58" s="1271"/>
      <c r="Q58" s="1271"/>
      <c r="R58" s="1271"/>
      <c r="S58" s="1271"/>
      <c r="T58" s="1271"/>
      <c r="U58" s="1271"/>
      <c r="V58" s="1271"/>
      <c r="W58" s="1271"/>
      <c r="X58" s="1271"/>
      <c r="Y58" s="1271"/>
      <c r="Z58" s="1271"/>
      <c r="AA58" s="1271"/>
      <c r="AB58" s="1271"/>
      <c r="AC58" s="1271"/>
      <c r="AD58" s="1271"/>
      <c r="AE58" s="1271"/>
      <c r="AF58" s="1271"/>
      <c r="AG58" s="1271"/>
      <c r="AH58" s="1271"/>
      <c r="AI58" s="1271"/>
      <c r="AJ58" s="1271"/>
      <c r="AK58" s="1271"/>
      <c r="AL58" s="1271"/>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8" t="s">
        <v>1166</v>
      </c>
      <c r="H64" s="1268"/>
      <c r="I64" s="1268"/>
      <c r="J64" s="1268"/>
      <c r="K64" s="1268"/>
      <c r="L64" s="1268"/>
      <c r="M64" s="1268"/>
      <c r="N64" s="1268"/>
      <c r="O64" s="1268"/>
      <c r="P64" s="1268"/>
      <c r="Q64" s="1268"/>
      <c r="R64" s="1268"/>
      <c r="S64" s="1268"/>
      <c r="T64" s="1268"/>
      <c r="U64" s="1268"/>
      <c r="V64" s="1268"/>
      <c r="W64" s="1268"/>
      <c r="X64" s="1268"/>
      <c r="Y64" s="1268"/>
      <c r="Z64" s="1268"/>
      <c r="AA64" s="1268"/>
      <c r="AB64" s="1268"/>
      <c r="AC64" s="1268"/>
      <c r="AD64" s="1268"/>
      <c r="AE64" s="1268"/>
      <c r="AF64" s="1268"/>
      <c r="AG64" s="1268"/>
      <c r="AH64" s="1268"/>
      <c r="AI64" s="1268"/>
      <c r="AJ64" s="1268"/>
      <c r="AK64" s="1268"/>
    </row>
    <row r="65" spans="1:37">
      <c r="A65" s="4"/>
      <c r="C65" s="2"/>
      <c r="D65" s="4"/>
      <c r="E65" s="4"/>
      <c r="G65" s="1268"/>
      <c r="H65" s="1268"/>
      <c r="I65" s="1268"/>
      <c r="J65" s="1268"/>
      <c r="K65" s="1268"/>
      <c r="L65" s="1268"/>
      <c r="M65" s="1268"/>
      <c r="N65" s="1268"/>
      <c r="O65" s="1268"/>
      <c r="P65" s="1268"/>
      <c r="Q65" s="1268"/>
      <c r="R65" s="1268"/>
      <c r="S65" s="1268"/>
      <c r="T65" s="1268"/>
      <c r="U65" s="1268"/>
      <c r="V65" s="1268"/>
      <c r="W65" s="1268"/>
      <c r="X65" s="1268"/>
      <c r="Y65" s="1268"/>
      <c r="Z65" s="1268"/>
      <c r="AA65" s="1268"/>
      <c r="AB65" s="1268"/>
      <c r="AC65" s="1268"/>
      <c r="AD65" s="1268"/>
      <c r="AE65" s="1268"/>
      <c r="AF65" s="1268"/>
      <c r="AG65" s="1268"/>
      <c r="AH65" s="1268"/>
      <c r="AI65" s="1268"/>
      <c r="AJ65" s="1268"/>
      <c r="AK65" s="1268"/>
    </row>
    <row r="66" spans="1:37">
      <c r="A66" s="4"/>
      <c r="C66" s="2"/>
      <c r="D66" s="4"/>
      <c r="E66" s="4"/>
      <c r="G66" s="1268"/>
      <c r="H66" s="1268"/>
      <c r="I66" s="1268"/>
      <c r="J66" s="1268"/>
      <c r="K66" s="1268"/>
      <c r="L66" s="1268"/>
      <c r="M66" s="1268"/>
      <c r="N66" s="1268"/>
      <c r="O66" s="1268"/>
      <c r="P66" s="1268"/>
      <c r="Q66" s="1268"/>
      <c r="R66" s="1268"/>
      <c r="S66" s="1268"/>
      <c r="T66" s="1268"/>
      <c r="U66" s="1268"/>
      <c r="V66" s="1268"/>
      <c r="W66" s="1268"/>
      <c r="X66" s="1268"/>
      <c r="Y66" s="1268"/>
      <c r="Z66" s="1268"/>
      <c r="AA66" s="1268"/>
      <c r="AB66" s="1268"/>
      <c r="AC66" s="1268"/>
      <c r="AD66" s="1268"/>
      <c r="AE66" s="1268"/>
      <c r="AF66" s="1268"/>
      <c r="AG66" s="1268"/>
      <c r="AH66" s="1268"/>
      <c r="AI66" s="1268"/>
      <c r="AJ66" s="1268"/>
      <c r="AK66" s="1268"/>
    </row>
    <row r="67" spans="1:37" ht="13.15" customHeight="1">
      <c r="A67" s="4"/>
      <c r="C67" s="2"/>
      <c r="D67" s="4"/>
      <c r="E67" s="4"/>
      <c r="F67" t="s">
        <v>509</v>
      </c>
      <c r="G67" s="1268" t="s">
        <v>1167</v>
      </c>
      <c r="H67" s="1268"/>
      <c r="I67" s="1268"/>
      <c r="J67" s="1268"/>
      <c r="K67" s="1268"/>
      <c r="L67" s="1268"/>
      <c r="M67" s="1268"/>
      <c r="N67" s="1268"/>
      <c r="O67" s="1268"/>
      <c r="P67" s="1268"/>
      <c r="Q67" s="1268"/>
      <c r="R67" s="1268"/>
      <c r="S67" s="1268"/>
      <c r="T67" s="1268"/>
      <c r="U67" s="1268"/>
      <c r="V67" s="1268"/>
      <c r="W67" s="1268"/>
      <c r="X67" s="1268"/>
      <c r="Y67" s="1268"/>
      <c r="Z67" s="1268"/>
      <c r="AA67" s="1268"/>
      <c r="AB67" s="1268"/>
      <c r="AC67" s="1268"/>
      <c r="AD67" s="1268"/>
      <c r="AE67" s="1268"/>
      <c r="AF67" s="1268"/>
      <c r="AG67" s="1268"/>
      <c r="AH67" s="1268"/>
      <c r="AI67" s="1268"/>
      <c r="AJ67" s="1268"/>
      <c r="AK67" s="1268"/>
    </row>
    <row r="68" spans="1:37">
      <c r="A68" s="4"/>
      <c r="C68" s="2"/>
      <c r="D68" s="4"/>
      <c r="E68" s="4"/>
      <c r="F68" s="27"/>
      <c r="G68" s="1268"/>
      <c r="H68" s="1268"/>
      <c r="I68" s="1268"/>
      <c r="J68" s="1268"/>
      <c r="K68" s="1268"/>
      <c r="L68" s="1268"/>
      <c r="M68" s="1268"/>
      <c r="N68" s="1268"/>
      <c r="O68" s="1268"/>
      <c r="P68" s="1268"/>
      <c r="Q68" s="1268"/>
      <c r="R68" s="1268"/>
      <c r="S68" s="1268"/>
      <c r="T68" s="1268"/>
      <c r="U68" s="1268"/>
      <c r="V68" s="1268"/>
      <c r="W68" s="1268"/>
      <c r="X68" s="1268"/>
      <c r="Y68" s="1268"/>
      <c r="Z68" s="1268"/>
      <c r="AA68" s="1268"/>
      <c r="AB68" s="1268"/>
      <c r="AC68" s="1268"/>
      <c r="AD68" s="1268"/>
      <c r="AE68" s="1268"/>
      <c r="AF68" s="1268"/>
      <c r="AG68" s="1268"/>
      <c r="AH68" s="1268"/>
      <c r="AI68" s="1268"/>
      <c r="AJ68" s="1268"/>
      <c r="AK68" s="1268"/>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8" t="s">
        <v>1168</v>
      </c>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1268"/>
      <c r="AD70" s="1268"/>
      <c r="AE70" s="1268"/>
      <c r="AF70" s="1268"/>
      <c r="AG70" s="1268"/>
      <c r="AH70" s="1268"/>
      <c r="AI70" s="1268"/>
      <c r="AJ70" s="1268"/>
      <c r="AK70" s="1268"/>
    </row>
    <row r="71" spans="1:37">
      <c r="A71" s="4"/>
      <c r="C71" s="2"/>
      <c r="D71" s="4"/>
      <c r="E71" s="4"/>
      <c r="F71" s="8"/>
      <c r="G71" s="1268"/>
      <c r="H71" s="1268"/>
      <c r="I71" s="1268"/>
      <c r="J71" s="1268"/>
      <c r="K71" s="1268"/>
      <c r="L71" s="1268"/>
      <c r="M71" s="1268"/>
      <c r="N71" s="1268"/>
      <c r="O71" s="1268"/>
      <c r="P71" s="1268"/>
      <c r="Q71" s="1268"/>
      <c r="R71" s="1268"/>
      <c r="S71" s="1268"/>
      <c r="T71" s="1268"/>
      <c r="U71" s="1268"/>
      <c r="V71" s="1268"/>
      <c r="W71" s="1268"/>
      <c r="X71" s="1268"/>
      <c r="Y71" s="1268"/>
      <c r="Z71" s="1268"/>
      <c r="AA71" s="1268"/>
      <c r="AB71" s="1268"/>
      <c r="AC71" s="1268"/>
      <c r="AD71" s="1268"/>
      <c r="AE71" s="1268"/>
      <c r="AF71" s="1268"/>
      <c r="AG71" s="1268"/>
      <c r="AH71" s="1268"/>
      <c r="AI71" s="1268"/>
      <c r="AJ71" s="1268"/>
      <c r="AK71" s="1268"/>
    </row>
    <row r="72" spans="1:37">
      <c r="A72" s="4"/>
      <c r="C72" s="2"/>
      <c r="D72" s="4"/>
      <c r="E72" s="4"/>
      <c r="F72" s="8" t="s">
        <v>509</v>
      </c>
      <c r="G72" s="1268" t="s">
        <v>1169</v>
      </c>
      <c r="H72" s="1268"/>
      <c r="I72" s="1268"/>
      <c r="J72" s="1268"/>
      <c r="K72" s="1268"/>
      <c r="L72" s="1268"/>
      <c r="M72" s="1268"/>
      <c r="N72" s="1268"/>
      <c r="O72" s="1268"/>
      <c r="P72" s="1268"/>
      <c r="Q72" s="1268"/>
      <c r="R72" s="1268"/>
      <c r="S72" s="1268"/>
      <c r="T72" s="1268"/>
      <c r="U72" s="1268"/>
      <c r="V72" s="1268"/>
      <c r="W72" s="1268"/>
      <c r="X72" s="1268"/>
      <c r="Y72" s="1268"/>
      <c r="Z72" s="1268"/>
      <c r="AA72" s="1268"/>
      <c r="AB72" s="1268"/>
      <c r="AC72" s="1268"/>
      <c r="AD72" s="1268"/>
      <c r="AE72" s="1268"/>
      <c r="AF72" s="1268"/>
      <c r="AG72" s="1268"/>
      <c r="AH72" s="1268"/>
      <c r="AI72" s="1268"/>
      <c r="AJ72" s="1268"/>
      <c r="AK72" s="1268"/>
    </row>
    <row r="73" spans="1:37">
      <c r="A73" s="4"/>
      <c r="C73" s="2"/>
      <c r="D73" s="4"/>
      <c r="E73" s="4"/>
      <c r="F73" s="8"/>
      <c r="G73" s="1268"/>
      <c r="H73" s="1268"/>
      <c r="I73" s="1268"/>
      <c r="J73" s="1268"/>
      <c r="K73" s="1268"/>
      <c r="L73" s="1268"/>
      <c r="M73" s="1268"/>
      <c r="N73" s="1268"/>
      <c r="O73" s="1268"/>
      <c r="P73" s="1268"/>
      <c r="Q73" s="1268"/>
      <c r="R73" s="1268"/>
      <c r="S73" s="1268"/>
      <c r="T73" s="1268"/>
      <c r="U73" s="1268"/>
      <c r="V73" s="1268"/>
      <c r="W73" s="1268"/>
      <c r="X73" s="1268"/>
      <c r="Y73" s="1268"/>
      <c r="Z73" s="1268"/>
      <c r="AA73" s="1268"/>
      <c r="AB73" s="1268"/>
      <c r="AC73" s="1268"/>
      <c r="AD73" s="1268"/>
      <c r="AE73" s="1268"/>
      <c r="AF73" s="1268"/>
      <c r="AG73" s="1268"/>
      <c r="AH73" s="1268"/>
      <c r="AI73" s="1268"/>
      <c r="AJ73" s="1268"/>
      <c r="AK73" s="1268"/>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8" t="s">
        <v>1170</v>
      </c>
      <c r="H80" s="1268"/>
      <c r="I80" s="1268"/>
      <c r="J80" s="1268"/>
      <c r="K80" s="1268"/>
      <c r="L80" s="1268"/>
      <c r="M80" s="1268"/>
      <c r="N80" s="1268"/>
      <c r="O80" s="1268"/>
      <c r="P80" s="1268"/>
      <c r="Q80" s="1268"/>
      <c r="R80" s="1268"/>
      <c r="S80" s="1268"/>
      <c r="T80" s="1268"/>
      <c r="U80" s="1268"/>
      <c r="V80" s="1268"/>
      <c r="W80" s="1268"/>
      <c r="X80" s="1268"/>
      <c r="Y80" s="1268"/>
      <c r="Z80" s="1268"/>
      <c r="AA80" s="1268"/>
      <c r="AB80" s="1268"/>
      <c r="AC80" s="1268"/>
      <c r="AD80" s="1268"/>
      <c r="AE80" s="1268"/>
      <c r="AF80" s="1268"/>
      <c r="AG80" s="1268"/>
      <c r="AH80" s="1268"/>
      <c r="AI80" s="1268"/>
      <c r="AJ80" s="1268"/>
      <c r="AK80" s="1268"/>
    </row>
    <row r="81" spans="1:37">
      <c r="A81" s="4"/>
      <c r="C81" s="2"/>
      <c r="D81" s="4"/>
      <c r="E81" s="4"/>
      <c r="F81" s="4"/>
      <c r="G81" s="1268"/>
      <c r="H81" s="1268"/>
      <c r="I81" s="1268"/>
      <c r="J81" s="1268"/>
      <c r="K81" s="1268"/>
      <c r="L81" s="1268"/>
      <c r="M81" s="1268"/>
      <c r="N81" s="1268"/>
      <c r="O81" s="1268"/>
      <c r="P81" s="1268"/>
      <c r="Q81" s="1268"/>
      <c r="R81" s="1268"/>
      <c r="S81" s="1268"/>
      <c r="T81" s="1268"/>
      <c r="U81" s="1268"/>
      <c r="V81" s="1268"/>
      <c r="W81" s="1268"/>
      <c r="X81" s="1268"/>
      <c r="Y81" s="1268"/>
      <c r="Z81" s="1268"/>
      <c r="AA81" s="1268"/>
      <c r="AB81" s="1268"/>
      <c r="AC81" s="1268"/>
      <c r="AD81" s="1268"/>
      <c r="AE81" s="1268"/>
      <c r="AF81" s="1268"/>
      <c r="AG81" s="1268"/>
      <c r="AH81" s="1268"/>
      <c r="AI81" s="1268"/>
      <c r="AJ81" s="1268"/>
      <c r="AK81" s="1268"/>
    </row>
    <row r="82" spans="1:37">
      <c r="A82" s="4"/>
      <c r="C82" s="2"/>
      <c r="D82" s="4"/>
      <c r="E82" s="4"/>
      <c r="F82" s="4"/>
      <c r="G82" s="1268"/>
      <c r="H82" s="1268"/>
      <c r="I82" s="1268"/>
      <c r="J82" s="1268"/>
      <c r="K82" s="1268"/>
      <c r="L82" s="1268"/>
      <c r="M82" s="1268"/>
      <c r="N82" s="1268"/>
      <c r="O82" s="1268"/>
      <c r="P82" s="1268"/>
      <c r="Q82" s="1268"/>
      <c r="R82" s="1268"/>
      <c r="S82" s="1268"/>
      <c r="T82" s="1268"/>
      <c r="U82" s="1268"/>
      <c r="V82" s="1268"/>
      <c r="W82" s="1268"/>
      <c r="X82" s="1268"/>
      <c r="Y82" s="1268"/>
      <c r="Z82" s="1268"/>
      <c r="AA82" s="1268"/>
      <c r="AB82" s="1268"/>
      <c r="AC82" s="1268"/>
      <c r="AD82" s="1268"/>
      <c r="AE82" s="1268"/>
      <c r="AF82" s="1268"/>
      <c r="AG82" s="1268"/>
      <c r="AH82" s="1268"/>
      <c r="AI82" s="1268"/>
      <c r="AJ82" s="1268"/>
      <c r="AK82" s="1268"/>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8" t="s">
        <v>1171</v>
      </c>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row>
    <row r="85" spans="1:37">
      <c r="A85" s="4"/>
      <c r="C85" s="2"/>
      <c r="D85" s="4"/>
      <c r="E85" s="4"/>
      <c r="F85" s="4"/>
      <c r="G85" s="1268"/>
      <c r="H85" s="1268"/>
      <c r="I85" s="1268"/>
      <c r="J85" s="1268"/>
      <c r="K85" s="1268"/>
      <c r="L85" s="1268"/>
      <c r="M85" s="1268"/>
      <c r="N85" s="1268"/>
      <c r="O85" s="1268"/>
      <c r="P85" s="1268"/>
      <c r="Q85" s="1268"/>
      <c r="R85" s="1268"/>
      <c r="S85" s="1268"/>
      <c r="T85" s="1268"/>
      <c r="U85" s="1268"/>
      <c r="V85" s="1268"/>
      <c r="W85" s="1268"/>
      <c r="X85" s="1268"/>
      <c r="Y85" s="1268"/>
      <c r="Z85" s="1268"/>
      <c r="AA85" s="1268"/>
      <c r="AB85" s="1268"/>
      <c r="AC85" s="1268"/>
      <c r="AD85" s="1268"/>
      <c r="AE85" s="1268"/>
      <c r="AF85" s="1268"/>
      <c r="AG85" s="1268"/>
      <c r="AH85" s="1268"/>
      <c r="AI85" s="1268"/>
      <c r="AJ85" s="1268"/>
      <c r="AK85" s="1268"/>
    </row>
    <row r="86" spans="1:37">
      <c r="A86" s="4"/>
      <c r="C86" s="2"/>
      <c r="D86" s="4"/>
      <c r="E86" s="4"/>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78" t="s">
        <v>1172</v>
      </c>
      <c r="H88" s="1278"/>
      <c r="I88" s="1278"/>
      <c r="J88" s="1278"/>
      <c r="K88" s="1278"/>
      <c r="L88" s="1278"/>
      <c r="M88" s="1278"/>
      <c r="N88" s="1278"/>
      <c r="O88" s="1278"/>
      <c r="P88" s="1278"/>
      <c r="Q88" s="1278"/>
      <c r="R88" s="1278"/>
      <c r="S88" s="1278"/>
      <c r="T88" s="1278"/>
      <c r="U88" s="1278"/>
      <c r="V88" s="1278"/>
      <c r="W88" s="1278"/>
      <c r="X88" s="1278"/>
      <c r="Y88" s="1278"/>
      <c r="Z88" s="1278"/>
      <c r="AA88" s="1278"/>
      <c r="AB88" s="1278"/>
      <c r="AC88" s="1278"/>
      <c r="AD88" s="1278"/>
      <c r="AE88" s="1278"/>
      <c r="AF88" s="1278"/>
      <c r="AG88" s="1278"/>
      <c r="AH88" s="1278"/>
      <c r="AI88" s="1278"/>
      <c r="AJ88" s="1278"/>
      <c r="AK88" s="1278"/>
    </row>
    <row r="89" spans="1:37">
      <c r="A89" s="4"/>
      <c r="C89" s="2"/>
      <c r="D89" s="4"/>
      <c r="E89" s="4"/>
      <c r="G89" s="1278"/>
      <c r="H89" s="1278"/>
      <c r="I89" s="1278"/>
      <c r="J89" s="1278"/>
      <c r="K89" s="1278"/>
      <c r="L89" s="1278"/>
      <c r="M89" s="1278"/>
      <c r="N89" s="1278"/>
      <c r="O89" s="1278"/>
      <c r="P89" s="1278"/>
      <c r="Q89" s="1278"/>
      <c r="R89" s="1278"/>
      <c r="S89" s="1278"/>
      <c r="T89" s="1278"/>
      <c r="U89" s="1278"/>
      <c r="V89" s="1278"/>
      <c r="W89" s="1278"/>
      <c r="X89" s="1278"/>
      <c r="Y89" s="1278"/>
      <c r="Z89" s="1278"/>
      <c r="AA89" s="1278"/>
      <c r="AB89" s="1278"/>
      <c r="AC89" s="1278"/>
      <c r="AD89" s="1278"/>
      <c r="AE89" s="1278"/>
      <c r="AF89" s="1278"/>
      <c r="AG89" s="1278"/>
      <c r="AH89" s="1278"/>
      <c r="AI89" s="1278"/>
      <c r="AJ89" s="1278"/>
      <c r="AK89" s="1278"/>
    </row>
    <row r="90" spans="1:37">
      <c r="A90" s="4"/>
      <c r="C90" s="2"/>
      <c r="D90" s="4"/>
      <c r="E90" s="4"/>
      <c r="G90" s="1278"/>
      <c r="H90" s="1278"/>
      <c r="I90" s="1278"/>
      <c r="J90" s="1278"/>
      <c r="K90" s="1278"/>
      <c r="L90" s="1278"/>
      <c r="M90" s="1278"/>
      <c r="N90" s="1278"/>
      <c r="O90" s="1278"/>
      <c r="P90" s="1278"/>
      <c r="Q90" s="1278"/>
      <c r="R90" s="1278"/>
      <c r="S90" s="1278"/>
      <c r="T90" s="1278"/>
      <c r="U90" s="1278"/>
      <c r="V90" s="1278"/>
      <c r="W90" s="1278"/>
      <c r="X90" s="1278"/>
      <c r="Y90" s="1278"/>
      <c r="Z90" s="1278"/>
      <c r="AA90" s="1278"/>
      <c r="AB90" s="1278"/>
      <c r="AC90" s="1278"/>
      <c r="AD90" s="1278"/>
      <c r="AE90" s="1278"/>
      <c r="AF90" s="1278"/>
      <c r="AG90" s="1278"/>
      <c r="AH90" s="1278"/>
      <c r="AI90" s="1278"/>
      <c r="AJ90" s="1278"/>
      <c r="AK90" s="1278"/>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8" t="s">
        <v>1173</v>
      </c>
      <c r="H92" s="1268"/>
      <c r="I92" s="1268"/>
      <c r="J92" s="1268"/>
      <c r="K92" s="1268"/>
      <c r="L92" s="1268"/>
      <c r="M92" s="1268"/>
      <c r="N92" s="1268"/>
      <c r="O92" s="1268"/>
      <c r="P92" s="1268"/>
      <c r="Q92" s="1268"/>
      <c r="R92" s="1268"/>
      <c r="S92" s="1268"/>
      <c r="T92" s="1268"/>
      <c r="U92" s="1268"/>
      <c r="V92" s="1268"/>
      <c r="W92" s="1268"/>
      <c r="X92" s="1268"/>
      <c r="Y92" s="1268"/>
      <c r="Z92" s="1268"/>
      <c r="AA92" s="1268"/>
      <c r="AB92" s="1268"/>
      <c r="AC92" s="1268"/>
      <c r="AD92" s="1268"/>
      <c r="AE92" s="1268"/>
      <c r="AF92" s="1268"/>
      <c r="AG92" s="1268"/>
      <c r="AH92" s="1268"/>
      <c r="AI92" s="1268"/>
      <c r="AJ92" s="1268"/>
      <c r="AK92" s="1268"/>
    </row>
    <row r="93" spans="1:37">
      <c r="A93" s="4"/>
      <c r="C93" s="2"/>
      <c r="D93" s="4"/>
      <c r="E93" s="4"/>
      <c r="G93" s="1268"/>
      <c r="H93" s="1268"/>
      <c r="I93" s="1268"/>
      <c r="J93" s="1268"/>
      <c r="K93" s="1268"/>
      <c r="L93" s="1268"/>
      <c r="M93" s="1268"/>
      <c r="N93" s="1268"/>
      <c r="O93" s="1268"/>
      <c r="P93" s="1268"/>
      <c r="Q93" s="1268"/>
      <c r="R93" s="1268"/>
      <c r="S93" s="1268"/>
      <c r="T93" s="1268"/>
      <c r="U93" s="1268"/>
      <c r="V93" s="1268"/>
      <c r="W93" s="1268"/>
      <c r="X93" s="1268"/>
      <c r="Y93" s="1268"/>
      <c r="Z93" s="1268"/>
      <c r="AA93" s="1268"/>
      <c r="AB93" s="1268"/>
      <c r="AC93" s="1268"/>
      <c r="AD93" s="1268"/>
      <c r="AE93" s="1268"/>
      <c r="AF93" s="1268"/>
      <c r="AG93" s="1268"/>
      <c r="AH93" s="1268"/>
      <c r="AI93" s="1268"/>
      <c r="AJ93" s="1268"/>
      <c r="AK93" s="1268"/>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8" t="s">
        <v>1174</v>
      </c>
      <c r="H95" s="1268"/>
      <c r="I95" s="1268"/>
      <c r="J95" s="1268"/>
      <c r="K95" s="1268"/>
      <c r="L95" s="1268"/>
      <c r="M95" s="1268"/>
      <c r="N95" s="1268"/>
      <c r="O95" s="1268"/>
      <c r="P95" s="1268"/>
      <c r="Q95" s="1268"/>
      <c r="R95" s="1268"/>
      <c r="S95" s="1268"/>
      <c r="T95" s="1268"/>
      <c r="U95" s="1268"/>
      <c r="V95" s="1268"/>
      <c r="W95" s="1268"/>
      <c r="X95" s="1268"/>
      <c r="Y95" s="1268"/>
      <c r="Z95" s="1268"/>
      <c r="AA95" s="1268"/>
      <c r="AB95" s="1268"/>
      <c r="AC95" s="1268"/>
      <c r="AD95" s="1268"/>
      <c r="AE95" s="1268"/>
      <c r="AF95" s="1268"/>
      <c r="AG95" s="1268"/>
      <c r="AH95" s="1268"/>
      <c r="AI95" s="1268"/>
      <c r="AJ95" s="1268"/>
      <c r="AK95" s="1268"/>
    </row>
    <row r="96" spans="1:37">
      <c r="A96" s="4"/>
      <c r="C96" s="2"/>
      <c r="D96" s="4"/>
      <c r="E96" s="4"/>
      <c r="G96" s="1268"/>
      <c r="H96" s="1268"/>
      <c r="I96" s="1268"/>
      <c r="J96" s="1268"/>
      <c r="K96" s="1268"/>
      <c r="L96" s="1268"/>
      <c r="M96" s="1268"/>
      <c r="N96" s="1268"/>
      <c r="O96" s="1268"/>
      <c r="P96" s="1268"/>
      <c r="Q96" s="1268"/>
      <c r="R96" s="1268"/>
      <c r="S96" s="1268"/>
      <c r="T96" s="1268"/>
      <c r="U96" s="1268"/>
      <c r="V96" s="1268"/>
      <c r="W96" s="1268"/>
      <c r="X96" s="1268"/>
      <c r="Y96" s="1268"/>
      <c r="Z96" s="1268"/>
      <c r="AA96" s="1268"/>
      <c r="AB96" s="1268"/>
      <c r="AC96" s="1268"/>
      <c r="AD96" s="1268"/>
      <c r="AE96" s="1268"/>
      <c r="AF96" s="1268"/>
      <c r="AG96" s="1268"/>
      <c r="AH96" s="1268"/>
      <c r="AI96" s="1268"/>
      <c r="AJ96" s="1268"/>
      <c r="AK96" s="1268"/>
    </row>
    <row r="97" spans="1:38">
      <c r="A97" s="4"/>
      <c r="C97" s="2"/>
      <c r="D97" s="4"/>
      <c r="E97" s="4"/>
      <c r="G97" s="1268"/>
      <c r="H97" s="1268"/>
      <c r="I97" s="1268"/>
      <c r="J97" s="1268"/>
      <c r="K97" s="1268"/>
      <c r="L97" s="1268"/>
      <c r="M97" s="1268"/>
      <c r="N97" s="1268"/>
      <c r="O97" s="1268"/>
      <c r="P97" s="1268"/>
      <c r="Q97" s="1268"/>
      <c r="R97" s="1268"/>
      <c r="S97" s="1268"/>
      <c r="T97" s="1268"/>
      <c r="U97" s="1268"/>
      <c r="V97" s="1268"/>
      <c r="W97" s="1268"/>
      <c r="X97" s="1268"/>
      <c r="Y97" s="1268"/>
      <c r="Z97" s="1268"/>
      <c r="AA97" s="1268"/>
      <c r="AB97" s="1268"/>
      <c r="AC97" s="1268"/>
      <c r="AD97" s="1268"/>
      <c r="AE97" s="1268"/>
      <c r="AF97" s="1268"/>
      <c r="AG97" s="1268"/>
      <c r="AH97" s="1268"/>
      <c r="AI97" s="1268"/>
      <c r="AJ97" s="1268"/>
      <c r="AK97" s="1268"/>
    </row>
    <row r="98" spans="1:38">
      <c r="A98" s="4"/>
      <c r="D98" s="99"/>
      <c r="E98" s="1279" t="s">
        <v>1175</v>
      </c>
      <c r="F98" s="1279"/>
      <c r="G98" s="1279"/>
      <c r="H98" s="1279"/>
      <c r="I98" s="1279"/>
      <c r="J98" s="1279"/>
      <c r="K98" s="1279"/>
      <c r="L98" s="1279"/>
      <c r="M98" s="1279"/>
      <c r="N98" s="1279"/>
      <c r="O98" s="1279"/>
      <c r="P98" s="1279"/>
      <c r="Q98" s="1279"/>
      <c r="R98" s="1279"/>
      <c r="S98" s="1279"/>
      <c r="T98" s="1279"/>
      <c r="U98" s="1279"/>
      <c r="V98" s="1279"/>
      <c r="W98" s="1279"/>
      <c r="X98" s="1279"/>
      <c r="Y98" s="1279"/>
      <c r="Z98" s="1279"/>
      <c r="AA98" s="1279"/>
      <c r="AB98" s="1279"/>
      <c r="AC98" s="1279"/>
      <c r="AD98" s="1279"/>
      <c r="AE98" s="1279"/>
      <c r="AF98" s="1279"/>
      <c r="AG98" s="1279"/>
      <c r="AH98" s="1279"/>
      <c r="AI98" s="1279"/>
      <c r="AJ98" s="1279"/>
      <c r="AK98" s="1279"/>
    </row>
    <row r="99" spans="1:38">
      <c r="A99" s="4"/>
      <c r="D99" s="99"/>
      <c r="E99" s="1279"/>
      <c r="F99" s="1279"/>
      <c r="G99" s="1279"/>
      <c r="H99" s="1279"/>
      <c r="I99" s="1279"/>
      <c r="J99" s="1279"/>
      <c r="K99" s="1279"/>
      <c r="L99" s="1279"/>
      <c r="M99" s="1279"/>
      <c r="N99" s="1279"/>
      <c r="O99" s="1279"/>
      <c r="P99" s="1279"/>
      <c r="Q99" s="1279"/>
      <c r="R99" s="1279"/>
      <c r="S99" s="1279"/>
      <c r="T99" s="1279"/>
      <c r="U99" s="1279"/>
      <c r="V99" s="1279"/>
      <c r="W99" s="1279"/>
      <c r="X99" s="1279"/>
      <c r="Y99" s="1279"/>
      <c r="Z99" s="1279"/>
      <c r="AA99" s="1279"/>
      <c r="AB99" s="1279"/>
      <c r="AC99" s="1279"/>
      <c r="AD99" s="1279"/>
      <c r="AE99" s="1279"/>
      <c r="AF99" s="1279"/>
      <c r="AG99" s="1279"/>
      <c r="AH99" s="1279"/>
      <c r="AI99" s="1279"/>
      <c r="AJ99" s="1279"/>
      <c r="AK99" s="1279"/>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466</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381</v>
      </c>
    </row>
    <row r="162" spans="3:20">
      <c r="E162" s="4" t="s">
        <v>929</v>
      </c>
      <c r="F162" s="4"/>
    </row>
    <row r="163" spans="3:20"/>
    <row r="164" spans="3:20">
      <c r="D164" s="2" t="s">
        <v>429</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8" t="s">
        <v>1176</v>
      </c>
      <c r="H205" s="1268"/>
      <c r="I205" s="1268"/>
      <c r="J205" s="1268"/>
      <c r="K205" s="1268"/>
      <c r="L205" s="1268"/>
      <c r="M205" s="1268"/>
      <c r="N205" s="1268"/>
      <c r="O205" s="1268"/>
      <c r="P205" s="1268"/>
      <c r="Q205" s="1268"/>
      <c r="R205" s="1268"/>
      <c r="S205" s="1268"/>
      <c r="T205" s="1268"/>
      <c r="U205" s="1268"/>
      <c r="V205" s="1268"/>
      <c r="W205" s="1268"/>
      <c r="X205" s="1268"/>
      <c r="Y205" s="1268"/>
      <c r="Z205" s="1268"/>
      <c r="AA205" s="1268"/>
      <c r="AB205" s="1268"/>
      <c r="AC205" s="1268"/>
      <c r="AD205" s="1268"/>
      <c r="AE205" s="1268"/>
      <c r="AF205" s="1268"/>
      <c r="AG205" s="1268"/>
      <c r="AH205" s="1268"/>
      <c r="AI205" s="1268"/>
      <c r="AJ205" s="1268"/>
      <c r="AK205" s="1268"/>
    </row>
    <row r="206" spans="2:37">
      <c r="B206" s="4"/>
      <c r="C206" s="4"/>
      <c r="D206" s="2"/>
      <c r="G206" s="1268"/>
      <c r="H206" s="1268"/>
      <c r="I206" s="1268"/>
      <c r="J206" s="1268"/>
      <c r="K206" s="1268"/>
      <c r="L206" s="1268"/>
      <c r="M206" s="1268"/>
      <c r="N206" s="1268"/>
      <c r="O206" s="1268"/>
      <c r="P206" s="1268"/>
      <c r="Q206" s="1268"/>
      <c r="R206" s="1268"/>
      <c r="S206" s="1268"/>
      <c r="T206" s="1268"/>
      <c r="U206" s="1268"/>
      <c r="V206" s="1268"/>
      <c r="W206" s="1268"/>
      <c r="X206" s="1268"/>
      <c r="Y206" s="1268"/>
      <c r="Z206" s="1268"/>
      <c r="AA206" s="1268"/>
      <c r="AB206" s="1268"/>
      <c r="AC206" s="1268"/>
      <c r="AD206" s="1268"/>
      <c r="AE206" s="1268"/>
      <c r="AF206" s="1268"/>
      <c r="AG206" s="1268"/>
      <c r="AH206" s="1268"/>
      <c r="AI206" s="1268"/>
      <c r="AJ206" s="1268"/>
      <c r="AK206" s="1268"/>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8" t="s">
        <v>1155</v>
      </c>
      <c r="G336" s="1268"/>
      <c r="H336" s="1268"/>
      <c r="I336" s="1268"/>
      <c r="J336" s="1268"/>
      <c r="K336" s="1268"/>
      <c r="L336" s="1268"/>
      <c r="M336" s="1268"/>
      <c r="N336" s="1268"/>
      <c r="O336" s="1268"/>
      <c r="P336" s="1268"/>
      <c r="Q336" s="1268"/>
      <c r="R336" s="1268"/>
      <c r="S336" s="1268"/>
      <c r="T336" s="1268"/>
      <c r="U336" s="1268"/>
      <c r="V336" s="1268"/>
      <c r="W336" s="1268"/>
      <c r="X336" s="1268"/>
      <c r="Y336" s="1268"/>
      <c r="Z336" s="1268"/>
      <c r="AA336" s="1268"/>
      <c r="AB336" s="1268"/>
      <c r="AC336" s="1268"/>
      <c r="AD336" s="1268"/>
      <c r="AE336" s="1268"/>
      <c r="AF336" s="1268"/>
      <c r="AG336" s="1268"/>
      <c r="AH336" s="1268"/>
      <c r="AI336" s="1268"/>
      <c r="AJ336" s="1268"/>
      <c r="AK336" s="1268"/>
    </row>
    <row r="337" spans="2:37">
      <c r="B337" s="2"/>
      <c r="E337" s="4"/>
      <c r="F337" s="1268"/>
      <c r="G337" s="1268"/>
      <c r="H337" s="1268"/>
      <c r="I337" s="1268"/>
      <c r="J337" s="1268"/>
      <c r="K337" s="1268"/>
      <c r="L337" s="1268"/>
      <c r="M337" s="1268"/>
      <c r="N337" s="1268"/>
      <c r="O337" s="1268"/>
      <c r="P337" s="1268"/>
      <c r="Q337" s="1268"/>
      <c r="R337" s="1268"/>
      <c r="S337" s="1268"/>
      <c r="T337" s="1268"/>
      <c r="U337" s="1268"/>
      <c r="V337" s="1268"/>
      <c r="W337" s="1268"/>
      <c r="X337" s="1268"/>
      <c r="Y337" s="1268"/>
      <c r="Z337" s="1268"/>
      <c r="AA337" s="1268"/>
      <c r="AB337" s="1268"/>
      <c r="AC337" s="1268"/>
      <c r="AD337" s="1268"/>
      <c r="AE337" s="1268"/>
      <c r="AF337" s="1268"/>
      <c r="AG337" s="1268"/>
      <c r="AH337" s="1268"/>
      <c r="AI337" s="1268"/>
      <c r="AJ337" s="1268"/>
      <c r="AK337" s="1268"/>
    </row>
    <row r="338" spans="2:37">
      <c r="B338" s="2"/>
      <c r="E338" s="4"/>
      <c r="F338" s="1268"/>
      <c r="G338" s="1268"/>
      <c r="H338" s="1268"/>
      <c r="I338" s="1268"/>
      <c r="J338" s="1268"/>
      <c r="K338" s="1268"/>
      <c r="L338" s="1268"/>
      <c r="M338" s="1268"/>
      <c r="N338" s="1268"/>
      <c r="O338" s="1268"/>
      <c r="P338" s="1268"/>
      <c r="Q338" s="1268"/>
      <c r="R338" s="1268"/>
      <c r="S338" s="1268"/>
      <c r="T338" s="1268"/>
      <c r="U338" s="1268"/>
      <c r="V338" s="1268"/>
      <c r="W338" s="1268"/>
      <c r="X338" s="1268"/>
      <c r="Y338" s="1268"/>
      <c r="Z338" s="1268"/>
      <c r="AA338" s="1268"/>
      <c r="AB338" s="1268"/>
      <c r="AC338" s="1268"/>
      <c r="AD338" s="1268"/>
      <c r="AE338" s="1268"/>
      <c r="AF338" s="1268"/>
      <c r="AG338" s="1268"/>
      <c r="AH338" s="1268"/>
      <c r="AI338" s="1268"/>
      <c r="AJ338" s="1268"/>
      <c r="AK338" s="1268"/>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15" customHeight="1">
      <c r="B341" s="2"/>
      <c r="E341" s="1271" t="s">
        <v>1235</v>
      </c>
      <c r="F341" s="1271"/>
      <c r="G341" s="1271"/>
      <c r="H341" s="1271"/>
      <c r="I341" s="1271"/>
      <c r="J341" s="1271"/>
      <c r="K341" s="1271"/>
      <c r="L341" s="1271"/>
      <c r="M341" s="1271"/>
      <c r="N341" s="1271"/>
      <c r="O341" s="1271"/>
      <c r="P341" s="1271"/>
      <c r="Q341" s="1271"/>
      <c r="R341" s="1271"/>
      <c r="S341" s="1271"/>
      <c r="T341" s="1271"/>
      <c r="U341" s="1271"/>
      <c r="V341" s="1271"/>
      <c r="W341" s="1271"/>
      <c r="X341" s="1271"/>
      <c r="Y341" s="1271"/>
      <c r="Z341" s="1271"/>
      <c r="AA341" s="1271"/>
      <c r="AB341" s="1271"/>
      <c r="AC341" s="1271"/>
      <c r="AD341" s="1271"/>
      <c r="AE341" s="1271"/>
      <c r="AF341" s="1271"/>
      <c r="AG341" s="1271"/>
      <c r="AH341" s="1271"/>
      <c r="AI341" s="1271"/>
      <c r="AJ341" s="1271"/>
      <c r="AK341" s="1271"/>
    </row>
    <row r="342" spans="2:37">
      <c r="B342" s="2"/>
      <c r="E342" s="1271"/>
      <c r="F342" s="1271"/>
      <c r="G342" s="1271"/>
      <c r="H342" s="1271"/>
      <c r="I342" s="1271"/>
      <c r="J342" s="1271"/>
      <c r="K342" s="1271"/>
      <c r="L342" s="1271"/>
      <c r="M342" s="1271"/>
      <c r="N342" s="1271"/>
      <c r="O342" s="1271"/>
      <c r="P342" s="1271"/>
      <c r="Q342" s="1271"/>
      <c r="R342" s="1271"/>
      <c r="S342" s="1271"/>
      <c r="T342" s="1271"/>
      <c r="U342" s="1271"/>
      <c r="V342" s="1271"/>
      <c r="W342" s="1271"/>
      <c r="X342" s="1271"/>
      <c r="Y342" s="1271"/>
      <c r="Z342" s="1271"/>
      <c r="AA342" s="1271"/>
      <c r="AB342" s="1271"/>
      <c r="AC342" s="1271"/>
      <c r="AD342" s="1271"/>
      <c r="AE342" s="1271"/>
      <c r="AF342" s="1271"/>
      <c r="AG342" s="1271"/>
      <c r="AH342" s="1271"/>
      <c r="AI342" s="1271"/>
      <c r="AJ342" s="1271"/>
      <c r="AK342" s="1271"/>
    </row>
    <row r="343" spans="2:37">
      <c r="B343" s="2"/>
      <c r="E343" s="1271"/>
      <c r="F343" s="1271"/>
      <c r="G343" s="1271"/>
      <c r="H343" s="1271"/>
      <c r="I343" s="1271"/>
      <c r="J343" s="1271"/>
      <c r="K343" s="1271"/>
      <c r="L343" s="1271"/>
      <c r="M343" s="1271"/>
      <c r="N343" s="1271"/>
      <c r="O343" s="1271"/>
      <c r="P343" s="1271"/>
      <c r="Q343" s="1271"/>
      <c r="R343" s="1271"/>
      <c r="S343" s="1271"/>
      <c r="T343" s="1271"/>
      <c r="U343" s="1271"/>
      <c r="V343" s="1271"/>
      <c r="W343" s="1271"/>
      <c r="X343" s="1271"/>
      <c r="Y343" s="1271"/>
      <c r="Z343" s="1271"/>
      <c r="AA343" s="1271"/>
      <c r="AB343" s="1271"/>
      <c r="AC343" s="1271"/>
      <c r="AD343" s="1271"/>
      <c r="AE343" s="1271"/>
      <c r="AF343" s="1271"/>
      <c r="AG343" s="1271"/>
      <c r="AH343" s="1271"/>
      <c r="AI343" s="1271"/>
      <c r="AJ343" s="1271"/>
      <c r="AK343" s="1271"/>
    </row>
    <row r="344" spans="2:37">
      <c r="B344" s="2"/>
      <c r="E344" s="1271"/>
      <c r="F344" s="1271"/>
      <c r="G344" s="1271"/>
      <c r="H344" s="1271"/>
      <c r="I344" s="1271"/>
      <c r="J344" s="1271"/>
      <c r="K344" s="1271"/>
      <c r="L344" s="1271"/>
      <c r="M344" s="1271"/>
      <c r="N344" s="1271"/>
      <c r="O344" s="1271"/>
      <c r="P344" s="1271"/>
      <c r="Q344" s="1271"/>
      <c r="R344" s="1271"/>
      <c r="S344" s="1271"/>
      <c r="T344" s="1271"/>
      <c r="U344" s="1271"/>
      <c r="V344" s="1271"/>
      <c r="W344" s="1271"/>
      <c r="X344" s="1271"/>
      <c r="Y344" s="1271"/>
      <c r="Z344" s="1271"/>
      <c r="AA344" s="1271"/>
      <c r="AB344" s="1271"/>
      <c r="AC344" s="1271"/>
      <c r="AD344" s="1271"/>
      <c r="AE344" s="1271"/>
      <c r="AF344" s="1271"/>
      <c r="AG344" s="1271"/>
      <c r="AH344" s="1271"/>
      <c r="AI344" s="1271"/>
      <c r="AJ344" s="1271"/>
      <c r="AK344" s="1271"/>
    </row>
    <row r="345" spans="2:37">
      <c r="B345" s="2"/>
      <c r="E345" s="1271"/>
      <c r="F345" s="1271"/>
      <c r="G345" s="1271"/>
      <c r="H345" s="1271"/>
      <c r="I345" s="1271"/>
      <c r="J345" s="1271"/>
      <c r="K345" s="1271"/>
      <c r="L345" s="1271"/>
      <c r="M345" s="1271"/>
      <c r="N345" s="1271"/>
      <c r="O345" s="1271"/>
      <c r="P345" s="1271"/>
      <c r="Q345" s="1271"/>
      <c r="R345" s="1271"/>
      <c r="S345" s="1271"/>
      <c r="T345" s="1271"/>
      <c r="U345" s="1271"/>
      <c r="V345" s="1271"/>
      <c r="W345" s="1271"/>
      <c r="X345" s="1271"/>
      <c r="Y345" s="1271"/>
      <c r="Z345" s="1271"/>
      <c r="AA345" s="1271"/>
      <c r="AB345" s="1271"/>
      <c r="AC345" s="1271"/>
      <c r="AD345" s="1271"/>
      <c r="AE345" s="1271"/>
      <c r="AF345" s="1271"/>
      <c r="AG345" s="1271"/>
      <c r="AH345" s="1271"/>
      <c r="AI345" s="1271"/>
      <c r="AJ345" s="1271"/>
      <c r="AK345" s="1271"/>
    </row>
    <row r="346" spans="2:37">
      <c r="B346" s="2"/>
      <c r="E346" s="3" t="s">
        <v>112</v>
      </c>
      <c r="F346" s="1268" t="s">
        <v>1237</v>
      </c>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3"/>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c r="F348" s="1268"/>
      <c r="G348" s="1268"/>
      <c r="H348" s="1268"/>
      <c r="I348" s="1268"/>
      <c r="J348" s="1268"/>
      <c r="K348" s="1268"/>
      <c r="L348" s="1268"/>
      <c r="M348" s="1268"/>
      <c r="N348" s="1268"/>
      <c r="O348" s="1268"/>
      <c r="P348" s="1268"/>
      <c r="Q348" s="1268"/>
      <c r="R348" s="1268"/>
      <c r="S348" s="1268"/>
      <c r="T348" s="1268"/>
      <c r="U348" s="1268"/>
      <c r="V348" s="1268"/>
      <c r="W348" s="1268"/>
      <c r="X348" s="1268"/>
      <c r="Y348" s="1268"/>
      <c r="Z348" s="1268"/>
      <c r="AA348" s="1268"/>
      <c r="AB348" s="1268"/>
      <c r="AC348" s="1268"/>
      <c r="AD348" s="1268"/>
      <c r="AE348" s="1268"/>
      <c r="AF348" s="1268"/>
      <c r="AG348" s="1268"/>
      <c r="AH348" s="1268"/>
      <c r="AI348" s="1268"/>
      <c r="AJ348" s="1268"/>
      <c r="AK348" s="1268"/>
    </row>
    <row r="349" spans="2:37">
      <c r="B349" s="2"/>
      <c r="E349" s="3"/>
      <c r="F349" s="1268"/>
      <c r="G349" s="1268"/>
      <c r="H349" s="1268"/>
      <c r="I349" s="1268"/>
      <c r="J349" s="1268"/>
      <c r="K349" s="1268"/>
      <c r="L349" s="1268"/>
      <c r="M349" s="1268"/>
      <c r="N349" s="1268"/>
      <c r="O349" s="1268"/>
      <c r="P349" s="1268"/>
      <c r="Q349" s="1268"/>
      <c r="R349" s="1268"/>
      <c r="S349" s="1268"/>
      <c r="T349" s="1268"/>
      <c r="U349" s="1268"/>
      <c r="V349" s="1268"/>
      <c r="W349" s="1268"/>
      <c r="X349" s="1268"/>
      <c r="Y349" s="1268"/>
      <c r="Z349" s="1268"/>
      <c r="AA349" s="1268"/>
      <c r="AB349" s="1268"/>
      <c r="AC349" s="1268"/>
      <c r="AD349" s="1268"/>
      <c r="AE349" s="1268"/>
      <c r="AF349" s="1268"/>
      <c r="AG349" s="1268"/>
      <c r="AH349" s="1268"/>
      <c r="AI349" s="1268"/>
      <c r="AJ349" s="1268"/>
      <c r="AK349" s="1268"/>
    </row>
    <row r="350" spans="2:37">
      <c r="B350" s="2"/>
      <c r="E350" s="3" t="s">
        <v>113</v>
      </c>
      <c r="F350" s="1268" t="s">
        <v>1236</v>
      </c>
      <c r="G350" s="1268"/>
      <c r="H350" s="1268"/>
      <c r="I350" s="1268"/>
      <c r="J350" s="1268"/>
      <c r="K350" s="1268"/>
      <c r="L350" s="1268"/>
      <c r="M350" s="1268"/>
      <c r="N350" s="1268"/>
      <c r="O350" s="1268"/>
      <c r="P350" s="1268"/>
      <c r="Q350" s="1268"/>
      <c r="R350" s="1268"/>
      <c r="S350" s="1268"/>
      <c r="T350" s="1268"/>
      <c r="U350" s="1268"/>
      <c r="V350" s="1268"/>
      <c r="W350" s="1268"/>
      <c r="X350" s="1268"/>
      <c r="Y350" s="1268"/>
      <c r="Z350" s="1268"/>
      <c r="AA350" s="1268"/>
      <c r="AB350" s="1268"/>
      <c r="AC350" s="1268"/>
      <c r="AD350" s="1268"/>
      <c r="AE350" s="1268"/>
      <c r="AF350" s="1268"/>
      <c r="AG350" s="1268"/>
      <c r="AH350" s="1268"/>
      <c r="AI350" s="1268"/>
      <c r="AJ350" s="1268"/>
      <c r="AK350" s="1268"/>
    </row>
    <row r="351" spans="2:37">
      <c r="B351" s="2"/>
      <c r="F351" s="1268"/>
      <c r="G351" s="1268"/>
      <c r="H351" s="1268"/>
      <c r="I351" s="1268"/>
      <c r="J351" s="1268"/>
      <c r="K351" s="1268"/>
      <c r="L351" s="1268"/>
      <c r="M351" s="1268"/>
      <c r="N351" s="1268"/>
      <c r="O351" s="1268"/>
      <c r="P351" s="1268"/>
      <c r="Q351" s="1268"/>
      <c r="R351" s="1268"/>
      <c r="S351" s="1268"/>
      <c r="T351" s="1268"/>
      <c r="U351" s="1268"/>
      <c r="V351" s="1268"/>
      <c r="W351" s="1268"/>
      <c r="X351" s="1268"/>
      <c r="Y351" s="1268"/>
      <c r="Z351" s="1268"/>
      <c r="AA351" s="1268"/>
      <c r="AB351" s="1268"/>
      <c r="AC351" s="1268"/>
      <c r="AD351" s="1268"/>
      <c r="AE351" s="1268"/>
      <c r="AF351" s="1268"/>
      <c r="AG351" s="1268"/>
      <c r="AH351" s="1268"/>
      <c r="AI351" s="1268"/>
      <c r="AJ351" s="1268"/>
      <c r="AK351" s="1268"/>
    </row>
    <row r="352" spans="2:37">
      <c r="B352" s="2"/>
      <c r="F352" s="1268"/>
      <c r="G352" s="1268"/>
      <c r="H352" s="1268"/>
      <c r="I352" s="1268"/>
      <c r="J352" s="1268"/>
      <c r="K352" s="1268"/>
      <c r="L352" s="1268"/>
      <c r="M352" s="1268"/>
      <c r="N352" s="1268"/>
      <c r="O352" s="1268"/>
      <c r="P352" s="1268"/>
      <c r="Q352" s="1268"/>
      <c r="R352" s="1268"/>
      <c r="S352" s="1268"/>
      <c r="T352" s="1268"/>
      <c r="U352" s="1268"/>
      <c r="V352" s="1268"/>
      <c r="W352" s="1268"/>
      <c r="X352" s="1268"/>
      <c r="Y352" s="1268"/>
      <c r="Z352" s="1268"/>
      <c r="AA352" s="1268"/>
      <c r="AB352" s="1268"/>
      <c r="AC352" s="1268"/>
      <c r="AD352" s="1268"/>
      <c r="AE352" s="1268"/>
      <c r="AF352" s="1268"/>
      <c r="AG352" s="1268"/>
      <c r="AH352" s="1268"/>
      <c r="AI352" s="1268"/>
      <c r="AJ352" s="1268"/>
      <c r="AK352" s="1268"/>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72" t="s">
        <v>1226</v>
      </c>
      <c r="F365" s="1272"/>
      <c r="G365" s="1272"/>
      <c r="H365" s="1272"/>
      <c r="I365" s="1272"/>
      <c r="J365" s="1272"/>
      <c r="K365" s="1272"/>
      <c r="L365" s="1272"/>
      <c r="M365" s="1272"/>
      <c r="N365" s="1272"/>
      <c r="O365" s="1272"/>
      <c r="P365" s="1272"/>
      <c r="Q365" s="1272"/>
      <c r="R365" s="1272"/>
      <c r="S365" s="1272"/>
      <c r="T365" s="1272"/>
      <c r="U365" s="1272"/>
      <c r="V365" s="1272"/>
      <c r="W365" s="1272"/>
      <c r="X365" s="1272"/>
      <c r="Y365" s="1272"/>
      <c r="Z365" s="1272"/>
      <c r="AA365" s="1272"/>
      <c r="AB365" s="1272"/>
      <c r="AC365" s="1272"/>
      <c r="AD365" s="1272"/>
      <c r="AE365" s="1272"/>
      <c r="AF365" s="1272"/>
      <c r="AG365" s="1272"/>
      <c r="AH365" s="1272"/>
      <c r="AI365" s="1272"/>
      <c r="AJ365" s="1272"/>
      <c r="AK365" s="1272"/>
      <c r="AL365" s="1272"/>
    </row>
    <row r="366" spans="1:38">
      <c r="B366" s="2"/>
      <c r="E366" s="1272"/>
      <c r="F366" s="1272"/>
      <c r="G366" s="1272"/>
      <c r="H366" s="1272"/>
      <c r="I366" s="1272"/>
      <c r="J366" s="1272"/>
      <c r="K366" s="1272"/>
      <c r="L366" s="1272"/>
      <c r="M366" s="1272"/>
      <c r="N366" s="1272"/>
      <c r="O366" s="1272"/>
      <c r="P366" s="1272"/>
      <c r="Q366" s="1272"/>
      <c r="R366" s="1272"/>
      <c r="S366" s="1272"/>
      <c r="T366" s="1272"/>
      <c r="U366" s="1272"/>
      <c r="V366" s="1272"/>
      <c r="W366" s="1272"/>
      <c r="X366" s="1272"/>
      <c r="Y366" s="1272"/>
      <c r="Z366" s="1272"/>
      <c r="AA366" s="1272"/>
      <c r="AB366" s="1272"/>
      <c r="AC366" s="1272"/>
      <c r="AD366" s="1272"/>
      <c r="AE366" s="1272"/>
      <c r="AF366" s="1272"/>
      <c r="AG366" s="1272"/>
      <c r="AH366" s="1272"/>
      <c r="AI366" s="1272"/>
      <c r="AJ366" s="1272"/>
      <c r="AK366" s="1272"/>
      <c r="AL366" s="1272"/>
    </row>
    <row r="367" spans="1:38" s="1274" customFormat="1">
      <c r="A367"/>
      <c r="B367" s="2"/>
      <c r="C367"/>
      <c r="D367"/>
      <c r="E367" s="1273" t="s">
        <v>1258</v>
      </c>
    </row>
    <row r="368" spans="1:38" s="1274"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8" t="s">
        <v>1269</v>
      </c>
      <c r="G386" s="1268"/>
      <c r="H386" s="1268"/>
      <c r="I386" s="1268"/>
      <c r="J386" s="1268"/>
      <c r="K386" s="1268"/>
      <c r="L386" s="1268"/>
      <c r="M386" s="1268"/>
      <c r="N386" s="1268"/>
      <c r="O386" s="1268"/>
      <c r="P386" s="1268"/>
      <c r="Q386" s="1268"/>
      <c r="R386" s="1268"/>
      <c r="S386" s="1268"/>
      <c r="T386" s="1268"/>
      <c r="U386" s="1268"/>
      <c r="V386" s="1268"/>
      <c r="W386" s="1268"/>
      <c r="X386" s="1268"/>
      <c r="Y386" s="1268"/>
      <c r="Z386" s="1268"/>
      <c r="AA386" s="1268"/>
      <c r="AB386" s="1268"/>
      <c r="AC386" s="1268"/>
      <c r="AD386" s="1268"/>
      <c r="AE386" s="1268"/>
      <c r="AF386" s="1268"/>
      <c r="AG386" s="1268"/>
      <c r="AH386" s="1268"/>
      <c r="AI386" s="1268"/>
      <c r="AJ386" s="1268"/>
      <c r="AK386" s="1268"/>
    </row>
    <row r="387" spans="1:38">
      <c r="B387" s="2"/>
      <c r="E387" s="3"/>
      <c r="F387" s="1268"/>
      <c r="G387" s="1268"/>
      <c r="H387" s="1268"/>
      <c r="I387" s="1268"/>
      <c r="J387" s="1268"/>
      <c r="K387" s="1268"/>
      <c r="L387" s="1268"/>
      <c r="M387" s="1268"/>
      <c r="N387" s="1268"/>
      <c r="O387" s="1268"/>
      <c r="P387" s="1268"/>
      <c r="Q387" s="1268"/>
      <c r="R387" s="1268"/>
      <c r="S387" s="1268"/>
      <c r="T387" s="1268"/>
      <c r="U387" s="1268"/>
      <c r="V387" s="1268"/>
      <c r="W387" s="1268"/>
      <c r="X387" s="1268"/>
      <c r="Y387" s="1268"/>
      <c r="Z387" s="1268"/>
      <c r="AA387" s="1268"/>
      <c r="AB387" s="1268"/>
      <c r="AC387" s="1268"/>
      <c r="AD387" s="1268"/>
      <c r="AE387" s="1268"/>
      <c r="AF387" s="1268"/>
      <c r="AG387" s="1268"/>
      <c r="AH387" s="1268"/>
      <c r="AI387" s="1268"/>
      <c r="AJ387" s="1268"/>
      <c r="AK387" s="1268"/>
    </row>
    <row r="388" spans="1:38">
      <c r="B388" s="2"/>
      <c r="E388" s="3"/>
      <c r="F388" s="1268"/>
      <c r="G388" s="1268"/>
      <c r="H388" s="1268"/>
      <c r="I388" s="1268"/>
      <c r="J388" s="1268"/>
      <c r="K388" s="1268"/>
      <c r="L388" s="1268"/>
      <c r="M388" s="1268"/>
      <c r="N388" s="1268"/>
      <c r="O388" s="1268"/>
      <c r="P388" s="1268"/>
      <c r="Q388" s="1268"/>
      <c r="R388" s="1268"/>
      <c r="S388" s="1268"/>
      <c r="T388" s="1268"/>
      <c r="U388" s="1268"/>
      <c r="V388" s="1268"/>
      <c r="W388" s="1268"/>
      <c r="X388" s="1268"/>
      <c r="Y388" s="1268"/>
      <c r="Z388" s="1268"/>
      <c r="AA388" s="1268"/>
      <c r="AB388" s="1268"/>
      <c r="AC388" s="1268"/>
      <c r="AD388" s="1268"/>
      <c r="AE388" s="1268"/>
      <c r="AF388" s="1268"/>
      <c r="AG388" s="1268"/>
      <c r="AH388" s="1268"/>
      <c r="AI388" s="1268"/>
      <c r="AJ388" s="1268"/>
      <c r="AK388" s="1268"/>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9" workbookViewId="0">
      <selection activeCell="G99" sqref="G99"/>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8" t="s">
        <v>1585</v>
      </c>
      <c r="B1" s="2668"/>
      <c r="C1" s="2668"/>
      <c r="D1" s="2668"/>
      <c r="E1" s="2668"/>
      <c r="F1" s="2668"/>
      <c r="G1" s="2668"/>
      <c r="H1" s="2668"/>
      <c r="I1" s="2668"/>
      <c r="J1" s="2668"/>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75510898</v>
      </c>
      <c r="I3" s="1105"/>
    </row>
    <row r="4" spans="1:13" s="1051" customFormat="1" ht="20.100000000000001" customHeight="1">
      <c r="B4" s="1094"/>
      <c r="D4" s="1108"/>
      <c r="F4" s="1092" t="s">
        <v>1992</v>
      </c>
      <c r="G4" s="1091" t="s">
        <v>1991</v>
      </c>
      <c r="H4" s="1093">
        <f>I18</f>
        <v>51379271.019607842</v>
      </c>
      <c r="I4" s="1095"/>
      <c r="K4" s="1055"/>
    </row>
    <row r="5" spans="1:13" s="1051" customFormat="1" ht="20.100000000000001" customHeight="1" thickBot="1">
      <c r="B5" s="1096"/>
      <c r="C5" s="1097"/>
      <c r="D5" s="1109"/>
      <c r="E5" s="1098"/>
      <c r="F5" s="1109" t="s">
        <v>1942</v>
      </c>
      <c r="G5" s="1110"/>
      <c r="H5" s="1106">
        <f>IFERROR(H3/H4,0)</f>
        <v>1.4696763208489825</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1" t="s">
        <v>1940</v>
      </c>
      <c r="C8" s="2672"/>
      <c r="D8" s="2672"/>
      <c r="E8" s="2673"/>
      <c r="G8" s="2674" t="s">
        <v>1941</v>
      </c>
      <c r="H8" s="2675"/>
      <c r="I8" s="2676"/>
      <c r="K8" s="1057"/>
    </row>
    <row r="9" spans="1:13" ht="15" customHeight="1">
      <c r="A9" s="1046"/>
      <c r="B9" s="2669" t="s">
        <v>1974</v>
      </c>
      <c r="C9" s="2669"/>
      <c r="D9" s="2669"/>
      <c r="E9" s="1059">
        <f>G33</f>
        <v>11297500</v>
      </c>
      <c r="G9" s="2677" t="s">
        <v>1972</v>
      </c>
      <c r="H9" s="2677"/>
      <c r="I9" s="1060">
        <f>SUMIF(Application!M554:M565,"Loan, Tax-Exempt",Application!AM554:AM565)</f>
        <v>82584672</v>
      </c>
      <c r="K9" s="1061"/>
      <c r="M9" s="1062"/>
    </row>
    <row r="10" spans="1:13" ht="15" customHeight="1" thickBot="1">
      <c r="A10" s="1046"/>
      <c r="B10" s="2669" t="s">
        <v>1975</v>
      </c>
      <c r="C10" s="2669"/>
      <c r="D10" s="2669"/>
      <c r="E10" s="1060">
        <f>G47</f>
        <v>46680948</v>
      </c>
      <c r="G10" s="2681" t="s">
        <v>1943</v>
      </c>
      <c r="H10" s="2681"/>
      <c r="I10" s="1140">
        <f>'Basis &amp; Credits'!AB78</f>
        <v>0</v>
      </c>
      <c r="M10" s="1062"/>
    </row>
    <row r="11" spans="1:13" ht="15" customHeight="1">
      <c r="A11" s="1046"/>
      <c r="B11" s="2685" t="s">
        <v>2264</v>
      </c>
      <c r="C11" s="2686"/>
      <c r="D11" s="2687"/>
      <c r="E11" s="1060">
        <f>SUM(E12,E13)</f>
        <v>1490000</v>
      </c>
      <c r="G11" s="2684" t="s">
        <v>1983</v>
      </c>
      <c r="H11" s="2684"/>
      <c r="I11" s="1139">
        <f>I9+I10</f>
        <v>82584672</v>
      </c>
      <c r="M11" s="1062"/>
    </row>
    <row r="12" spans="1:13" ht="15" customHeight="1">
      <c r="A12" s="1063"/>
      <c r="B12" s="2670" t="s">
        <v>2266</v>
      </c>
      <c r="C12" s="2670"/>
      <c r="D12" s="2670"/>
      <c r="E12" s="1165">
        <f>G56</f>
        <v>490000</v>
      </c>
      <c r="M12" s="1062"/>
    </row>
    <row r="13" spans="1:13" ht="15" customHeight="1">
      <c r="A13" s="1049"/>
      <c r="B13" s="2670" t="s">
        <v>2267</v>
      </c>
      <c r="C13" s="2670"/>
      <c r="D13" s="2670"/>
      <c r="E13" s="1165">
        <f>G65</f>
        <v>1000000</v>
      </c>
      <c r="G13" s="2674" t="s">
        <v>2006</v>
      </c>
      <c r="H13" s="2675"/>
      <c r="I13" s="2676"/>
      <c r="M13" s="1062"/>
    </row>
    <row r="14" spans="1:13" ht="15" customHeight="1">
      <c r="A14" s="1049"/>
      <c r="B14" s="2685" t="s">
        <v>2265</v>
      </c>
      <c r="C14" s="2686"/>
      <c r="D14" s="2687"/>
      <c r="E14" s="1167">
        <f>MAX(E15,E16)+E17</f>
        <v>16042450</v>
      </c>
      <c r="G14" s="2677" t="s">
        <v>139</v>
      </c>
      <c r="H14" s="2677"/>
      <c r="I14" s="1064">
        <f>15%*(AND(G120="Yes",G122&lt;&gt;""))</f>
        <v>0.15</v>
      </c>
      <c r="M14" s="1062"/>
    </row>
    <row r="15" spans="1:13" ht="15" customHeight="1">
      <c r="A15" s="1049"/>
      <c r="B15" s="2688" t="s">
        <v>2271</v>
      </c>
      <c r="C15" s="2689"/>
      <c r="D15" s="2690"/>
      <c r="E15" s="1165">
        <f>G80</f>
        <v>2259500</v>
      </c>
      <c r="G15" s="1137" t="s">
        <v>1984</v>
      </c>
      <c r="H15" s="1137"/>
      <c r="I15" s="1064">
        <f>IF(Application!AJ1032&gt;0,10%,IF(Application!AJ1036&gt;0,5%,0))</f>
        <v>0.1</v>
      </c>
      <c r="M15" s="1062"/>
    </row>
    <row r="16" spans="1:13" ht="15" customHeight="1">
      <c r="A16" s="1049"/>
      <c r="B16" s="2688" t="s">
        <v>2270</v>
      </c>
      <c r="C16" s="2689"/>
      <c r="D16" s="2690"/>
      <c r="E16" s="1165">
        <f>G90</f>
        <v>0</v>
      </c>
      <c r="G16" s="2677" t="s">
        <v>1985</v>
      </c>
      <c r="H16" s="2677"/>
      <c r="I16" s="1064">
        <f>G132</f>
        <v>0.127859477124183</v>
      </c>
    </row>
    <row r="17" spans="1:21" ht="15" customHeight="1" thickBot="1">
      <c r="A17" s="1049"/>
      <c r="B17" s="2688" t="s">
        <v>2269</v>
      </c>
      <c r="C17" s="2689"/>
      <c r="D17" s="2690"/>
      <c r="E17" s="1165">
        <f>G115</f>
        <v>13782950</v>
      </c>
      <c r="G17" s="2677" t="s">
        <v>2279</v>
      </c>
      <c r="H17" s="2677"/>
      <c r="I17" s="1064">
        <f>IF(AND(G139="Yes",OR(G136,G137)),IF(G143&gt;15%,15%,G143),0)</f>
        <v>0</v>
      </c>
    </row>
    <row r="18" spans="1:21" ht="15" customHeight="1">
      <c r="A18" s="1046"/>
      <c r="B18" s="2680" t="s">
        <v>1939</v>
      </c>
      <c r="C18" s="2680"/>
      <c r="D18" s="2680"/>
      <c r="E18" s="1111">
        <f>SUM(E9:E11,E14)</f>
        <v>75510898</v>
      </c>
      <c r="G18" s="1138" t="s">
        <v>1973</v>
      </c>
      <c r="H18" s="1138"/>
      <c r="I18" s="1112">
        <f>I11-((I11*I14)+(I11*I15)+(I11*I16)+(I11*I17))</f>
        <v>51379271.019607842</v>
      </c>
      <c r="M18" s="1065">
        <f>SUM(Cdlac[Quantity])</f>
        <v>193</v>
      </c>
      <c r="O18" s="1084" t="s">
        <v>582</v>
      </c>
      <c r="P18" s="1044">
        <f>MATCH(Application!T189,Application!CB160:CB217,0)</f>
        <v>43</v>
      </c>
      <c r="T18" s="1065">
        <f>SUM(Cdlac[Population])</f>
        <v>49</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1</v>
      </c>
      <c r="N20" s="1071">
        <f>Application!AC718</f>
        <v>0.3</v>
      </c>
      <c r="O20" s="1071">
        <f>IF(Cdlac[[#This Row],[Quantity]]&gt;0,IF(Cdlac[[#This Row],[Federal]],30%,IF(AND(OR(NOT($G$38),$G$38=""),$G$43),40%,Cdlac[[#This Row],[iAMI]])),"")</f>
        <v>0.3</v>
      </c>
      <c r="P20" s="1065" cm="1">
        <f t="array" ref="P20">IF(Cdlac[[#This Row],[Quantity]]&gt;0,INDEX(TcacRents,$P$18,Cdlac[[#This Row],[Bedrooms]]+1)*Cdlac[[#This Row],[AMI]],"")</f>
        <v>1054.8</v>
      </c>
      <c r="Q20" s="1164"/>
      <c r="R20" s="1065" cm="1">
        <f t="array" ref="R20">IF(Cdlac[[#This Row],[Quantity]]&gt;0,INDEX(HudFmrs,$P$18,Cdlac[[#This Row],[Bedrooms]]+1),"")</f>
        <v>2608</v>
      </c>
      <c r="S20" s="1065">
        <f>IF(Cdlac[[#This Row],[Quantity]]&gt;0,MAX(0,Cdlac[[#This Row],[Fair Market Rent]]-IF(AND($G$37,$G$38,$G$38&lt;&gt;"",NOT(Cdlac[[#This Row],[Federal]]),Cdlac[[#This Row],[Preservation Rent]]&lt;&gt;""),Cdlac[[#This Row],[Preservation Rent]],Cdlac[[#This Row],[Restricted Rent]])),"")</f>
        <v>1553.2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62</v>
      </c>
      <c r="N21" s="1071">
        <f>Application!AC719</f>
        <v>0.5</v>
      </c>
      <c r="O21" s="1071">
        <f>IF(Cdlac[[#This Row],[Quantity]]&gt;0,IF(Cdlac[[#This Row],[Federal]],30%,IF(AND(OR(NOT($G$38),$G$38=""),$G$43),40%,Cdlac[[#This Row],[iAMI]])),"")</f>
        <v>0.5</v>
      </c>
      <c r="P21" s="1065" cm="1">
        <f t="array" ref="P21">IF(Cdlac[[#This Row],[Quantity]]&gt;0,INDEX(TcacRents,$P$18,Cdlac[[#This Row],[Bedrooms]]+1)*Cdlac[[#This Row],[AMI]],"")</f>
        <v>1758</v>
      </c>
      <c r="Q21" s="1164"/>
      <c r="R21" s="1065" cm="1">
        <f t="array" ref="R21">IF(Cdlac[[#This Row],[Quantity]]&gt;0,INDEX(HudFmrs,$P$18,Cdlac[[#This Row],[Bedrooms]]+1),"")</f>
        <v>2608</v>
      </c>
      <c r="S21" s="1065">
        <f>IF(Cdlac[[#This Row],[Quantity]]&gt;0,MAX(0,Cdlac[[#This Row],[Fair Market Rent]]-IF(AND($G$37,$G$38,$G$38&lt;&gt;"",NOT(Cdlac[[#This Row],[Federal]]),Cdlac[[#This Row],[Preservation Rent]]&lt;&gt;""),Cdlac[[#This Row],[Preservation Rent]],Cdlac[[#This Row],[Restricted Rent]])),"")</f>
        <v>850</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78" t="s">
        <v>1987</v>
      </c>
      <c r="D22" s="2678" t="s">
        <v>1988</v>
      </c>
      <c r="E22" s="2678" t="s">
        <v>1989</v>
      </c>
      <c r="F22" s="2678" t="s">
        <v>2610</v>
      </c>
      <c r="G22" s="2678" t="s">
        <v>1986</v>
      </c>
      <c r="H22" s="1070"/>
      <c r="I22" s="1069"/>
      <c r="L22" s="1044" t="str">
        <f>IFERROR(MIN(4,MATCH(Application!B720,UnitSizes,0)-1),"")</f>
        <v/>
      </c>
      <c r="M22" s="1065">
        <f>Application!G720</f>
        <v>0</v>
      </c>
      <c r="N22" s="1071">
        <f>Application!AC720</f>
        <v>0</v>
      </c>
      <c r="O22" s="1071" t="str">
        <f>IF(Cdlac[[#This Row],[Quantity]]&gt;0,IF(Cdlac[[#This Row],[Federal]],30%,IF(AND(OR(NOT($G$38),$G$38=""),$G$43),40%,Cdlac[[#This Row],[iAMI]])),"")</f>
        <v/>
      </c>
      <c r="P22" s="1065" t="str" cm="1">
        <f t="array" ref="P22">IF(Cdlac[[#This Row],[Quantity]]&gt;0,INDEX(TcacRents,$P$18,Cdlac[[#This Row],[Bedrooms]]+1)*Cdlac[[#This Row],[AMI]],"")</f>
        <v/>
      </c>
      <c r="Q22" s="1164"/>
      <c r="R22" s="1065" t="str" cm="1">
        <f t="array" ref="R22">IF(Cdlac[[#This Row],[Quantity]]&gt;0,INDEX(HudFmrs,$P$18,Cdlac[[#This Row],[Bedrooms]]+1),"")</f>
        <v/>
      </c>
      <c r="S22" s="1065" t="str">
        <f>IF(Cdlac[[#This Row],[Quantity]]&gt;0,MAX(0,Cdlac[[#This Row],[Fair Market Rent]]-IF(AND($G$37,$G$38,$G$38&lt;&gt;"",NOT(Cdlac[[#This Row],[Federal]]),Cdlac[[#This Row],[Preservation Rent]]&lt;&gt;""),Cdlac[[#This Row],[Preservation Rent]],Cdlac[[#This Row],[Restricted Rent]])),"")</f>
        <v/>
      </c>
      <c r="T22" s="1044" t="str">
        <f>IF(Cdlac[[#This Row],[Quantity]]&gt;0,AND(Application!AK720&lt;&gt;"N/A",Application!AK720&lt;&gt;"")*Cdlac[[#This Row],[Quantity]],"")</f>
        <v/>
      </c>
      <c r="U22" s="1044" t="b">
        <f>AND('Subsidy Contract Calculation'!F6&gt;0,OR('Subsidy Contract Calculation'!C6="Federal",'Subsidy Contract Calculation'!C6="Local - Approved by ED"),Cdlac[[#This Row],[Quantity]]&gt;0)</f>
        <v>0</v>
      </c>
    </row>
    <row r="23" spans="1:21" ht="15" customHeight="1">
      <c r="A23" s="1049"/>
      <c r="C23" s="2679"/>
      <c r="D23" s="2679"/>
      <c r="E23" s="2679"/>
      <c r="F23" s="2679"/>
      <c r="G23" s="2679"/>
      <c r="H23" s="1070"/>
      <c r="I23" s="1069"/>
      <c r="L23" s="1044">
        <f>IFERROR(MIN(4,MATCH(Application!B721,UnitSizes,0)-1),"")</f>
        <v>1</v>
      </c>
      <c r="M23" s="1065">
        <f>Application!G721</f>
        <v>25</v>
      </c>
      <c r="N23" s="1071">
        <f>Application!AC721</f>
        <v>0.3</v>
      </c>
      <c r="O23" s="1071">
        <f>IF(Cdlac[[#This Row],[Quantity]]&gt;0,IF(Cdlac[[#This Row],[Federal]],30%,IF(AND(OR(NOT($G$38),$G$38=""),$G$43),40%,Cdlac[[#This Row],[iAMI]])),"")</f>
        <v>0.3</v>
      </c>
      <c r="P23" s="1065" cm="1">
        <f t="array" ref="P23">IF(Cdlac[[#This Row],[Quantity]]&gt;0,INDEX(TcacRents,$P$18,Cdlac[[#This Row],[Bedrooms]]+1)*Cdlac[[#This Row],[AMI]],"")</f>
        <v>1130.3999999999999</v>
      </c>
      <c r="Q23" s="1164"/>
      <c r="R23" s="1065" cm="1">
        <f t="array" ref="R23">IF(Cdlac[[#This Row],[Quantity]]&gt;0,INDEX(HudFmrs,$P$18,Cdlac[[#This Row],[Bedrooms]]+1),"")</f>
        <v>2975</v>
      </c>
      <c r="S23" s="1065">
        <f>IF(Cdlac[[#This Row],[Quantity]]&gt;0,MAX(0,Cdlac[[#This Row],[Fair Market Rent]]-IF(AND($G$37,$G$38,$G$38&lt;&gt;"",NOT(Cdlac[[#This Row],[Federal]]),Cdlac[[#This Row],[Preservation Rent]]&lt;&gt;""),Cdlac[[#This Row],[Preservation Rent]],Cdlac[[#This Row],[Restricted Rent]])),"")</f>
        <v>1844.6000000000001</v>
      </c>
      <c r="T23" s="1044">
        <f>IF(Cdlac[[#This Row],[Quantity]]&gt;0,AND(Application!AK721&lt;&gt;"N/A",Application!AK721&lt;&gt;"")*Cdlac[[#This Row],[Quantity]],"")</f>
        <v>25</v>
      </c>
      <c r="U23" s="1044" t="b">
        <f>AND('Subsidy Contract Calculation'!F7&gt;0,OR('Subsidy Contract Calculation'!C7="Federal",'Subsidy Contract Calculation'!C7="Local - Approved by ED"),Cdlac[[#This Row],[Quantity]]&gt;0)</f>
        <v>1</v>
      </c>
    </row>
    <row r="24" spans="1:21" ht="15" customHeight="1">
      <c r="C24" s="1072">
        <v>0</v>
      </c>
      <c r="D24" s="1073">
        <v>0.9</v>
      </c>
      <c r="E24" s="1072">
        <f>SUMIFS(Cdlac[Quantity],Cdlac[Bedrooms],C24)</f>
        <v>63</v>
      </c>
      <c r="F24" s="1072">
        <f>E24</f>
        <v>63</v>
      </c>
      <c r="G24" s="1072">
        <f>D24*F24</f>
        <v>56.7</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25</v>
      </c>
      <c r="F25" s="1072">
        <f>E25</f>
        <v>25</v>
      </c>
      <c r="G25" s="1072">
        <f>D25*F25</f>
        <v>25</v>
      </c>
      <c r="L25" s="1044">
        <f>IFERROR(MIN(4,MATCH(Application!B723,UnitSizes,0)-1),"")</f>
        <v>2</v>
      </c>
      <c r="M25" s="1065">
        <f>Application!G723</f>
        <v>14</v>
      </c>
      <c r="N25" s="1071">
        <f>Application!AC723</f>
        <v>0.3</v>
      </c>
      <c r="O25" s="1071">
        <f>IF(Cdlac[[#This Row],[Quantity]]&gt;0,IF(Cdlac[[#This Row],[Federal]],30%,IF(AND(OR(NOT($G$38),$G$38=""),$G$43),40%,Cdlac[[#This Row],[iAMI]])),"")</f>
        <v>0.3</v>
      </c>
      <c r="P25" s="1065" cm="1">
        <f t="array" ref="P25">IF(Cdlac[[#This Row],[Quantity]]&gt;0,INDEX(TcacRents,$P$18,Cdlac[[#This Row],[Bedrooms]]+1)*Cdlac[[#This Row],[AMI]],"")</f>
        <v>1356.6</v>
      </c>
      <c r="Q25" s="1164"/>
      <c r="R25" s="1065" cm="1">
        <f t="array" ref="R25">IF(Cdlac[[#This Row],[Quantity]]&gt;0,INDEX(HudFmrs,$P$18,Cdlac[[#This Row],[Bedrooms]]+1),"")</f>
        <v>3446</v>
      </c>
      <c r="S25" s="1065">
        <f>IF(Cdlac[[#This Row],[Quantity]]&gt;0,MAX(0,Cdlac[[#This Row],[Fair Market Rent]]-IF(AND($G$37,$G$38,$G$38&lt;&gt;"",NOT(Cdlac[[#This Row],[Federal]]),Cdlac[[#This Row],[Preservation Rent]]&lt;&gt;""),Cdlac[[#This Row],[Preservation Rent]],Cdlac[[#This Row],[Restricted Rent]])),"")</f>
        <v>2089.4</v>
      </c>
      <c r="T25" s="1044">
        <f>IF(Cdlac[[#This Row],[Quantity]]&gt;0,AND(Application!AK723&lt;&gt;"N/A",Application!AK723&lt;&gt;"")*Cdlac[[#This Row],[Quantity]],"")</f>
        <v>14</v>
      </c>
      <c r="U25" s="1044" t="b">
        <f>AND('Subsidy Contract Calculation'!F9&gt;0,OR('Subsidy Contract Calculation'!C9="Federal",'Subsidy Contract Calculation'!C9="Local - Approved by ED"),Cdlac[[#This Row],[Quantity]]&gt;0)</f>
        <v>1</v>
      </c>
    </row>
    <row r="26" spans="1:21" ht="15" customHeight="1">
      <c r="A26" s="1074"/>
      <c r="C26" s="1075">
        <v>2</v>
      </c>
      <c r="D26" s="1073">
        <v>1.25</v>
      </c>
      <c r="E26" s="1072">
        <f>SUMIFS(Cdlac[Quantity],Cdlac[Bedrooms],C26)</f>
        <v>53</v>
      </c>
      <c r="F26" s="1075">
        <f>SUM(E26:E28)-SUM(F27:F28)</f>
        <v>53</v>
      </c>
      <c r="G26" s="1072">
        <f>D26*F26</f>
        <v>66.25</v>
      </c>
      <c r="H26" s="1074"/>
      <c r="I26" s="1074"/>
      <c r="L26" s="1044">
        <f>IFERROR(MIN(4,MATCH(Application!B724,UnitSizes,0)-1),"")</f>
        <v>2</v>
      </c>
      <c r="M26" s="1065">
        <f>Application!G724</f>
        <v>1</v>
      </c>
      <c r="N26" s="1071">
        <f>Application!AC724</f>
        <v>0.5</v>
      </c>
      <c r="O26" s="1071">
        <f>IF(Cdlac[[#This Row],[Quantity]]&gt;0,IF(Cdlac[[#This Row],[Federal]],30%,IF(AND(OR(NOT($G$38),$G$38=""),$G$43),40%,Cdlac[[#This Row],[iAMI]])),"")</f>
        <v>0.5</v>
      </c>
      <c r="P26" s="1065" cm="1">
        <f t="array" ref="P26">IF(Cdlac[[#This Row],[Quantity]]&gt;0,INDEX(TcacRents,$P$18,Cdlac[[#This Row],[Bedrooms]]+1)*Cdlac[[#This Row],[AMI]],"")</f>
        <v>2261</v>
      </c>
      <c r="Q26" s="1164"/>
      <c r="R26" s="1065" cm="1">
        <f t="array" ref="R26">IF(Cdlac[[#This Row],[Quantity]]&gt;0,INDEX(HudFmrs,$P$18,Cdlac[[#This Row],[Bedrooms]]+1),"")</f>
        <v>3446</v>
      </c>
      <c r="S26" s="1065">
        <f>IF(Cdlac[[#This Row],[Quantity]]&gt;0,MAX(0,Cdlac[[#This Row],[Fair Market Rent]]-IF(AND($G$37,$G$38,$G$38&lt;&gt;"",NOT(Cdlac[[#This Row],[Federal]]),Cdlac[[#This Row],[Preservation Rent]]&lt;&gt;""),Cdlac[[#This Row],[Preservation Rent]],Cdlac[[#This Row],[Restricted Rent]])),"")</f>
        <v>1185</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52</v>
      </c>
      <c r="F27" s="1075">
        <f>MIN(E27,ROUNDDOWN(E29*30%,0))</f>
        <v>52</v>
      </c>
      <c r="G27" s="1072">
        <f>D27*F27</f>
        <v>78</v>
      </c>
      <c r="H27" s="1074"/>
      <c r="I27" s="1074"/>
      <c r="L27" s="1044">
        <f>IFERROR(MIN(4,MATCH(Application!B725,UnitSizes,0)-1),"")</f>
        <v>2</v>
      </c>
      <c r="M27" s="1065">
        <f>Application!G725</f>
        <v>38</v>
      </c>
      <c r="N27" s="1071">
        <f>Application!AC725</f>
        <v>0.6</v>
      </c>
      <c r="O27" s="1071">
        <f>IF(Cdlac[[#This Row],[Quantity]]&gt;0,IF(Cdlac[[#This Row],[Federal]],30%,IF(AND(OR(NOT($G$38),$G$38=""),$G$43),40%,Cdlac[[#This Row],[iAMI]])),"")</f>
        <v>0.6</v>
      </c>
      <c r="P27" s="1065" cm="1">
        <f t="array" ref="P27">IF(Cdlac[[#This Row],[Quantity]]&gt;0,INDEX(TcacRents,$P$18,Cdlac[[#This Row],[Bedrooms]]+1)*Cdlac[[#This Row],[AMI]],"")</f>
        <v>2713.2</v>
      </c>
      <c r="Q27" s="1164"/>
      <c r="R27" s="1065" cm="1">
        <f t="array" ref="R27">IF(Cdlac[[#This Row],[Quantity]]&gt;0,INDEX(HudFmrs,$P$18,Cdlac[[#This Row],[Bedrooms]]+1),"")</f>
        <v>3446</v>
      </c>
      <c r="S27" s="1065">
        <f>IF(Cdlac[[#This Row],[Quantity]]&gt;0,MAX(0,Cdlac[[#This Row],[Fair Market Rent]]-IF(AND($G$37,$G$38,$G$38&lt;&gt;"",NOT(Cdlac[[#This Row],[Federal]]),Cdlac[[#This Row],[Preservation Rent]]&lt;&gt;""),Cdlac[[#This Row],[Preservation Rent]],Cdlac[[#This Row],[Restricted Rent]])),"")</f>
        <v>732.80000000000018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92" t="s">
        <v>1586</v>
      </c>
      <c r="D29" s="2693"/>
      <c r="E29" s="1089">
        <f>SUM(E24:E28)</f>
        <v>193</v>
      </c>
      <c r="F29" s="1089">
        <f>SUM(F24:F28)</f>
        <v>193</v>
      </c>
      <c r="G29" s="1090">
        <f>SUMPRODUCT(D24:D28,F24:F28)</f>
        <v>225.95</v>
      </c>
      <c r="H29" s="1074"/>
      <c r="I29" s="1074"/>
      <c r="L29" s="1044">
        <f>IFERROR(MIN(4,MATCH(Application!B727,UnitSizes,0)-1),"")</f>
        <v>3</v>
      </c>
      <c r="M29" s="1065">
        <f>Application!G727</f>
        <v>10</v>
      </c>
      <c r="N29" s="1071">
        <f>Application!AC727</f>
        <v>0.3</v>
      </c>
      <c r="O29" s="1071">
        <f>IF(Cdlac[[#This Row],[Quantity]]&gt;0,IF(Cdlac[[#This Row],[Federal]],30%,IF(AND(OR(NOT($G$38),$G$38=""),$G$43),40%,Cdlac[[#This Row],[iAMI]])),"")</f>
        <v>0.3</v>
      </c>
      <c r="P29" s="1065" cm="1">
        <f t="array" ref="P29">IF(Cdlac[[#This Row],[Quantity]]&gt;0,INDEX(TcacRents,$P$18,Cdlac[[#This Row],[Bedrooms]]+1)*Cdlac[[#This Row],[AMI]],"")</f>
        <v>1566.6</v>
      </c>
      <c r="Q29" s="1164"/>
      <c r="R29" s="1065" cm="1">
        <f t="array" ref="R29">IF(Cdlac[[#This Row],[Quantity]]&gt;0,INDEX(HudFmrs,$P$18,Cdlac[[#This Row],[Bedrooms]]+1),"")</f>
        <v>4477</v>
      </c>
      <c r="S29" s="1065">
        <f>IF(Cdlac[[#This Row],[Quantity]]&gt;0,MAX(0,Cdlac[[#This Row],[Fair Market Rent]]-IF(AND($G$37,$G$38,$G$38&lt;&gt;"",NOT(Cdlac[[#This Row],[Federal]]),Cdlac[[#This Row],[Preservation Rent]]&lt;&gt;""),Cdlac[[#This Row],[Preservation Rent]],Cdlac[[#This Row],[Restricted Rent]])),"")</f>
        <v>2910.4</v>
      </c>
      <c r="T29" s="1044">
        <f>IF(Cdlac[[#This Row],[Quantity]]&gt;0,AND(Application!AK727&lt;&gt;"N/A",Application!AK727&lt;&gt;"")*Cdlac[[#This Row],[Quantity]],"")</f>
        <v>10</v>
      </c>
      <c r="U29" s="1044" t="b">
        <f>AND('Subsidy Contract Calculation'!F13&gt;0,OR('Subsidy Contract Calculation'!C13="Federal",'Subsidy Contract Calculation'!C13="Local - Approved by ED"),Cdlac[[#This Row],[Quantity]]&gt;0)</f>
        <v>1</v>
      </c>
    </row>
    <row r="30" spans="1:21" ht="15" customHeight="1">
      <c r="A30" s="1074"/>
      <c r="C30" s="1074"/>
      <c r="D30" s="1074"/>
      <c r="E30" s="1074"/>
      <c r="F30" s="1074"/>
      <c r="G30" s="1074"/>
      <c r="H30" s="1074"/>
      <c r="I30" s="1074"/>
      <c r="L30" s="1044">
        <f>IFERROR(MIN(4,MATCH(Application!B728,UnitSizes,0)-1),"")</f>
        <v>3</v>
      </c>
      <c r="M30" s="1065">
        <f>Application!G728</f>
        <v>29</v>
      </c>
      <c r="N30" s="1071">
        <f>Application!AC728</f>
        <v>0.5</v>
      </c>
      <c r="O30" s="1071">
        <f>IF(Cdlac[[#This Row],[Quantity]]&gt;0,IF(Cdlac[[#This Row],[Federal]],30%,IF(AND(OR(NOT($G$38),$G$38=""),$G$43),40%,Cdlac[[#This Row],[iAMI]])),"")</f>
        <v>0.5</v>
      </c>
      <c r="P30" s="1065" cm="1">
        <f t="array" ref="P30">IF(Cdlac[[#This Row],[Quantity]]&gt;0,INDEX(TcacRents,$P$18,Cdlac[[#This Row],[Bedrooms]]+1)*Cdlac[[#This Row],[AMI]],"")</f>
        <v>2611</v>
      </c>
      <c r="Q30" s="1164"/>
      <c r="R30" s="1065" cm="1">
        <f t="array" ref="R30">IF(Cdlac[[#This Row],[Quantity]]&gt;0,INDEX(HudFmrs,$P$18,Cdlac[[#This Row],[Bedrooms]]+1),"")</f>
        <v>4477</v>
      </c>
      <c r="S30" s="1065">
        <f>IF(Cdlac[[#This Row],[Quantity]]&gt;0,MAX(0,Cdlac[[#This Row],[Fair Market Rent]]-IF(AND($G$37,$G$38,$G$38&lt;&gt;"",NOT(Cdlac[[#This Row],[Federal]]),Cdlac[[#This Row],[Preservation Rent]]&lt;&gt;""),Cdlac[[#This Row],[Preservation Rent]],Cdlac[[#This Row],[Restricted Rent]])),"")</f>
        <v>1866</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225.95</v>
      </c>
      <c r="H31" s="1074"/>
      <c r="I31" s="1074"/>
      <c r="L31" s="1044">
        <f>IFERROR(MIN(4,MATCH(Application!B729,UnitSizes,0)-1),"")</f>
        <v>3</v>
      </c>
      <c r="M31" s="1065">
        <f>Application!G729</f>
        <v>13</v>
      </c>
      <c r="N31" s="1071">
        <f>Application!AC729</f>
        <v>0.6</v>
      </c>
      <c r="O31" s="1071">
        <f>IF(Cdlac[[#This Row],[Quantity]]&gt;0,IF(Cdlac[[#This Row],[Federal]],30%,IF(AND(OR(NOT($G$38),$G$38=""),$G$43),40%,Cdlac[[#This Row],[iAMI]])),"")</f>
        <v>0.6</v>
      </c>
      <c r="P31" s="1065" cm="1">
        <f t="array" ref="P31">IF(Cdlac[[#This Row],[Quantity]]&gt;0,INDEX(TcacRents,$P$18,Cdlac[[#This Row],[Bedrooms]]+1)*Cdlac[[#This Row],[AMI]],"")</f>
        <v>3133.2</v>
      </c>
      <c r="Q31" s="1164"/>
      <c r="R31" s="1065" cm="1">
        <f t="array" ref="R31">IF(Cdlac[[#This Row],[Quantity]]&gt;0,INDEX(HudFmrs,$P$18,Cdlac[[#This Row],[Bedrooms]]+1),"")</f>
        <v>4477</v>
      </c>
      <c r="S31" s="1065">
        <f>IF(Cdlac[[#This Row],[Quantity]]&gt;0,MAX(0,Cdlac[[#This Row],[Fair Market Rent]]-IF(AND($G$37,$G$38,$G$38&lt;&gt;"",NOT(Cdlac[[#This Row],[Federal]]),Cdlac[[#This Row],[Preservation Rent]]&lt;&gt;""),Cdlac[[#This Row],[Preservation Rent]],Cdlac[[#This Row],[Restricted Rent]])),"")</f>
        <v>1343.8000000000002</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11297500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95" t="str">
        <f>IF(AND(G37,G38,G38&lt;&gt;""),"Enter the average rent charged for each unit type over the last three years, as documented with rent rolls or property audits, in cells Q20:Q44","")</f>
        <v/>
      </c>
      <c r="D39" s="2695"/>
      <c r="E39" s="2695"/>
      <c r="F39" s="2695"/>
      <c r="G39" s="2695"/>
      <c r="H39" s="2695"/>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95"/>
      <c r="D40" s="2695"/>
      <c r="E40" s="2695"/>
      <c r="F40" s="2695"/>
      <c r="G40" s="2695"/>
      <c r="H40" s="2695"/>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95"/>
      <c r="D41" s="2695"/>
      <c r="E41" s="2695"/>
      <c r="F41" s="2695"/>
      <c r="G41" s="2695"/>
      <c r="H41" s="2695"/>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0.53402777777777777</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259338.6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46680948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49</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96</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49</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490000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50</v>
      </c>
    </row>
    <row r="61" spans="2:21" ht="15" customHeight="1">
      <c r="E61" s="1117" t="s">
        <v>1995</v>
      </c>
      <c r="G61" s="1079">
        <f>ROUNDDOWN(E29*50%,0)</f>
        <v>96</v>
      </c>
    </row>
    <row r="62" spans="2:21" ht="15" customHeight="1">
      <c r="E62" s="1117"/>
      <c r="G62" s="1079"/>
    </row>
    <row r="63" spans="2:21" ht="15" customHeight="1">
      <c r="E63" s="1117" t="s">
        <v>1955</v>
      </c>
      <c r="G63" s="1114">
        <f>MIN(G60:G61)</f>
        <v>50</v>
      </c>
    </row>
    <row r="64" spans="2:21" ht="15" customHeight="1">
      <c r="E64" s="1117" t="s">
        <v>1945</v>
      </c>
      <c r="F64" s="1113" t="s">
        <v>1993</v>
      </c>
      <c r="G64" s="1124">
        <v>20000</v>
      </c>
    </row>
    <row r="65" spans="2:14" ht="15" customHeight="1">
      <c r="E65" s="1118" t="s">
        <v>1977</v>
      </c>
      <c r="F65" s="1046"/>
      <c r="G65" s="1123">
        <f>G63*G64</f>
        <v>1000000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Yes</v>
      </c>
    </row>
    <row r="71" spans="2:14" ht="15" customHeight="1" thickBot="1">
      <c r="C71" s="1077" t="s">
        <v>1968</v>
      </c>
      <c r="G71" s="1043" t="s">
        <v>669</v>
      </c>
    </row>
    <row r="72" spans="2:14" ht="15" customHeight="1">
      <c r="C72" s="1077" t="s">
        <v>1969</v>
      </c>
      <c r="G72" s="1044" t="str">
        <f>Application!T193</f>
        <v>Moderate Resource</v>
      </c>
      <c r="L72" s="2665" t="s">
        <v>1970</v>
      </c>
      <c r="M72" s="2666"/>
      <c r="N72" s="1131">
        <v>30000</v>
      </c>
    </row>
    <row r="73" spans="2:14" ht="15" customHeight="1">
      <c r="C73" s="2667" t="s">
        <v>2263</v>
      </c>
      <c r="D73" s="2667"/>
      <c r="E73" s="2667"/>
      <c r="F73" s="2667"/>
      <c r="G73" s="1043" t="s">
        <v>669</v>
      </c>
      <c r="L73" s="2682" t="s">
        <v>1938</v>
      </c>
      <c r="M73" s="2683"/>
      <c r="N73" s="1132">
        <v>20000</v>
      </c>
    </row>
    <row r="74" spans="2:14" ht="15" customHeight="1" thickBot="1">
      <c r="C74" s="2667"/>
      <c r="D74" s="2667"/>
      <c r="E74" s="2667"/>
      <c r="F74" s="2667"/>
      <c r="L74" s="2657" t="s">
        <v>1971</v>
      </c>
      <c r="M74" s="2658"/>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10000</v>
      </c>
    </row>
    <row r="79" spans="2:14" ht="15" customHeight="1">
      <c r="E79" s="1084" t="str">
        <f>E96</f>
        <v>Bedroom-Adjusted Low-Income Units</v>
      </c>
      <c r="F79" s="1113" t="s">
        <v>1993</v>
      </c>
      <c r="G79" s="1114">
        <f>G29</f>
        <v>225.95</v>
      </c>
    </row>
    <row r="80" spans="2:14" ht="15" customHeight="1">
      <c r="D80" s="1046"/>
      <c r="E80" s="1118" t="s">
        <v>2268</v>
      </c>
      <c r="F80" s="1046"/>
      <c r="G80" s="1123">
        <f>G79*G78*G76</f>
        <v>2259500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225.95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225.95</v>
      </c>
    </row>
    <row r="97" spans="2:14" ht="15" customHeight="1">
      <c r="E97" s="1118" t="s">
        <v>1962</v>
      </c>
      <c r="F97" s="1046"/>
      <c r="G97" s="1123">
        <f>G94*G95*G96</f>
        <v>6326600</v>
      </c>
      <c r="L97" s="1127" t="str">
        <f>'Points System'!H638</f>
        <v>(i)</v>
      </c>
      <c r="M97" s="2663" t="s">
        <v>1405</v>
      </c>
      <c r="N97" s="2664"/>
    </row>
    <row r="98" spans="2:14" ht="15" customHeight="1">
      <c r="C98" s="1077"/>
      <c r="G98" s="1114"/>
      <c r="L98" s="1128" t="str">
        <f>'Points System'!H650</f>
        <v>(ii)</v>
      </c>
      <c r="M98" s="2659" t="s">
        <v>1957</v>
      </c>
      <c r="N98" s="2660"/>
    </row>
    <row r="99" spans="2:14" ht="15" customHeight="1">
      <c r="E99" s="1084" t="s">
        <v>1998</v>
      </c>
      <c r="G99" s="1126">
        <f>COUNTIFS(L97:L104,"(i)")</f>
        <v>2</v>
      </c>
      <c r="L99" s="1128" t="str">
        <f>'Points System'!H685</f>
        <v>(ii)</v>
      </c>
      <c r="M99" s="2659" t="s">
        <v>1958</v>
      </c>
      <c r="N99" s="2660"/>
    </row>
    <row r="100" spans="2:14" ht="15" customHeight="1">
      <c r="E100" s="1084" t="s">
        <v>1945</v>
      </c>
      <c r="F100" s="1113" t="s">
        <v>1993</v>
      </c>
      <c r="G100" s="1124">
        <v>4000</v>
      </c>
      <c r="L100" s="1128" t="str">
        <f>IF(OR('Points System'!H709="(ii)",'Points System'!H709="(i)"),"(i)","N/A")</f>
        <v>(i)</v>
      </c>
      <c r="M100" s="2659" t="s">
        <v>1959</v>
      </c>
      <c r="N100" s="2660"/>
    </row>
    <row r="101" spans="2:14" ht="15" customHeight="1">
      <c r="E101" s="1118" t="s">
        <v>1963</v>
      </c>
      <c r="F101" s="1046"/>
      <c r="G101" s="1123">
        <f>G96*G99*G100</f>
        <v>1807600</v>
      </c>
      <c r="L101" s="1129" t="str">
        <f>'Points System'!H723</f>
        <v>N/A</v>
      </c>
      <c r="M101" s="2659" t="s">
        <v>1431</v>
      </c>
      <c r="N101" s="2660"/>
    </row>
    <row r="102" spans="2:14" ht="15" customHeight="1">
      <c r="L102" s="1128" t="str">
        <f>'Points System'!H735</f>
        <v>N/A</v>
      </c>
      <c r="M102" s="2659" t="s">
        <v>1960</v>
      </c>
      <c r="N102" s="2660"/>
    </row>
    <row r="103" spans="2:14" ht="15" customHeight="1">
      <c r="C103" s="1080" t="s">
        <v>1965</v>
      </c>
      <c r="L103" s="1128" t="str">
        <f>'Points System'!H751</f>
        <v>N/A</v>
      </c>
      <c r="M103" s="2659" t="s">
        <v>1961</v>
      </c>
      <c r="N103" s="2660"/>
    </row>
    <row r="104" spans="2:14" ht="15" customHeight="1" thickBot="1">
      <c r="C104" s="1077" t="s">
        <v>1966</v>
      </c>
      <c r="G104" s="1043"/>
      <c r="L104" s="1130" t="str">
        <f>'Points System'!H763</f>
        <v>(ii)</v>
      </c>
      <c r="M104" s="2661" t="s">
        <v>1434</v>
      </c>
      <c r="N104" s="2662"/>
    </row>
    <row r="105" spans="2:14" ht="15" customHeight="1">
      <c r="C105" s="1077" t="s">
        <v>1967</v>
      </c>
      <c r="G105" s="1043" t="s">
        <v>545</v>
      </c>
    </row>
    <row r="106" spans="2:14" ht="15" customHeight="1">
      <c r="C106" s="1077" t="s">
        <v>2140</v>
      </c>
      <c r="G106" s="1043"/>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225.95</v>
      </c>
    </row>
    <row r="112" spans="2:14" ht="15" customHeight="1">
      <c r="E112" s="1084" t="s">
        <v>1945</v>
      </c>
      <c r="F112" s="1113" t="s">
        <v>1993</v>
      </c>
      <c r="G112" s="1124">
        <v>25000</v>
      </c>
    </row>
    <row r="113" spans="2:9" ht="15" customHeight="1">
      <c r="E113" s="1118" t="s">
        <v>1964</v>
      </c>
      <c r="F113" s="1046"/>
      <c r="G113" s="1123">
        <f>G109*G112*G96</f>
        <v>5648750</v>
      </c>
    </row>
    <row r="114" spans="2:9" ht="15" customHeight="1">
      <c r="C114" s="1077"/>
      <c r="E114" s="1077"/>
    </row>
    <row r="115" spans="2:9" ht="15" customHeight="1">
      <c r="E115" s="1118" t="s">
        <v>2273</v>
      </c>
      <c r="G115" s="1123">
        <f>G113+G101+G97</f>
        <v>13782950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94" t="s">
        <v>2228</v>
      </c>
      <c r="D119" s="2694"/>
      <c r="E119" s="2694"/>
      <c r="F119" s="2694"/>
    </row>
    <row r="120" spans="2:9" ht="15" customHeight="1">
      <c r="C120" s="2694"/>
      <c r="D120" s="2694"/>
      <c r="E120" s="2694"/>
      <c r="F120" s="2694"/>
      <c r="G120" s="1043" t="s">
        <v>545</v>
      </c>
    </row>
    <row r="121" spans="2:9" ht="15" customHeight="1"/>
    <row r="122" spans="2:9" ht="15" customHeight="1">
      <c r="C122" s="1044" t="s">
        <v>2230</v>
      </c>
      <c r="G122" s="2696" t="s">
        <v>2738</v>
      </c>
      <c r="H122" s="2696"/>
    </row>
    <row r="123" spans="2:9" ht="15" customHeight="1">
      <c r="G123" s="2696"/>
      <c r="H123" s="2696"/>
    </row>
    <row r="124" spans="2:9" ht="15" customHeight="1">
      <c r="G124" s="2697"/>
      <c r="H124" s="2697"/>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Santa Clara</v>
      </c>
    </row>
    <row r="129" spans="2:9">
      <c r="E129" s="1084"/>
      <c r="G129" s="1078"/>
    </row>
    <row r="130" spans="2:9">
      <c r="E130" s="1084" t="str">
        <f>"2-Bedroom "&amp;G128&amp;" County Basis Limit"</f>
        <v>2-Bedroom Santa Clara County Basis Limit</v>
      </c>
      <c r="G130" s="1078">
        <f>Application!R988</f>
        <v>740000</v>
      </c>
    </row>
    <row r="131" spans="2:9">
      <c r="E131" s="1084" t="s">
        <v>2001</v>
      </c>
      <c r="G131" s="1078">
        <f>MEDIAN((Application!CU160:CU217))</f>
        <v>489600</v>
      </c>
    </row>
    <row r="132" spans="2:9" ht="15">
      <c r="D132" s="1046"/>
      <c r="E132" s="1118" t="s">
        <v>2003</v>
      </c>
      <c r="F132" s="1134"/>
      <c r="G132" s="1135">
        <f>((G130-G131)/G131)*0.25</f>
        <v>0.127859477124183</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91" t="s">
        <v>2276</v>
      </c>
      <c r="D138" s="2691"/>
      <c r="E138" s="2691"/>
      <c r="F138" s="2691"/>
    </row>
    <row r="139" spans="2:9">
      <c r="B139" s="1045"/>
      <c r="C139" s="2691"/>
      <c r="D139" s="2691"/>
      <c r="E139" s="2691"/>
      <c r="F139" s="2691"/>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12387700.799999999</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5"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F8" sqref="F8"/>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8" t="s">
        <v>909</v>
      </c>
      <c r="B1" s="2698"/>
      <c r="C1" s="2698"/>
      <c r="D1" s="2698"/>
      <c r="E1" s="2698"/>
      <c r="F1" s="2698"/>
      <c r="G1" s="2698"/>
      <c r="H1" s="2698"/>
      <c r="I1" s="2698"/>
      <c r="J1" s="2698"/>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SRO/Studio</v>
      </c>
      <c r="B4" s="1082">
        <f>Application!G718</f>
        <v>1</v>
      </c>
      <c r="C4" s="1162"/>
      <c r="D4" s="428">
        <f>Application!O718</f>
        <v>1005</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62</v>
      </c>
      <c r="C5" s="1162"/>
      <c r="D5" s="428">
        <f>Application!O719</f>
        <v>1708</v>
      </c>
      <c r="E5" s="429"/>
      <c r="F5" s="1083"/>
      <c r="G5" s="428">
        <f t="shared" ref="G5:G38" si="2">F5*B5</f>
        <v>0</v>
      </c>
      <c r="H5" s="429"/>
      <c r="I5" s="428" t="str">
        <f t="shared" si="0"/>
        <v/>
      </c>
      <c r="J5" s="428" t="str">
        <f t="shared" si="1"/>
        <v/>
      </c>
      <c r="K5" s="204"/>
      <c r="L5" s="305"/>
    </row>
    <row r="6" spans="1:12">
      <c r="A6" s="428">
        <f>Application!B720</f>
        <v>0</v>
      </c>
      <c r="B6" s="1082">
        <f>Application!G720</f>
        <v>0</v>
      </c>
      <c r="C6" s="1162"/>
      <c r="D6" s="428">
        <f>Application!O720</f>
        <v>0</v>
      </c>
      <c r="E6" s="429"/>
      <c r="F6" s="1083"/>
      <c r="G6" s="428">
        <f t="shared" si="2"/>
        <v>0</v>
      </c>
      <c r="H6" s="429"/>
      <c r="I6" s="428" t="str">
        <f t="shared" si="0"/>
        <v/>
      </c>
      <c r="J6" s="428" t="str">
        <f t="shared" si="1"/>
        <v/>
      </c>
      <c r="K6" s="204"/>
      <c r="L6" s="305"/>
    </row>
    <row r="7" spans="1:12">
      <c r="A7" s="428" t="str">
        <f>Application!B721</f>
        <v>1 Bedroom</v>
      </c>
      <c r="B7" s="1082">
        <f>Application!G721</f>
        <v>25</v>
      </c>
      <c r="C7" s="1162" t="s">
        <v>385</v>
      </c>
      <c r="D7" s="428">
        <f>Application!O721</f>
        <v>1071</v>
      </c>
      <c r="E7" s="429"/>
      <c r="F7" s="1083">
        <f>2827-59</f>
        <v>2768</v>
      </c>
      <c r="G7" s="428">
        <f t="shared" si="2"/>
        <v>69200</v>
      </c>
      <c r="H7" s="429"/>
      <c r="I7" s="428">
        <f t="shared" si="0"/>
        <v>1697</v>
      </c>
      <c r="J7" s="428">
        <f t="shared" si="1"/>
        <v>42425</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t="str">
        <f>Application!B723</f>
        <v>2 Bedrooms</v>
      </c>
      <c r="B9" s="1082">
        <f>Application!G723</f>
        <v>14</v>
      </c>
      <c r="C9" s="1162" t="s">
        <v>385</v>
      </c>
      <c r="D9" s="428">
        <f>Application!O723</f>
        <v>1276</v>
      </c>
      <c r="E9" s="429"/>
      <c r="F9" s="1083">
        <f>3278-80</f>
        <v>3198</v>
      </c>
      <c r="G9" s="428">
        <f t="shared" si="2"/>
        <v>44772</v>
      </c>
      <c r="H9" s="429"/>
      <c r="I9" s="428">
        <f t="shared" si="0"/>
        <v>1922</v>
      </c>
      <c r="J9" s="428">
        <f t="shared" si="1"/>
        <v>26908</v>
      </c>
      <c r="K9" s="204"/>
      <c r="L9" s="305"/>
    </row>
    <row r="10" spans="1:12">
      <c r="A10" s="428" t="str">
        <f>Application!B724</f>
        <v>2 Bedrooms</v>
      </c>
      <c r="B10" s="1082">
        <f>Application!G724</f>
        <v>1</v>
      </c>
      <c r="C10" s="1162"/>
      <c r="D10" s="428">
        <f>Application!O724</f>
        <v>2181</v>
      </c>
      <c r="E10" s="429"/>
      <c r="F10" s="1083"/>
      <c r="G10" s="428">
        <f t="shared" si="2"/>
        <v>0</v>
      </c>
      <c r="H10" s="429"/>
      <c r="I10" s="428" t="str">
        <f t="shared" si="0"/>
        <v/>
      </c>
      <c r="J10" s="428" t="str">
        <f t="shared" si="1"/>
        <v/>
      </c>
      <c r="K10" s="204"/>
      <c r="L10" s="305"/>
    </row>
    <row r="11" spans="1:12">
      <c r="A11" s="428" t="str">
        <f>Application!B725</f>
        <v>2 Bedrooms</v>
      </c>
      <c r="B11" s="1082">
        <f>Application!G725</f>
        <v>38</v>
      </c>
      <c r="C11" s="1162"/>
      <c r="D11" s="428">
        <f>Application!O725</f>
        <v>2633</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t="str">
        <f>Application!B727</f>
        <v>3 Bedrooms</v>
      </c>
      <c r="B13" s="1082">
        <f>Application!G727</f>
        <v>10</v>
      </c>
      <c r="C13" s="1162" t="s">
        <v>385</v>
      </c>
      <c r="D13" s="428">
        <f>Application!O727</f>
        <v>1464</v>
      </c>
      <c r="E13" s="429"/>
      <c r="F13" s="1083">
        <f>4257-103</f>
        <v>4154</v>
      </c>
      <c r="G13" s="428">
        <f t="shared" si="2"/>
        <v>41540</v>
      </c>
      <c r="H13" s="429"/>
      <c r="I13" s="428">
        <f t="shared" si="0"/>
        <v>2690</v>
      </c>
      <c r="J13" s="428">
        <f t="shared" si="1"/>
        <v>26900</v>
      </c>
      <c r="K13" s="204"/>
      <c r="L13" s="305"/>
    </row>
    <row r="14" spans="1:12">
      <c r="A14" s="428" t="str">
        <f>Application!B728</f>
        <v>3 Bedrooms</v>
      </c>
      <c r="B14" s="1082">
        <f>Application!G728</f>
        <v>29</v>
      </c>
      <c r="C14" s="1162"/>
      <c r="D14" s="428">
        <f>Application!O728</f>
        <v>2508</v>
      </c>
      <c r="E14" s="429"/>
      <c r="F14" s="1083"/>
      <c r="G14" s="428">
        <f t="shared" si="2"/>
        <v>0</v>
      </c>
      <c r="H14" s="429"/>
      <c r="I14" s="428" t="str">
        <f t="shared" si="0"/>
        <v/>
      </c>
      <c r="J14" s="428" t="str">
        <f t="shared" si="1"/>
        <v/>
      </c>
      <c r="K14" s="204"/>
      <c r="L14" s="305"/>
    </row>
    <row r="15" spans="1:12">
      <c r="A15" s="428" t="str">
        <f>Application!B729</f>
        <v>3 Bedrooms</v>
      </c>
      <c r="B15" s="1082">
        <f>Application!G729</f>
        <v>13</v>
      </c>
      <c r="C15" s="1162"/>
      <c r="D15" s="428">
        <f>Application!O729</f>
        <v>3031</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380550</v>
      </c>
      <c r="E40" s="429"/>
      <c r="F40" s="429"/>
      <c r="G40" s="432">
        <f>SUM(G4:G38)*12</f>
        <v>1866144</v>
      </c>
      <c r="H40" s="433"/>
      <c r="I40" s="431"/>
      <c r="J40" s="432">
        <f>SUM(J4:J38)*12</f>
        <v>1154796</v>
      </c>
      <c r="K40" s="204"/>
      <c r="L40" s="306"/>
    </row>
    <row r="41" spans="1:12" ht="15">
      <c r="A41" s="430"/>
      <c r="B41" s="431"/>
      <c r="C41" s="431"/>
      <c r="D41" s="433"/>
      <c r="E41" s="429"/>
      <c r="F41" s="429"/>
      <c r="G41" s="433"/>
      <c r="H41" s="433"/>
      <c r="I41" s="431"/>
      <c r="J41" s="433"/>
      <c r="K41" s="204"/>
      <c r="L41" s="306"/>
    </row>
    <row r="42" spans="1:12">
      <c r="A42" s="304" t="s">
        <v>2258</v>
      </c>
    </row>
    <row r="43" spans="1:12">
      <c r="A43" s="2699" t="s">
        <v>2497</v>
      </c>
      <c r="B43" s="2699"/>
      <c r="C43" s="2699"/>
      <c r="D43" s="2699"/>
      <c r="E43" s="2699"/>
      <c r="F43" s="2699"/>
      <c r="G43" s="2699"/>
      <c r="H43" s="2699"/>
      <c r="I43" s="2699"/>
      <c r="J43" s="2699"/>
    </row>
    <row r="44" spans="1:12">
      <c r="A44" s="2699"/>
      <c r="B44" s="2699"/>
      <c r="C44" s="2699"/>
      <c r="D44" s="2699"/>
      <c r="E44" s="2699"/>
      <c r="F44" s="2699"/>
      <c r="G44" s="2699"/>
      <c r="H44" s="2699"/>
      <c r="I44" s="2699"/>
      <c r="J44" s="2699"/>
    </row>
    <row r="45" spans="1:12">
      <c r="A45" s="2699" t="s">
        <v>2259</v>
      </c>
      <c r="B45" s="2699"/>
      <c r="C45" s="2699"/>
      <c r="D45" s="2699"/>
      <c r="E45" s="2699"/>
      <c r="F45" s="2699"/>
      <c r="G45" s="2699"/>
      <c r="H45" s="2699"/>
      <c r="I45" s="2699"/>
      <c r="J45" s="2699"/>
    </row>
    <row r="46" spans="1:12">
      <c r="A46" s="2699"/>
      <c r="B46" s="2699"/>
      <c r="C46" s="2699"/>
      <c r="D46" s="2699"/>
      <c r="E46" s="2699"/>
      <c r="F46" s="2699"/>
      <c r="G46" s="2699"/>
      <c r="H46" s="2699"/>
      <c r="I46" s="2699"/>
      <c r="J46" s="269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0" workbookViewId="0">
      <selection activeCell="AG30" sqref="AG30"/>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4566600</v>
      </c>
      <c r="G4" s="219">
        <f>E4*$C$4</f>
        <v>4680765</v>
      </c>
      <c r="I4" s="219">
        <f>G4*$C$4</f>
        <v>4797784.125</v>
      </c>
      <c r="K4" s="219">
        <f>I4*$C$4</f>
        <v>4917728.7281249994</v>
      </c>
      <c r="M4" s="219">
        <f>K4*$C$4</f>
        <v>5040671.946328124</v>
      </c>
      <c r="O4" s="219">
        <f>M4*$C$4</f>
        <v>5166688.7449863264</v>
      </c>
      <c r="Q4" s="219">
        <f>O4*$C$4</f>
        <v>5295855.9636109844</v>
      </c>
      <c r="S4" s="219">
        <f>Q4*$C$4</f>
        <v>5428252.3627012586</v>
      </c>
      <c r="U4" s="219">
        <f>S4*$C$4</f>
        <v>5563958.6717687892</v>
      </c>
      <c r="W4" s="219">
        <f>U4*$C$4</f>
        <v>5703057.638563008</v>
      </c>
      <c r="Y4" s="219">
        <f>W4*$C$4</f>
        <v>5845634.0795270829</v>
      </c>
      <c r="AA4" s="219">
        <f>Y4*$C$4</f>
        <v>5991774.9315152597</v>
      </c>
      <c r="AC4" s="219">
        <f>AA4*$C$4</f>
        <v>6141569.3048031405</v>
      </c>
      <c r="AE4" s="219">
        <f>AC4*$C$4</f>
        <v>6295108.5374232186</v>
      </c>
      <c r="AG4" s="219">
        <f>AE4*$C$4</f>
        <v>6452486.2508587986</v>
      </c>
    </row>
    <row r="5" spans="1:34" s="210" customFormat="1" ht="14.25">
      <c r="B5" s="210" t="s">
        <v>838</v>
      </c>
      <c r="C5" s="238">
        <v>5.5E-2</v>
      </c>
      <c r="E5" s="221">
        <f>-E4*$C$5</f>
        <v>-251163</v>
      </c>
      <c r="F5" s="221"/>
      <c r="G5" s="221">
        <f>-G4*$C$5</f>
        <v>-257442.07500000001</v>
      </c>
      <c r="H5" s="221"/>
      <c r="I5" s="221">
        <f>-I4*$C$5</f>
        <v>-263878.12687500002</v>
      </c>
      <c r="J5" s="221"/>
      <c r="K5" s="221">
        <f>-K4*$C$5</f>
        <v>-270475.08004687499</v>
      </c>
      <c r="L5" s="221"/>
      <c r="M5" s="221">
        <f>-M4*$C$5</f>
        <v>-277236.95704804681</v>
      </c>
      <c r="N5" s="221"/>
      <c r="O5" s="221">
        <f>-O4*$C$5</f>
        <v>-284167.88097424794</v>
      </c>
      <c r="P5" s="221"/>
      <c r="Q5" s="221">
        <f>-Q4*$C$5</f>
        <v>-291272.07799860416</v>
      </c>
      <c r="R5" s="221"/>
      <c r="S5" s="221">
        <f>-S4*$C$5</f>
        <v>-298553.87994856923</v>
      </c>
      <c r="T5" s="221"/>
      <c r="U5" s="221">
        <f>-U4*$C$5</f>
        <v>-306017.72694728343</v>
      </c>
      <c r="V5" s="221"/>
      <c r="W5" s="221">
        <f>-W4*$C$5</f>
        <v>-313668.17012096546</v>
      </c>
      <c r="X5" s="221"/>
      <c r="Y5" s="221">
        <f>-Y4*$C$5</f>
        <v>-321509.87437398959</v>
      </c>
      <c r="Z5" s="221"/>
      <c r="AA5" s="221">
        <f>-AA4*$C$5</f>
        <v>-329547.62123333931</v>
      </c>
      <c r="AB5" s="221"/>
      <c r="AC5" s="221">
        <f>-AC4*$C$5</f>
        <v>-337786.31176417274</v>
      </c>
      <c r="AD5" s="221"/>
      <c r="AE5" s="221">
        <f>-AE4*$C$5</f>
        <v>-346230.96955827705</v>
      </c>
      <c r="AF5" s="221"/>
      <c r="AG5" s="221">
        <f>-AG4*$C$5</f>
        <v>-354886.74379723391</v>
      </c>
    </row>
    <row r="6" spans="1:34" s="210" customFormat="1" ht="14.25">
      <c r="A6" s="210" t="s">
        <v>836</v>
      </c>
      <c r="C6" s="237">
        <v>1.0249999999999999</v>
      </c>
      <c r="E6" s="222">
        <f>Application!Z809</f>
        <v>1154796</v>
      </c>
      <c r="F6" s="222"/>
      <c r="G6" s="222">
        <f>E6*$C$6</f>
        <v>1183665.8999999999</v>
      </c>
      <c r="H6" s="222"/>
      <c r="I6" s="222">
        <f>G6*$C$6</f>
        <v>1213257.5474999999</v>
      </c>
      <c r="J6" s="222"/>
      <c r="K6" s="222">
        <f>I6*$C$6</f>
        <v>1243588.9861874997</v>
      </c>
      <c r="L6" s="222"/>
      <c r="M6" s="222">
        <f>K6*$C$6</f>
        <v>1274678.7108421871</v>
      </c>
      <c r="N6" s="222"/>
      <c r="O6" s="222">
        <f>M6*$C$6</f>
        <v>1306545.6786132415</v>
      </c>
      <c r="P6" s="222"/>
      <c r="Q6" s="222">
        <f>O6*$C$6</f>
        <v>1339209.3205785723</v>
      </c>
      <c r="R6" s="222"/>
      <c r="S6" s="222">
        <f>Q6*$C$6</f>
        <v>1372689.5535930365</v>
      </c>
      <c r="T6" s="222"/>
      <c r="U6" s="222">
        <f>S6*$C$6</f>
        <v>1407006.7924328623</v>
      </c>
      <c r="V6" s="222"/>
      <c r="W6" s="222">
        <f>U6*$C$6</f>
        <v>1442181.9622436839</v>
      </c>
      <c r="X6" s="222"/>
      <c r="Y6" s="222">
        <f>W6*$C$6</f>
        <v>1478236.5112997759</v>
      </c>
      <c r="Z6" s="222"/>
      <c r="AA6" s="222">
        <f>Y6*$C$6</f>
        <v>1515192.4240822701</v>
      </c>
      <c r="AB6" s="222"/>
      <c r="AC6" s="222">
        <f>AA6*$C$6</f>
        <v>1553072.2346843267</v>
      </c>
      <c r="AD6" s="222"/>
      <c r="AE6" s="222">
        <f>AC6*$C$6</f>
        <v>1591899.0405514347</v>
      </c>
      <c r="AF6" s="222"/>
      <c r="AG6" s="222">
        <f>AE6*$C$6</f>
        <v>1631696.5165652204</v>
      </c>
    </row>
    <row r="7" spans="1:34" s="210" customFormat="1" ht="14.25">
      <c r="B7" s="210" t="s">
        <v>838</v>
      </c>
      <c r="C7" s="238">
        <v>5.5E-2</v>
      </c>
      <c r="E7" s="221">
        <f>-E6*$C$7</f>
        <v>-63513.78</v>
      </c>
      <c r="F7" s="221"/>
      <c r="G7" s="221">
        <f>-G6*$C$7</f>
        <v>-65101.624499999998</v>
      </c>
      <c r="H7" s="221"/>
      <c r="I7" s="221">
        <f>-I6*$C$7</f>
        <v>-66729.165112499992</v>
      </c>
      <c r="J7" s="221"/>
      <c r="K7" s="221">
        <f>-K6*$C$7</f>
        <v>-68397.394240312482</v>
      </c>
      <c r="L7" s="221"/>
      <c r="M7" s="221">
        <f>-M6*$C$7</f>
        <v>-70107.329096320289</v>
      </c>
      <c r="N7" s="221"/>
      <c r="O7" s="221">
        <f>-O6*$C$7</f>
        <v>-71860.012323728282</v>
      </c>
      <c r="P7" s="221"/>
      <c r="Q7" s="221">
        <f>-Q6*$C$7</f>
        <v>-73656.512631821475</v>
      </c>
      <c r="R7" s="221"/>
      <c r="S7" s="221">
        <f>-S6*$C$7</f>
        <v>-75497.925447617003</v>
      </c>
      <c r="T7" s="221"/>
      <c r="U7" s="221">
        <f>-U6*$C$7</f>
        <v>-77385.373583807435</v>
      </c>
      <c r="V7" s="221"/>
      <c r="W7" s="221">
        <f>-W6*$C$7</f>
        <v>-79320.00792340262</v>
      </c>
      <c r="X7" s="221"/>
      <c r="Y7" s="221">
        <f>-Y6*$C$7</f>
        <v>-81303.00812148767</v>
      </c>
      <c r="Z7" s="221"/>
      <c r="AA7" s="221">
        <f>-AA6*$C$7</f>
        <v>-83335.58332452485</v>
      </c>
      <c r="AB7" s="221"/>
      <c r="AC7" s="221">
        <f>-AC6*$C$7</f>
        <v>-85418.972907637974</v>
      </c>
      <c r="AD7" s="221"/>
      <c r="AE7" s="221">
        <f>-AE6*$C$7</f>
        <v>-87554.447230328908</v>
      </c>
      <c r="AF7" s="221"/>
      <c r="AG7" s="221">
        <f>-AG6*$C$7</f>
        <v>-89743.308411087128</v>
      </c>
    </row>
    <row r="8" spans="1:34" s="210" customFormat="1" ht="14.25">
      <c r="A8" s="210" t="s">
        <v>288</v>
      </c>
      <c r="C8" s="237">
        <v>1.0249999999999999</v>
      </c>
      <c r="E8" s="222">
        <f>Application!Z817</f>
        <v>48400</v>
      </c>
      <c r="F8" s="222"/>
      <c r="G8" s="222">
        <f>E8*$C$8</f>
        <v>49609.999999999993</v>
      </c>
      <c r="H8" s="222"/>
      <c r="I8" s="222">
        <f>G8*$C$8</f>
        <v>50850.249999999985</v>
      </c>
      <c r="J8" s="222"/>
      <c r="K8" s="222">
        <f>I8*$C$8</f>
        <v>52121.506249999984</v>
      </c>
      <c r="L8" s="222"/>
      <c r="M8" s="222">
        <f>K8*$C$8</f>
        <v>53424.543906249979</v>
      </c>
      <c r="N8" s="222"/>
      <c r="O8" s="222">
        <f>M8*$C$8</f>
        <v>54760.157503906223</v>
      </c>
      <c r="P8" s="222"/>
      <c r="Q8" s="222">
        <f>O8*$C$8</f>
        <v>56129.161441503871</v>
      </c>
      <c r="R8" s="222"/>
      <c r="S8" s="222">
        <f>Q8*$C$8</f>
        <v>57532.390477541463</v>
      </c>
      <c r="T8" s="222"/>
      <c r="U8" s="222">
        <f>S8*$C$8</f>
        <v>58970.700239479993</v>
      </c>
      <c r="V8" s="222"/>
      <c r="W8" s="222">
        <f>U8*$C$8</f>
        <v>60444.967745466987</v>
      </c>
      <c r="X8" s="222"/>
      <c r="Y8" s="222">
        <f>W8*$C$8</f>
        <v>61956.091939103659</v>
      </c>
      <c r="Z8" s="222"/>
      <c r="AA8" s="222">
        <f>Y8*$C$8</f>
        <v>63504.994237581246</v>
      </c>
      <c r="AB8" s="222"/>
      <c r="AC8" s="222">
        <f>AA8*$C$8</f>
        <v>65092.619093520771</v>
      </c>
      <c r="AD8" s="222"/>
      <c r="AE8" s="222">
        <f>AC8*$C$8</f>
        <v>66719.934570858779</v>
      </c>
      <c r="AF8" s="222"/>
      <c r="AG8" s="222">
        <f>AE8*$C$8</f>
        <v>68387.932935130244</v>
      </c>
    </row>
    <row r="9" spans="1:34" s="210" customFormat="1" ht="14.25">
      <c r="B9" s="210" t="s">
        <v>838</v>
      </c>
      <c r="C9" s="238">
        <f>IF(Application!$D$211="Special Needs",(((0.1*Application!$T$212)+(0.05*(1-Application!$T$212)))),0.05)</f>
        <v>0.05</v>
      </c>
      <c r="E9" s="221">
        <f>-E8*$C$9</f>
        <v>-2420</v>
      </c>
      <c r="F9" s="221"/>
      <c r="G9" s="221">
        <f>-G8*$C$9</f>
        <v>-2480.5</v>
      </c>
      <c r="H9" s="221"/>
      <c r="I9" s="221">
        <f>-I8*$C$9</f>
        <v>-2542.5124999999994</v>
      </c>
      <c r="J9" s="221"/>
      <c r="K9" s="221">
        <f>-K8*$C$9</f>
        <v>-2606.0753124999992</v>
      </c>
      <c r="L9" s="221"/>
      <c r="M9" s="221">
        <f>-M8*$C$9</f>
        <v>-2671.2271953124991</v>
      </c>
      <c r="N9" s="221"/>
      <c r="O9" s="221">
        <f>-O8*$C$9</f>
        <v>-2738.0078751953115</v>
      </c>
      <c r="P9" s="221"/>
      <c r="Q9" s="221">
        <f>-Q8*$C$9</f>
        <v>-2806.4580720751937</v>
      </c>
      <c r="R9" s="221"/>
      <c r="S9" s="221">
        <f>-S8*$C$9</f>
        <v>-2876.6195238770733</v>
      </c>
      <c r="T9" s="221"/>
      <c r="U9" s="221">
        <f>-U8*$C$9</f>
        <v>-2948.5350119739996</v>
      </c>
      <c r="V9" s="221"/>
      <c r="W9" s="221">
        <f>-W8*$C$9</f>
        <v>-3022.2483872733496</v>
      </c>
      <c r="X9" s="221"/>
      <c r="Y9" s="221">
        <f>-Y8*$C$9</f>
        <v>-3097.8045969551831</v>
      </c>
      <c r="Z9" s="221"/>
      <c r="AA9" s="221">
        <f>-AA8*$C$9</f>
        <v>-3175.2497118790625</v>
      </c>
      <c r="AB9" s="221"/>
      <c r="AC9" s="221">
        <f>-AC8*$C$9</f>
        <v>-3254.6309546760385</v>
      </c>
      <c r="AD9" s="221"/>
      <c r="AE9" s="221">
        <f>-AE8*$C$9</f>
        <v>-3335.9967285429393</v>
      </c>
      <c r="AF9" s="221"/>
      <c r="AG9" s="221">
        <f>-AG8*$C$9</f>
        <v>-3419.3966467565124</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5452699.2199999997</v>
      </c>
      <c r="G11" s="223">
        <f>SUM(G4:G10)</f>
        <v>5589016.7004999993</v>
      </c>
      <c r="I11" s="223">
        <f>SUM(I4:I10)</f>
        <v>5728742.1180124991</v>
      </c>
      <c r="K11" s="223">
        <f>SUM(K4:K10)</f>
        <v>5871960.6709628114</v>
      </c>
      <c r="M11" s="223">
        <f>SUM(M4:M10)</f>
        <v>6018759.6877368828</v>
      </c>
      <c r="O11" s="223">
        <f>SUM(O4:O10)</f>
        <v>6169228.6799303032</v>
      </c>
      <c r="Q11" s="223">
        <f>SUM(Q4:Q10)</f>
        <v>6323459.3969285591</v>
      </c>
      <c r="S11" s="223">
        <f>SUM(S4:S10)</f>
        <v>6481545.8818517737</v>
      </c>
      <c r="U11" s="223">
        <f>SUM(U4:U10)</f>
        <v>6643584.5288980659</v>
      </c>
      <c r="W11" s="223">
        <f>SUM(W4:W10)</f>
        <v>6809674.1421205169</v>
      </c>
      <c r="Y11" s="223">
        <f>SUM(Y4:Y10)</f>
        <v>6979915.9956735307</v>
      </c>
      <c r="AA11" s="223">
        <f>SUM(AA4:AA10)</f>
        <v>7154413.8955653682</v>
      </c>
      <c r="AC11" s="223">
        <f>SUM(AC4:AC10)</f>
        <v>7333274.2429545</v>
      </c>
      <c r="AE11" s="223">
        <f>SUM(AE4:AE10)</f>
        <v>7516606.0990283638</v>
      </c>
      <c r="AG11" s="223">
        <f>SUM(AG4:AG10)</f>
        <v>7704521.2515040711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359500</v>
      </c>
      <c r="G15" s="219">
        <f>E15*$C$14</f>
        <v>372082.5</v>
      </c>
      <c r="I15" s="219">
        <f>G15*$C$14</f>
        <v>385105.38749999995</v>
      </c>
      <c r="K15" s="219">
        <f>I15*$C$14</f>
        <v>398584.07606249989</v>
      </c>
      <c r="M15" s="219">
        <f>K15*$C$14</f>
        <v>412534.51872468734</v>
      </c>
      <c r="O15" s="219">
        <f>M15*$C$14</f>
        <v>426973.22688005137</v>
      </c>
      <c r="Q15" s="219">
        <f>O15*$C$14</f>
        <v>441917.28982085316</v>
      </c>
      <c r="S15" s="219">
        <f>Q15*$C$14</f>
        <v>457384.39496458299</v>
      </c>
      <c r="U15" s="219">
        <f>S15*$C$14</f>
        <v>473392.84878834337</v>
      </c>
      <c r="W15" s="219">
        <f>U15*$C$14</f>
        <v>489961.59849593532</v>
      </c>
      <c r="Y15" s="219">
        <f>W15*$C$14</f>
        <v>507110.25444329303</v>
      </c>
      <c r="AA15" s="219">
        <f>Y15*$C$14</f>
        <v>524859.11334880826</v>
      </c>
      <c r="AC15" s="219">
        <f>AA15*$C$14</f>
        <v>543229.18231601652</v>
      </c>
      <c r="AE15" s="219">
        <f>AC15*$C$14</f>
        <v>562242.20369707712</v>
      </c>
      <c r="AG15" s="219">
        <f>AE15*$C$14</f>
        <v>581920.6808264748</v>
      </c>
    </row>
    <row r="16" spans="1:34" s="210" customFormat="1" ht="14.25">
      <c r="A16" s="210" t="s">
        <v>344</v>
      </c>
      <c r="C16" s="233"/>
      <c r="E16" s="222">
        <f>Application!W849</f>
        <v>140400</v>
      </c>
      <c r="F16" s="222"/>
      <c r="G16" s="222">
        <f t="shared" ref="G16:AG21" si="0">E16*$C$14</f>
        <v>145314</v>
      </c>
      <c r="H16" s="222"/>
      <c r="I16" s="222">
        <f t="shared" si="0"/>
        <v>150399.99</v>
      </c>
      <c r="J16" s="222"/>
      <c r="K16" s="222">
        <f t="shared" si="0"/>
        <v>155663.98964999997</v>
      </c>
      <c r="L16" s="222"/>
      <c r="M16" s="222">
        <f t="shared" si="0"/>
        <v>161112.22928774997</v>
      </c>
      <c r="N16" s="222"/>
      <c r="O16" s="222">
        <f t="shared" si="0"/>
        <v>166751.15731282122</v>
      </c>
      <c r="P16" s="222"/>
      <c r="Q16" s="222">
        <f t="shared" si="0"/>
        <v>172587.44781876996</v>
      </c>
      <c r="R16" s="222"/>
      <c r="S16" s="222">
        <f t="shared" si="0"/>
        <v>178628.00849242689</v>
      </c>
      <c r="T16" s="222"/>
      <c r="U16" s="222">
        <f t="shared" si="0"/>
        <v>184879.98878966182</v>
      </c>
      <c r="V16" s="222"/>
      <c r="W16" s="222">
        <f t="shared" si="0"/>
        <v>191350.78839729997</v>
      </c>
      <c r="X16" s="222"/>
      <c r="Y16" s="222">
        <f t="shared" si="0"/>
        <v>198048.06599120545</v>
      </c>
      <c r="Z16" s="222"/>
      <c r="AA16" s="222">
        <f t="shared" si="0"/>
        <v>204979.74830089763</v>
      </c>
      <c r="AB16" s="222"/>
      <c r="AC16" s="222">
        <f t="shared" si="0"/>
        <v>212154.03949142902</v>
      </c>
      <c r="AD16" s="222"/>
      <c r="AE16" s="222">
        <f t="shared" si="0"/>
        <v>219579.43087362903</v>
      </c>
      <c r="AF16" s="222"/>
      <c r="AG16" s="222">
        <f t="shared" si="0"/>
        <v>227264.71095420604</v>
      </c>
    </row>
    <row r="17" spans="1:33" s="210" customFormat="1" ht="14.25">
      <c r="A17" s="210" t="s">
        <v>561</v>
      </c>
      <c r="C17" s="233"/>
      <c r="E17" s="222">
        <f>Application!W855</f>
        <v>275000</v>
      </c>
      <c r="F17" s="222"/>
      <c r="G17" s="222">
        <f t="shared" si="0"/>
        <v>284625</v>
      </c>
      <c r="H17" s="222"/>
      <c r="I17" s="222">
        <f t="shared" si="0"/>
        <v>294586.875</v>
      </c>
      <c r="J17" s="222"/>
      <c r="K17" s="222">
        <f t="shared" si="0"/>
        <v>304897.41562499997</v>
      </c>
      <c r="L17" s="222"/>
      <c r="M17" s="222">
        <f t="shared" si="0"/>
        <v>315568.82517187495</v>
      </c>
      <c r="N17" s="222"/>
      <c r="O17" s="222">
        <f t="shared" si="0"/>
        <v>326613.73405289056</v>
      </c>
      <c r="P17" s="222"/>
      <c r="Q17" s="222">
        <f t="shared" si="0"/>
        <v>338045.21474474168</v>
      </c>
      <c r="R17" s="222"/>
      <c r="S17" s="222">
        <f t="shared" si="0"/>
        <v>349876.79726080759</v>
      </c>
      <c r="T17" s="222"/>
      <c r="U17" s="222">
        <f t="shared" si="0"/>
        <v>362122.48516493582</v>
      </c>
      <c r="V17" s="222"/>
      <c r="W17" s="222">
        <f t="shared" si="0"/>
        <v>374796.77214570856</v>
      </c>
      <c r="X17" s="222"/>
      <c r="Y17" s="222">
        <f t="shared" si="0"/>
        <v>387914.65917080833</v>
      </c>
      <c r="Z17" s="222"/>
      <c r="AA17" s="222">
        <f t="shared" si="0"/>
        <v>401491.67224178661</v>
      </c>
      <c r="AB17" s="222"/>
      <c r="AC17" s="222">
        <f t="shared" si="0"/>
        <v>415543.88077024912</v>
      </c>
      <c r="AD17" s="222"/>
      <c r="AE17" s="222">
        <f t="shared" si="0"/>
        <v>430087.91659720778</v>
      </c>
      <c r="AF17" s="222"/>
      <c r="AG17" s="222">
        <f t="shared" si="0"/>
        <v>445140.99367811001</v>
      </c>
    </row>
    <row r="18" spans="1:33" s="210" customFormat="1" ht="14.25">
      <c r="A18" s="210" t="s">
        <v>842</v>
      </c>
      <c r="C18" s="233"/>
      <c r="E18" s="222">
        <f>Application!W862</f>
        <v>302848</v>
      </c>
      <c r="F18" s="222"/>
      <c r="G18" s="222">
        <f t="shared" si="0"/>
        <v>313447.67999999999</v>
      </c>
      <c r="H18" s="222"/>
      <c r="I18" s="222">
        <f t="shared" si="0"/>
        <v>324418.34879999998</v>
      </c>
      <c r="J18" s="222"/>
      <c r="K18" s="222">
        <f t="shared" si="0"/>
        <v>335772.99100799992</v>
      </c>
      <c r="L18" s="222"/>
      <c r="M18" s="222">
        <f t="shared" si="0"/>
        <v>347525.04569327988</v>
      </c>
      <c r="N18" s="222"/>
      <c r="O18" s="222">
        <f t="shared" si="0"/>
        <v>359688.42229254468</v>
      </c>
      <c r="P18" s="222"/>
      <c r="Q18" s="222">
        <f t="shared" si="0"/>
        <v>372277.51707278372</v>
      </c>
      <c r="R18" s="222"/>
      <c r="S18" s="222">
        <f t="shared" si="0"/>
        <v>385307.23017033114</v>
      </c>
      <c r="T18" s="222"/>
      <c r="U18" s="222">
        <f t="shared" si="0"/>
        <v>398792.98322629271</v>
      </c>
      <c r="V18" s="222"/>
      <c r="W18" s="222">
        <f t="shared" si="0"/>
        <v>412750.73763921292</v>
      </c>
      <c r="X18" s="222"/>
      <c r="Y18" s="222">
        <f t="shared" si="0"/>
        <v>427197.01345658535</v>
      </c>
      <c r="Z18" s="222"/>
      <c r="AA18" s="222">
        <f t="shared" si="0"/>
        <v>442148.90892756579</v>
      </c>
      <c r="AB18" s="222"/>
      <c r="AC18" s="222">
        <f t="shared" si="0"/>
        <v>457624.12074003054</v>
      </c>
      <c r="AD18" s="222"/>
      <c r="AE18" s="222">
        <f t="shared" si="0"/>
        <v>473640.96496593155</v>
      </c>
      <c r="AF18" s="222"/>
      <c r="AG18" s="222">
        <f t="shared" si="0"/>
        <v>490218.39873973909</v>
      </c>
    </row>
    <row r="19" spans="1:33" s="210" customFormat="1" ht="14.25">
      <c r="A19" s="210" t="s">
        <v>155</v>
      </c>
      <c r="C19" s="233"/>
      <c r="E19" s="222">
        <f>Application!W863</f>
        <v>212300</v>
      </c>
      <c r="F19" s="222"/>
      <c r="G19" s="222">
        <f t="shared" si="0"/>
        <v>219730.49999999997</v>
      </c>
      <c r="H19" s="222"/>
      <c r="I19" s="222">
        <f t="shared" si="0"/>
        <v>227421.06749999995</v>
      </c>
      <c r="J19" s="222"/>
      <c r="K19" s="222">
        <f t="shared" si="0"/>
        <v>235380.80486249994</v>
      </c>
      <c r="L19" s="222"/>
      <c r="M19" s="222">
        <f t="shared" si="0"/>
        <v>243619.13303268742</v>
      </c>
      <c r="N19" s="222"/>
      <c r="O19" s="222">
        <f t="shared" si="0"/>
        <v>252145.80268883146</v>
      </c>
      <c r="P19" s="222"/>
      <c r="Q19" s="222">
        <f t="shared" si="0"/>
        <v>260970.90578294054</v>
      </c>
      <c r="R19" s="222"/>
      <c r="S19" s="222">
        <f t="shared" si="0"/>
        <v>270104.88748534344</v>
      </c>
      <c r="T19" s="222"/>
      <c r="U19" s="222">
        <f t="shared" si="0"/>
        <v>279558.55854733044</v>
      </c>
      <c r="V19" s="222"/>
      <c r="W19" s="222">
        <f t="shared" si="0"/>
        <v>289343.10809648701</v>
      </c>
      <c r="X19" s="222"/>
      <c r="Y19" s="222">
        <f t="shared" si="0"/>
        <v>299470.11687986401</v>
      </c>
      <c r="Z19" s="222"/>
      <c r="AA19" s="222">
        <f t="shared" si="0"/>
        <v>309951.5709706592</v>
      </c>
      <c r="AB19" s="222"/>
      <c r="AC19" s="222">
        <f t="shared" si="0"/>
        <v>320799.87595463224</v>
      </c>
      <c r="AD19" s="222"/>
      <c r="AE19" s="222">
        <f t="shared" si="0"/>
        <v>332027.87161304435</v>
      </c>
      <c r="AF19" s="222"/>
      <c r="AG19" s="222">
        <f t="shared" si="0"/>
        <v>343648.84711950086</v>
      </c>
    </row>
    <row r="20" spans="1:33" s="210" customFormat="1" ht="14.25">
      <c r="A20" s="210" t="s">
        <v>390</v>
      </c>
      <c r="C20" s="233"/>
      <c r="E20" s="222">
        <f>Application!W872</f>
        <v>248800</v>
      </c>
      <c r="F20" s="222"/>
      <c r="G20" s="222">
        <f t="shared" si="0"/>
        <v>257507.99999999997</v>
      </c>
      <c r="H20" s="222"/>
      <c r="I20" s="222">
        <f t="shared" si="0"/>
        <v>266520.77999999997</v>
      </c>
      <c r="J20" s="222"/>
      <c r="K20" s="222">
        <f t="shared" si="0"/>
        <v>275849.00729999994</v>
      </c>
      <c r="L20" s="222"/>
      <c r="M20" s="222">
        <f t="shared" si="0"/>
        <v>285503.72255549993</v>
      </c>
      <c r="N20" s="222"/>
      <c r="O20" s="222">
        <f t="shared" si="0"/>
        <v>295496.35284494242</v>
      </c>
      <c r="P20" s="222"/>
      <c r="Q20" s="222">
        <f t="shared" si="0"/>
        <v>305838.72519451537</v>
      </c>
      <c r="R20" s="222"/>
      <c r="S20" s="222">
        <f t="shared" si="0"/>
        <v>316543.08057632338</v>
      </c>
      <c r="T20" s="222"/>
      <c r="U20" s="222">
        <f t="shared" si="0"/>
        <v>327622.08839649468</v>
      </c>
      <c r="V20" s="222"/>
      <c r="W20" s="222">
        <f t="shared" si="0"/>
        <v>339088.86149037199</v>
      </c>
      <c r="X20" s="222"/>
      <c r="Y20" s="222">
        <f t="shared" si="0"/>
        <v>350956.97164253501</v>
      </c>
      <c r="Z20" s="222"/>
      <c r="AA20" s="222">
        <f t="shared" si="0"/>
        <v>363240.46565002372</v>
      </c>
      <c r="AB20" s="222"/>
      <c r="AC20" s="222">
        <f t="shared" si="0"/>
        <v>375953.8819477745</v>
      </c>
      <c r="AD20" s="222"/>
      <c r="AE20" s="222">
        <f t="shared" si="0"/>
        <v>389112.2678159466</v>
      </c>
      <c r="AF20" s="222"/>
      <c r="AG20" s="222">
        <f t="shared" si="0"/>
        <v>402731.19718950469</v>
      </c>
    </row>
    <row r="21" spans="1:33" s="210" customFormat="1" ht="14.25">
      <c r="A21" s="226" t="s">
        <v>962</v>
      </c>
      <c r="B21" s="226"/>
      <c r="C21" s="237"/>
      <c r="E21" s="232">
        <f>Application!W879</f>
        <v>18000</v>
      </c>
      <c r="F21" s="222"/>
      <c r="G21" s="232">
        <f>E21*$C$14</f>
        <v>18630</v>
      </c>
      <c r="H21" s="222"/>
      <c r="I21" s="232">
        <f t="shared" si="0"/>
        <v>19282.05</v>
      </c>
      <c r="J21" s="222"/>
      <c r="K21" s="232">
        <f t="shared" si="0"/>
        <v>19956.921749999998</v>
      </c>
      <c r="L21" s="222"/>
      <c r="M21" s="232">
        <f t="shared" si="0"/>
        <v>20655.414011249995</v>
      </c>
      <c r="N21" s="222"/>
      <c r="O21" s="232">
        <f t="shared" si="0"/>
        <v>21378.353501643742</v>
      </c>
      <c r="P21" s="222"/>
      <c r="Q21" s="232">
        <f t="shared" si="0"/>
        <v>22126.59587420127</v>
      </c>
      <c r="R21" s="222"/>
      <c r="S21" s="232">
        <f t="shared" si="0"/>
        <v>22901.026729798312</v>
      </c>
      <c r="T21" s="222"/>
      <c r="U21" s="232">
        <f t="shared" si="0"/>
        <v>23702.562665341251</v>
      </c>
      <c r="V21" s="222"/>
      <c r="W21" s="232">
        <f t="shared" si="0"/>
        <v>24532.152358628195</v>
      </c>
      <c r="X21" s="222"/>
      <c r="Y21" s="232">
        <f t="shared" si="0"/>
        <v>25390.777691180181</v>
      </c>
      <c r="Z21" s="222"/>
      <c r="AA21" s="232">
        <f t="shared" si="0"/>
        <v>26279.454910371485</v>
      </c>
      <c r="AB21" s="222"/>
      <c r="AC21" s="232">
        <f t="shared" si="0"/>
        <v>27199.235832234484</v>
      </c>
      <c r="AD21" s="222"/>
      <c r="AE21" s="232">
        <f t="shared" si="0"/>
        <v>28151.209086362691</v>
      </c>
      <c r="AF21" s="222"/>
      <c r="AG21" s="232">
        <f t="shared" si="0"/>
        <v>29136.501404385384</v>
      </c>
    </row>
    <row r="22" spans="1:33" s="223" customFormat="1" ht="15">
      <c r="A22" s="223" t="s">
        <v>843</v>
      </c>
      <c r="C22" s="233"/>
      <c r="E22" s="223">
        <f>SUM(E15:E21)</f>
        <v>1556848</v>
      </c>
      <c r="G22" s="223">
        <f>SUM(G15:G21)</f>
        <v>1611337.68</v>
      </c>
      <c r="I22" s="223">
        <f>SUM(I15:I21)</f>
        <v>1667734.4987999999</v>
      </c>
      <c r="K22" s="223">
        <f>SUM(K15:K21)</f>
        <v>1726105.2062579996</v>
      </c>
      <c r="M22" s="223">
        <f>SUM(M15:M21)</f>
        <v>1786518.8884770295</v>
      </c>
      <c r="O22" s="223">
        <f>SUM(O15:O21)</f>
        <v>1849047.0495737253</v>
      </c>
      <c r="Q22" s="223">
        <f>SUM(Q15:Q21)</f>
        <v>1913763.6963088058</v>
      </c>
      <c r="S22" s="223">
        <f>SUM(S15:S21)</f>
        <v>1980745.4256796141</v>
      </c>
      <c r="U22" s="223">
        <f>SUM(U15:U21)</f>
        <v>2050071.5155784001</v>
      </c>
      <c r="W22" s="223">
        <f>SUM(W15:W21)</f>
        <v>2121824.018623644</v>
      </c>
      <c r="Y22" s="223">
        <f>SUM(Y15:Y21)</f>
        <v>2196087.8592754719</v>
      </c>
      <c r="AA22" s="223">
        <f>SUM(AA15:AA21)</f>
        <v>2272950.9343501129</v>
      </c>
      <c r="AC22" s="223">
        <f>SUM(AC15:AC21)</f>
        <v>2352504.2170523661</v>
      </c>
      <c r="AE22" s="223">
        <f>SUM(AE15:AE21)</f>
        <v>2434841.8646491994</v>
      </c>
      <c r="AG22" s="223">
        <f>SUM(AG15:AG21)</f>
        <v>2520061.3299119212</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v>
      </c>
      <c r="E26" s="222">
        <f>Application!AC887</f>
        <v>46000</v>
      </c>
      <c r="F26" s="222"/>
      <c r="G26" s="222">
        <f>E26*$C$26</f>
        <v>46000</v>
      </c>
      <c r="H26" s="222"/>
      <c r="I26" s="222">
        <f>G26*$C$26</f>
        <v>46000</v>
      </c>
      <c r="J26" s="222"/>
      <c r="K26" s="222">
        <f>I26*$C$26</f>
        <v>46000</v>
      </c>
      <c r="L26" s="222"/>
      <c r="M26" s="222">
        <f>K26*$C$26</f>
        <v>46000</v>
      </c>
      <c r="N26" s="222"/>
      <c r="O26" s="222">
        <f>M26*$C$26</f>
        <v>46000</v>
      </c>
      <c r="P26" s="222"/>
      <c r="Q26" s="222">
        <f>O26*$C$26</f>
        <v>46000</v>
      </c>
      <c r="R26" s="222"/>
      <c r="S26" s="222">
        <f>Q26*$C$26</f>
        <v>46000</v>
      </c>
      <c r="T26" s="222"/>
      <c r="U26" s="222">
        <f>S26*$C$26</f>
        <v>46000</v>
      </c>
      <c r="V26" s="222"/>
      <c r="W26" s="222">
        <f>U26*$C$26</f>
        <v>46000</v>
      </c>
      <c r="X26" s="222"/>
      <c r="Y26" s="222">
        <f>W26*$C$26</f>
        <v>46000</v>
      </c>
      <c r="Z26" s="222"/>
      <c r="AA26" s="222">
        <f>Y26*$C$26</f>
        <v>46000</v>
      </c>
      <c r="AB26" s="222"/>
      <c r="AC26" s="222">
        <f>AA26*$C$26</f>
        <v>46000</v>
      </c>
      <c r="AD26" s="222"/>
      <c r="AE26" s="222">
        <f>AC26*$C$26</f>
        <v>46000</v>
      </c>
      <c r="AF26" s="222"/>
      <c r="AG26" s="222">
        <f>AE26*$C$26</f>
        <v>46000</v>
      </c>
    </row>
    <row r="27" spans="1:33" s="210" customFormat="1" ht="14.25">
      <c r="A27" s="210" t="s">
        <v>845</v>
      </c>
      <c r="C27" s="237">
        <v>1.0349999999999999</v>
      </c>
      <c r="E27" s="222">
        <f>Application!AC888</f>
        <v>95000</v>
      </c>
      <c r="F27" s="222"/>
      <c r="G27" s="222">
        <f>E27*$C$27</f>
        <v>98324.999999999985</v>
      </c>
      <c r="H27" s="222"/>
      <c r="I27" s="222">
        <f>G27*$C$27</f>
        <v>101766.37499999997</v>
      </c>
      <c r="J27" s="222"/>
      <c r="K27" s="222">
        <f>I27*$C$27</f>
        <v>105328.19812499997</v>
      </c>
      <c r="L27" s="222"/>
      <c r="M27" s="222">
        <f>K27*$C$27</f>
        <v>109014.68505937496</v>
      </c>
      <c r="N27" s="222"/>
      <c r="O27" s="222">
        <f>M27*$C$27</f>
        <v>112830.19903645306</v>
      </c>
      <c r="P27" s="222"/>
      <c r="Q27" s="222">
        <f>O27*$C$27</f>
        <v>116779.25600272891</v>
      </c>
      <c r="R27" s="222"/>
      <c r="S27" s="222">
        <f>Q27*$C$27</f>
        <v>120866.52996282441</v>
      </c>
      <c r="T27" s="222"/>
      <c r="U27" s="222">
        <f>S27*$C$27</f>
        <v>125096.85851152326</v>
      </c>
      <c r="V27" s="222"/>
      <c r="W27" s="222">
        <f>U27*$C$27</f>
        <v>129475.24855942656</v>
      </c>
      <c r="X27" s="222"/>
      <c r="Y27" s="222">
        <f>W27*$C$27</f>
        <v>134006.88225900647</v>
      </c>
      <c r="Z27" s="222"/>
      <c r="AA27" s="222">
        <f>Y27*$C$27</f>
        <v>138697.12313807168</v>
      </c>
      <c r="AB27" s="222"/>
      <c r="AC27" s="222">
        <f>AA27*$C$27</f>
        <v>143551.52244790416</v>
      </c>
      <c r="AD27" s="222"/>
      <c r="AE27" s="222">
        <f>AC27*$C$27</f>
        <v>148575.8257335808</v>
      </c>
      <c r="AF27" s="222"/>
      <c r="AG27" s="222">
        <f>AE27*$C$27</f>
        <v>153775.97963425613</v>
      </c>
    </row>
    <row r="28" spans="1:33" s="210" customFormat="1" ht="14.25">
      <c r="A28" s="210" t="s">
        <v>846</v>
      </c>
      <c r="C28" s="237"/>
      <c r="E28" s="222">
        <f>Application!AC889</f>
        <v>97500</v>
      </c>
      <c r="F28" s="222"/>
      <c r="G28" s="222">
        <f>$E$28</f>
        <v>97500</v>
      </c>
      <c r="H28" s="222"/>
      <c r="I28" s="222">
        <f>$E$28</f>
        <v>97500</v>
      </c>
      <c r="J28" s="222"/>
      <c r="K28" s="222">
        <f>$E$28</f>
        <v>97500</v>
      </c>
      <c r="L28" s="222"/>
      <c r="M28" s="222">
        <f>$E$28</f>
        <v>97500</v>
      </c>
      <c r="N28" s="222"/>
      <c r="O28" s="222">
        <f>$E$28</f>
        <v>97500</v>
      </c>
      <c r="P28" s="222"/>
      <c r="Q28" s="222">
        <f>$E$28</f>
        <v>97500</v>
      </c>
      <c r="R28" s="222"/>
      <c r="S28" s="222">
        <f>$E$28</f>
        <v>97500</v>
      </c>
      <c r="T28" s="222"/>
      <c r="U28" s="222">
        <f>$E$28</f>
        <v>97500</v>
      </c>
      <c r="V28" s="222"/>
      <c r="W28" s="222">
        <f>$E$28</f>
        <v>97500</v>
      </c>
      <c r="X28" s="222"/>
      <c r="Y28" s="222">
        <f>$E$28</f>
        <v>97500</v>
      </c>
      <c r="Z28" s="222"/>
      <c r="AA28" s="222">
        <f>$E$28</f>
        <v>97500</v>
      </c>
      <c r="AB28" s="222"/>
      <c r="AC28" s="222">
        <f>$E$28</f>
        <v>97500</v>
      </c>
      <c r="AD28" s="222"/>
      <c r="AE28" s="222">
        <f>$E$28</f>
        <v>97500</v>
      </c>
      <c r="AF28" s="222"/>
      <c r="AG28" s="222">
        <f>$E$28</f>
        <v>97500</v>
      </c>
    </row>
    <row r="29" spans="1:33" s="210" customFormat="1" ht="14.25">
      <c r="A29" s="210" t="s">
        <v>1680</v>
      </c>
      <c r="C29" s="237">
        <v>1.0349999999999999</v>
      </c>
      <c r="E29" s="222">
        <f>Application!AC890</f>
        <v>167672</v>
      </c>
      <c r="F29" s="222"/>
      <c r="G29" s="222">
        <f>$E$29*$C$29</f>
        <v>173540.52</v>
      </c>
      <c r="H29" s="222"/>
      <c r="I29" s="222">
        <f>$G$29*$C$29</f>
        <v>179614.43819999998</v>
      </c>
      <c r="J29" s="222"/>
      <c r="K29" s="222">
        <f>$I$29*$C$29</f>
        <v>185900.94353699996</v>
      </c>
      <c r="L29" s="222"/>
      <c r="M29" s="222">
        <f>$K$29*$C$29</f>
        <v>192407.47656079495</v>
      </c>
      <c r="N29" s="222"/>
      <c r="O29" s="222">
        <f>$M$29*$C$29</f>
        <v>199141.73824042277</v>
      </c>
      <c r="P29" s="222"/>
      <c r="Q29" s="222">
        <f>$O$29*$C$29</f>
        <v>206111.69907883756</v>
      </c>
      <c r="R29" s="222"/>
      <c r="S29" s="222">
        <f>$Q$29*$C$29</f>
        <v>213325.60854659686</v>
      </c>
      <c r="T29" s="222"/>
      <c r="U29" s="222">
        <f>$S$29*$C$29</f>
        <v>220792.00484572773</v>
      </c>
      <c r="V29" s="222"/>
      <c r="W29" s="222">
        <f>$U$29*$C$29</f>
        <v>228519.72501532818</v>
      </c>
      <c r="X29" s="222"/>
      <c r="Y29" s="222">
        <f>$W$29*$C$29</f>
        <v>236517.91539086465</v>
      </c>
      <c r="Z29" s="222"/>
      <c r="AA29" s="222">
        <f>$Y$29*$C$29</f>
        <v>244796.0424295449</v>
      </c>
      <c r="AB29" s="222"/>
      <c r="AC29" s="222">
        <f>$AA$29*$C$29</f>
        <v>253363.90391457896</v>
      </c>
      <c r="AD29" s="222"/>
      <c r="AE29" s="222">
        <f>$AC$29*$C$29</f>
        <v>262231.6405515892</v>
      </c>
      <c r="AF29" s="222"/>
      <c r="AG29" s="222">
        <f>$AE$29*$C$29</f>
        <v>271409.74797089479</v>
      </c>
    </row>
    <row r="30" spans="1:33" s="210" customFormat="1" ht="14.25">
      <c r="A30" s="210" t="s">
        <v>844</v>
      </c>
      <c r="C30" s="237">
        <v>1.02</v>
      </c>
      <c r="E30" s="222">
        <f>Application!AC891</f>
        <v>27809</v>
      </c>
      <c r="F30" s="222"/>
      <c r="G30" s="222">
        <f>E30*$C$30</f>
        <v>28365.18</v>
      </c>
      <c r="H30" s="222"/>
      <c r="I30" s="222">
        <f>G30*$C$30</f>
        <v>28932.4836</v>
      </c>
      <c r="J30" s="222"/>
      <c r="K30" s="222">
        <f>I30*$C$30</f>
        <v>29511.133271999999</v>
      </c>
      <c r="L30" s="222"/>
      <c r="M30" s="222">
        <f>K30*$C$30</f>
        <v>30101.355937439999</v>
      </c>
      <c r="N30" s="222"/>
      <c r="O30" s="222">
        <f>M30*$C$30</f>
        <v>30703.383056188799</v>
      </c>
      <c r="P30" s="222"/>
      <c r="Q30" s="222">
        <f>O30*$C$30</f>
        <v>31317.450717312575</v>
      </c>
      <c r="R30" s="222"/>
      <c r="S30" s="222">
        <f>Q30*$C$30</f>
        <v>31943.799731658826</v>
      </c>
      <c r="T30" s="222"/>
      <c r="U30" s="222">
        <f>S30*$C$30</f>
        <v>32582.675726292004</v>
      </c>
      <c r="V30" s="222"/>
      <c r="W30" s="222">
        <f>U30*$C$30</f>
        <v>33234.329240817846</v>
      </c>
      <c r="X30" s="222"/>
      <c r="Y30" s="222">
        <f>W30*$C$30</f>
        <v>33899.015825634204</v>
      </c>
      <c r="Z30" s="222"/>
      <c r="AA30" s="222">
        <f>Y30*$C$30</f>
        <v>34576.996142146891</v>
      </c>
      <c r="AB30" s="222"/>
      <c r="AC30" s="222">
        <f>AA30*$C$30</f>
        <v>35268.536064989828</v>
      </c>
      <c r="AD30" s="222"/>
      <c r="AE30" s="222">
        <f>AC30*$C$30</f>
        <v>35973.906786289626</v>
      </c>
      <c r="AF30" s="222"/>
      <c r="AG30" s="222">
        <f>AE30*$C$30</f>
        <v>36693.384922015422</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1990829</v>
      </c>
      <c r="G35" s="223">
        <f>SUM(G22:G33)</f>
        <v>2055068.38</v>
      </c>
      <c r="I35" s="223">
        <f>SUM(I22:I33)</f>
        <v>2121547.7955999998</v>
      </c>
      <c r="K35" s="223">
        <f>SUM(K22:K33)</f>
        <v>2190345.4811919997</v>
      </c>
      <c r="M35" s="223">
        <f>SUM(M22:M33)</f>
        <v>2261542.4060346391</v>
      </c>
      <c r="O35" s="223">
        <f>SUM(O22:O33)</f>
        <v>2335222.3699067901</v>
      </c>
      <c r="Q35" s="223">
        <f>SUM(Q22:Q33)</f>
        <v>2411472.1021076846</v>
      </c>
      <c r="S35" s="223">
        <f>SUM(S22:S33)</f>
        <v>2490381.3639206942</v>
      </c>
      <c r="U35" s="223">
        <f>SUM(U22:U33)</f>
        <v>2572043.0546619431</v>
      </c>
      <c r="W35" s="223">
        <f>SUM(W22:W33)</f>
        <v>2656553.3214392168</v>
      </c>
      <c r="Y35" s="223">
        <f>SUM(Y22:Y33)</f>
        <v>2744011.6727509773</v>
      </c>
      <c r="AA35" s="223">
        <f>SUM(AA22:AA33)</f>
        <v>2834521.0960598765</v>
      </c>
      <c r="AC35" s="223">
        <f>SUM(AC22:AC33)</f>
        <v>2928188.1794798393</v>
      </c>
      <c r="AE35" s="223">
        <f>SUM(AE22:AE33)</f>
        <v>3025123.2377206585</v>
      </c>
      <c r="AG35" s="223">
        <f>SUM(AG22:AG33)</f>
        <v>3125440.4424390877</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3461870.2199999997</v>
      </c>
      <c r="G37" s="223">
        <f>G11-G35</f>
        <v>3533948.3204999994</v>
      </c>
      <c r="I37" s="223">
        <f>I11-I35</f>
        <v>3607194.3224124992</v>
      </c>
      <c r="K37" s="223">
        <f>K11-K35</f>
        <v>3681615.1897708117</v>
      </c>
      <c r="M37" s="223">
        <f>M11-M35</f>
        <v>3757217.2817022437</v>
      </c>
      <c r="O37" s="223">
        <f>O11-O35</f>
        <v>3834006.3100235132</v>
      </c>
      <c r="Q37" s="223">
        <f>Q11-Q35</f>
        <v>3911987.2948208745</v>
      </c>
      <c r="S37" s="223">
        <f>S11-S35</f>
        <v>3991164.5179310795</v>
      </c>
      <c r="U37" s="223">
        <f>U11-U35</f>
        <v>4071541.4742361228</v>
      </c>
      <c r="W37" s="223">
        <f>W11-W35</f>
        <v>4153120.8206813</v>
      </c>
      <c r="Y37" s="223">
        <f>Y11-Y35</f>
        <v>4235904.3229225539</v>
      </c>
      <c r="AA37" s="223">
        <f>AA11-AA35</f>
        <v>4319892.7995054917</v>
      </c>
      <c r="AC37" s="223">
        <f>AC11-AC35</f>
        <v>4405086.0634746607</v>
      </c>
      <c r="AE37" s="223">
        <f>AE11-AE35</f>
        <v>4491482.8613077048</v>
      </c>
      <c r="AG37" s="223">
        <f>AG11-AG35</f>
        <v>4579080.8090649834</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Citibank</v>
      </c>
      <c r="B40" s="226"/>
      <c r="C40" s="220"/>
      <c r="E40" s="222">
        <f>Application!AF627</f>
        <v>2884892</v>
      </c>
      <c r="F40" s="222"/>
      <c r="G40" s="222">
        <f>$E$40</f>
        <v>2884892</v>
      </c>
      <c r="H40" s="222"/>
      <c r="I40" s="222">
        <f>$E$40</f>
        <v>2884892</v>
      </c>
      <c r="J40" s="222"/>
      <c r="K40" s="222">
        <f>$E$40</f>
        <v>2884892</v>
      </c>
      <c r="L40" s="222"/>
      <c r="M40" s="222">
        <f>$E$40</f>
        <v>2884892</v>
      </c>
      <c r="N40" s="222"/>
      <c r="O40" s="222">
        <f>$E$40</f>
        <v>2884892</v>
      </c>
      <c r="P40" s="222"/>
      <c r="Q40" s="222">
        <f>$E$40</f>
        <v>2884892</v>
      </c>
      <c r="R40" s="222"/>
      <c r="S40" s="222">
        <f>$E$40</f>
        <v>2884892</v>
      </c>
      <c r="T40" s="222"/>
      <c r="U40" s="222">
        <f>$E$40</f>
        <v>2884892</v>
      </c>
      <c r="V40" s="222"/>
      <c r="W40" s="222">
        <f>$E$40</f>
        <v>2884892</v>
      </c>
      <c r="X40" s="222"/>
      <c r="Y40" s="222">
        <f>$E$40</f>
        <v>2884892</v>
      </c>
      <c r="Z40" s="222"/>
      <c r="AA40" s="222">
        <f>$E$40</f>
        <v>2884892</v>
      </c>
      <c r="AB40" s="222"/>
      <c r="AC40" s="222">
        <f>$E$40</f>
        <v>2884892</v>
      </c>
      <c r="AD40" s="222"/>
      <c r="AE40" s="222">
        <f>$E$40</f>
        <v>2884892</v>
      </c>
      <c r="AF40" s="222"/>
      <c r="AG40" s="222">
        <f>$E$40</f>
        <v>2884892</v>
      </c>
    </row>
    <row r="41" spans="1:33" s="210" customFormat="1" ht="14.25">
      <c r="A41" s="225" t="s">
        <v>2197</v>
      </c>
      <c r="B41" s="226"/>
      <c r="C41" s="220"/>
      <c r="E41" s="222">
        <v>121800</v>
      </c>
      <c r="F41" s="222"/>
      <c r="G41" s="222">
        <f>$E$41</f>
        <v>121800</v>
      </c>
      <c r="H41" s="222"/>
      <c r="I41" s="222">
        <f>$E$41</f>
        <v>121800</v>
      </c>
      <c r="J41" s="222"/>
      <c r="K41" s="222">
        <f>$E$41</f>
        <v>121800</v>
      </c>
      <c r="L41" s="222"/>
      <c r="M41" s="222">
        <f>$E$41</f>
        <v>121800</v>
      </c>
      <c r="N41" s="222"/>
      <c r="O41" s="222">
        <f>$E$41</f>
        <v>121800</v>
      </c>
      <c r="P41" s="222"/>
      <c r="Q41" s="222">
        <f>$E$41</f>
        <v>121800</v>
      </c>
      <c r="R41" s="222"/>
      <c r="S41" s="222">
        <f>$E$41</f>
        <v>121800</v>
      </c>
      <c r="T41" s="222"/>
      <c r="U41" s="222">
        <f>$E$41</f>
        <v>121800</v>
      </c>
      <c r="V41" s="222"/>
      <c r="W41" s="222">
        <f>$E$41</f>
        <v>121800</v>
      </c>
      <c r="X41" s="222"/>
      <c r="Y41" s="222">
        <f>$E$41</f>
        <v>121800</v>
      </c>
      <c r="Z41" s="222"/>
      <c r="AA41" s="222">
        <f>$E$41</f>
        <v>121800</v>
      </c>
      <c r="AB41" s="222"/>
      <c r="AC41" s="222">
        <f>$E$41</f>
        <v>121800</v>
      </c>
      <c r="AD41" s="222"/>
      <c r="AE41" s="222">
        <f>$E$41</f>
        <v>121800</v>
      </c>
      <c r="AF41" s="222"/>
      <c r="AG41" s="222">
        <f>$E$41</f>
        <v>121800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3006692</v>
      </c>
      <c r="G43" s="223">
        <f>SUM(G40:G42)</f>
        <v>3006692</v>
      </c>
      <c r="I43" s="223">
        <f>SUM(I40:I42)</f>
        <v>3006692</v>
      </c>
      <c r="K43" s="223">
        <f>SUM(K40:K42)</f>
        <v>3006692</v>
      </c>
      <c r="M43" s="223">
        <f>SUM(M40:M42)</f>
        <v>3006692</v>
      </c>
      <c r="O43" s="223">
        <f>SUM(O40:O42)</f>
        <v>3006692</v>
      </c>
      <c r="Q43" s="223">
        <f>SUM(Q40:Q42)</f>
        <v>3006692</v>
      </c>
      <c r="S43" s="223">
        <f>SUM(S40:S42)</f>
        <v>3006692</v>
      </c>
      <c r="U43" s="223">
        <f>SUM(U40:U42)</f>
        <v>3006692</v>
      </c>
      <c r="W43" s="223">
        <f>SUM(W40:W42)</f>
        <v>3006692</v>
      </c>
      <c r="Y43" s="223">
        <f>SUM(Y40:Y42)</f>
        <v>3006692</v>
      </c>
      <c r="AA43" s="223">
        <f>SUM(AA40:AA42)</f>
        <v>3006692</v>
      </c>
      <c r="AC43" s="223">
        <f>SUM(AC40:AC42)</f>
        <v>3006692</v>
      </c>
      <c r="AE43" s="223">
        <f>SUM(AE40:AE42)</f>
        <v>3006692</v>
      </c>
      <c r="AG43" s="223">
        <f>SUM(AG40:AG42)</f>
        <v>3006692</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455178.21999999974</v>
      </c>
      <c r="G45" s="223">
        <f>G37-G43</f>
        <v>527256.32049999945</v>
      </c>
      <c r="I45" s="223">
        <f>I37-I43</f>
        <v>600502.32241249923</v>
      </c>
      <c r="K45" s="223">
        <f>K37-K43</f>
        <v>674923.1897708117</v>
      </c>
      <c r="M45" s="223">
        <f>M37-M43</f>
        <v>750525.28170224372</v>
      </c>
      <c r="O45" s="223">
        <f>O37-O43</f>
        <v>827314.31002351316</v>
      </c>
      <c r="Q45" s="223">
        <f>Q37-Q43</f>
        <v>905295.29482087446</v>
      </c>
      <c r="S45" s="223">
        <f>S37-S43</f>
        <v>984472.51793107949</v>
      </c>
      <c r="U45" s="223">
        <f>U37-U43</f>
        <v>1064849.4742361228</v>
      </c>
      <c r="W45" s="223">
        <f>W37-W43</f>
        <v>1146428.8206813</v>
      </c>
      <c r="Y45" s="223">
        <f>Y37-Y43</f>
        <v>1229212.3229225539</v>
      </c>
      <c r="AA45" s="223">
        <f>AA37-AA43</f>
        <v>1313200.7995054917</v>
      </c>
      <c r="AC45" s="223">
        <f>AC37-AC43</f>
        <v>1398394.0634746607</v>
      </c>
      <c r="AE45" s="223">
        <f>AE37-AE43</f>
        <v>1484790.8613077048</v>
      </c>
      <c r="AG45" s="223">
        <f>AG37-AG43</f>
        <v>1572388.8090649834</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7.888982903381675E-2</v>
      </c>
      <c r="G47" s="227">
        <f>G45/(G4+G6+G8)</f>
        <v>8.9153309795337976E-2</v>
      </c>
      <c r="I47" s="227">
        <f>I45/(I4+I6+I8)</f>
        <v>9.9061865518190337E-2</v>
      </c>
      <c r="K47" s="227">
        <f>K45/(K4+K6+K8)</f>
        <v>0.1086231257460842</v>
      </c>
      <c r="M47" s="227">
        <f>M45/(M4+M6+M8)</f>
        <v>0.1178445239479291</v>
      </c>
      <c r="O47" s="227">
        <f>O45/(O4+O6+O8)</f>
        <v>0.1267333022025374</v>
      </c>
      <c r="Q47" s="227">
        <f>Q45/(Q4+Q6+Q8)</f>
        <v>0.13529651576811921</v>
      </c>
      <c r="S47" s="227">
        <f>S45/(S4+S6+S8)</f>
        <v>0.14354103753936104</v>
      </c>
      <c r="U47" s="227">
        <f>U45/(U4+U6+U8)</f>
        <v>0.15147356239482676</v>
      </c>
      <c r="W47" s="227">
        <f>W45/(W4+W6+W8)</f>
        <v>0.15910061143734638</v>
      </c>
      <c r="Y47" s="227">
        <f>Y45/(Y4+Y6+Y8)</f>
        <v>0.16642853612998929</v>
      </c>
      <c r="AA47" s="227">
        <f>AA45/(AA4+AA6+AA8)</f>
        <v>0.17346352233016135</v>
      </c>
      <c r="AC47" s="227">
        <f>AC45/(AC4+AC6+AC8)</f>
        <v>0.18021159422430308</v>
      </c>
      <c r="AE47" s="227">
        <f>AE45/(AE4+AE6+AE8)</f>
        <v>0.18667861816559922</v>
      </c>
      <c r="AG47" s="227">
        <f>AG45/(AG4+AG6+AG8)</f>
        <v>0.19287030641705619</v>
      </c>
    </row>
    <row r="48" spans="1:33" s="227" customFormat="1" ht="14.25">
      <c r="A48" s="227" t="s">
        <v>852</v>
      </c>
      <c r="C48" s="220"/>
      <c r="E48" s="227">
        <f>E45/E43</f>
        <v>0.15138837632853638</v>
      </c>
      <c r="G48" s="227">
        <f>G45/G43</f>
        <v>0.17536093504090192</v>
      </c>
      <c r="I48" s="227">
        <f>I45/I43</f>
        <v>0.19972192775731576</v>
      </c>
      <c r="K48" s="227">
        <f>K45/K43</f>
        <v>0.22447367065559481</v>
      </c>
      <c r="M48" s="227">
        <f>M45/M43</f>
        <v>0.24961827872700088</v>
      </c>
      <c r="O48" s="227">
        <f>O45/O43</f>
        <v>0.27515765167283951</v>
      </c>
      <c r="Q48" s="227">
        <f>Q45/Q43</f>
        <v>0.30109345913079039</v>
      </c>
      <c r="S48" s="227">
        <f>S45/S43</f>
        <v>0.32742712520307349</v>
      </c>
      <c r="U48" s="227">
        <f>U45/U43</f>
        <v>0.35415981225749854</v>
      </c>
      <c r="W48" s="227">
        <f>W45/W43</f>
        <v>0.38129240397130798</v>
      </c>
      <c r="Y48" s="227">
        <f>Y45/Y43</f>
        <v>0.40882548758654158</v>
      </c>
      <c r="AA48" s="227">
        <f>AA45/AA43</f>
        <v>0.43675933534445555</v>
      </c>
      <c r="AC48" s="227">
        <f>AC45/AC43</f>
        <v>0.465093885065268</v>
      </c>
      <c r="AE48" s="227">
        <f>AE45/AE43</f>
        <v>0.49382871983818255</v>
      </c>
      <c r="AG48" s="227">
        <f>AG45/AG43</f>
        <v>0.5229630467852987</v>
      </c>
    </row>
    <row r="49" spans="1:34" s="228" customFormat="1" ht="14.25">
      <c r="A49" s="228" t="s">
        <v>850</v>
      </c>
      <c r="C49" s="229"/>
      <c r="E49" s="1265">
        <f>E37/E43</f>
        <v>1.1513883763285364</v>
      </c>
      <c r="F49" s="1265"/>
      <c r="G49" s="1265">
        <f>G37/G43</f>
        <v>1.175360935040902</v>
      </c>
      <c r="H49" s="1265"/>
      <c r="I49" s="1265">
        <f>I37/I43</f>
        <v>1.1997219277573157</v>
      </c>
      <c r="J49" s="1265"/>
      <c r="K49" s="1265">
        <f>K37/K43</f>
        <v>1.2244736706555948</v>
      </c>
      <c r="L49" s="1265"/>
      <c r="M49" s="1265">
        <f>M37/M43</f>
        <v>1.2496182787270009</v>
      </c>
      <c r="N49" s="1265"/>
      <c r="O49" s="1265">
        <f>O37/O43</f>
        <v>1.2751576516728396</v>
      </c>
      <c r="P49" s="1265"/>
      <c r="Q49" s="1265">
        <f>Q37/Q43</f>
        <v>1.3010934591307903</v>
      </c>
      <c r="R49" s="1265"/>
      <c r="S49" s="1265">
        <f>S37/S43</f>
        <v>1.3274271252030736</v>
      </c>
      <c r="T49" s="1265"/>
      <c r="U49" s="1265">
        <f>U37/U43</f>
        <v>1.3541598122574985</v>
      </c>
      <c r="V49" s="1265"/>
      <c r="W49" s="1265">
        <f>W37/W43</f>
        <v>1.3812924039713079</v>
      </c>
      <c r="X49" s="1265"/>
      <c r="Y49" s="1265">
        <f>Y37/Y43</f>
        <v>1.4088254875865416</v>
      </c>
      <c r="Z49" s="1265"/>
      <c r="AA49" s="1265">
        <f>AA37/AA43</f>
        <v>1.4367593353444557</v>
      </c>
      <c r="AB49" s="1265"/>
      <c r="AC49" s="1265">
        <f>AC37/AC43</f>
        <v>1.4650938850652679</v>
      </c>
      <c r="AD49" s="1265"/>
      <c r="AE49" s="1265">
        <f>AE37/AE43</f>
        <v>1.4938287198381826</v>
      </c>
      <c r="AF49" s="1265"/>
      <c r="AG49" s="1265">
        <f>AG37/AG43</f>
        <v>1.5229630467852988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702" t="s">
        <v>1184</v>
      </c>
      <c r="B52" s="2702"/>
      <c r="C52" s="2702"/>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v>
      </c>
      <c r="E53" s="964">
        <v>25000</v>
      </c>
      <c r="G53" s="960">
        <f>E53*$C$53</f>
        <v>25750</v>
      </c>
      <c r="I53" s="960">
        <f>G53*$C$53</f>
        <v>26522.5</v>
      </c>
      <c r="K53" s="960">
        <f>I53*$C$53</f>
        <v>27318.174999999999</v>
      </c>
      <c r="M53" s="960">
        <f>K53*$C$53</f>
        <v>28137.720249999998</v>
      </c>
      <c r="O53" s="960">
        <f>M53*$C$53</f>
        <v>28981.851857499998</v>
      </c>
      <c r="Q53" s="960">
        <f>O53*$C$53</f>
        <v>29851.307413225</v>
      </c>
      <c r="S53" s="960">
        <f>Q53*$C$53</f>
        <v>30746.84663562175</v>
      </c>
      <c r="U53" s="960">
        <f>S53*$C$53</f>
        <v>31669.252034690402</v>
      </c>
      <c r="W53" s="960">
        <f>U53*$C$53</f>
        <v>32619.329595731117</v>
      </c>
      <c r="Y53" s="960">
        <f>W53*$C$53</f>
        <v>33597.909483603049</v>
      </c>
      <c r="AA53" s="960">
        <f>Y53*$C$53</f>
        <v>34605.846768111143</v>
      </c>
      <c r="AC53" s="960">
        <f>AA53*$C$53</f>
        <v>35644.02217115448</v>
      </c>
      <c r="AE53" s="960">
        <f>AC53*$C$53</f>
        <v>36713.342836289114</v>
      </c>
      <c r="AG53" s="960">
        <f>AE53*$C$53</f>
        <v>37814.743121377789</v>
      </c>
    </row>
    <row r="54" spans="1:34" s="3" customFormat="1">
      <c r="A54" s="3" t="s">
        <v>855</v>
      </c>
      <c r="C54" s="958"/>
      <c r="E54" s="965">
        <v>7500</v>
      </c>
      <c r="F54" s="960"/>
      <c r="G54" s="960">
        <f t="shared" ref="G54:AG57" si="1">E54*$C$53</f>
        <v>7725</v>
      </c>
      <c r="H54" s="960"/>
      <c r="I54" s="960">
        <f t="shared" si="1"/>
        <v>7956.75</v>
      </c>
      <c r="J54" s="960"/>
      <c r="K54" s="960">
        <f t="shared" si="1"/>
        <v>8195.4524999999994</v>
      </c>
      <c r="L54" s="960"/>
      <c r="M54" s="960">
        <f t="shared" si="1"/>
        <v>8441.3160749999988</v>
      </c>
      <c r="N54" s="960"/>
      <c r="O54" s="960">
        <f t="shared" si="1"/>
        <v>8694.5555572499998</v>
      </c>
      <c r="P54" s="960"/>
      <c r="Q54" s="960">
        <f t="shared" si="1"/>
        <v>8955.3922239674994</v>
      </c>
      <c r="R54" s="960"/>
      <c r="S54" s="960">
        <f t="shared" si="1"/>
        <v>9224.0539906865251</v>
      </c>
      <c r="T54" s="960"/>
      <c r="U54" s="960">
        <f t="shared" si="1"/>
        <v>9500.7756104071213</v>
      </c>
      <c r="V54" s="960"/>
      <c r="W54" s="960">
        <f t="shared" si="1"/>
        <v>9785.7988787193353</v>
      </c>
      <c r="X54" s="960"/>
      <c r="Y54" s="960">
        <f t="shared" si="1"/>
        <v>10079.372845080916</v>
      </c>
      <c r="Z54" s="960"/>
      <c r="AA54" s="960">
        <f t="shared" si="1"/>
        <v>10381.754030433343</v>
      </c>
      <c r="AB54" s="960"/>
      <c r="AC54" s="960">
        <f t="shared" si="1"/>
        <v>10693.206651346343</v>
      </c>
      <c r="AD54" s="960"/>
      <c r="AE54" s="960">
        <f t="shared" si="1"/>
        <v>11014.002850886734</v>
      </c>
      <c r="AF54" s="960"/>
      <c r="AG54" s="960">
        <f t="shared" si="1"/>
        <v>11344.422936413337</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32500</v>
      </c>
      <c r="F58" s="960"/>
      <c r="G58" s="960">
        <f>SUM(G53:G57)</f>
        <v>33475</v>
      </c>
      <c r="H58" s="960"/>
      <c r="I58" s="960">
        <f>SUM(I53:I57)</f>
        <v>34479.25</v>
      </c>
      <c r="J58" s="960"/>
      <c r="K58" s="960">
        <f>SUM(K53:K57)</f>
        <v>35513.627500000002</v>
      </c>
      <c r="L58" s="960"/>
      <c r="M58" s="960">
        <f>SUM(M53:M57)</f>
        <v>36579.036324999994</v>
      </c>
      <c r="N58" s="960"/>
      <c r="O58" s="960">
        <f>SUM(O53:O57)</f>
        <v>37676.40741475</v>
      </c>
      <c r="P58" s="960"/>
      <c r="Q58" s="960">
        <f>SUM(Q53:Q57)</f>
        <v>38806.699637192498</v>
      </c>
      <c r="R58" s="960"/>
      <c r="S58" s="960">
        <f>SUM(S53:S57)</f>
        <v>39970.900626308277</v>
      </c>
      <c r="T58" s="960"/>
      <c r="U58" s="960">
        <f>SUM(U53:U57)</f>
        <v>41170.027645097522</v>
      </c>
      <c r="V58" s="960"/>
      <c r="W58" s="960">
        <f>SUM(W53:W57)</f>
        <v>42405.128474450452</v>
      </c>
      <c r="X58" s="960"/>
      <c r="Y58" s="960">
        <f>SUM(Y53:Y57)</f>
        <v>43677.282328683963</v>
      </c>
      <c r="Z58" s="960"/>
      <c r="AA58" s="960">
        <f>SUM(AA53:AA57)</f>
        <v>44987.600798544488</v>
      </c>
      <c r="AB58" s="960"/>
      <c r="AC58" s="960">
        <f>SUM(AC53:AC57)</f>
        <v>46337.228822500823</v>
      </c>
      <c r="AD58" s="960"/>
      <c r="AE58" s="960">
        <f>SUM(AE53:AE57)</f>
        <v>47727.345687175846</v>
      </c>
      <c r="AF58" s="960"/>
      <c r="AG58" s="960">
        <f>SUM(AG53:AG57)</f>
        <v>49159.166057791124</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422678.21999999974</v>
      </c>
      <c r="G60" s="962">
        <f>G45-G58</f>
        <v>493781.32049999945</v>
      </c>
      <c r="I60" s="962">
        <f>I45-I58</f>
        <v>566023.07241249923</v>
      </c>
      <c r="K60" s="962">
        <f>K45-K58</f>
        <v>639409.56227081176</v>
      </c>
      <c r="M60" s="962">
        <f>M45-M58</f>
        <v>713946.24537724373</v>
      </c>
      <c r="O60" s="962">
        <f>O45-O58</f>
        <v>789637.90260876319</v>
      </c>
      <c r="Q60" s="962">
        <f>Q45-Q58</f>
        <v>866488.59518368193</v>
      </c>
      <c r="S60" s="962">
        <f>S45-S58</f>
        <v>944501.61730477121</v>
      </c>
      <c r="U60" s="962">
        <f>U45-U58</f>
        <v>1023679.4465910252</v>
      </c>
      <c r="W60" s="962">
        <f>W45-W58</f>
        <v>1104023.6922068496</v>
      </c>
      <c r="Y60" s="962">
        <f>Y45-Y58</f>
        <v>1185535.04059387</v>
      </c>
      <c r="AA60" s="962">
        <f>AA45-AA58</f>
        <v>1268213.1987069473</v>
      </c>
      <c r="AC60" s="962">
        <f>AC45-AC58</f>
        <v>1352056.8346521598</v>
      </c>
      <c r="AE60" s="962">
        <f>AE45-AE58</f>
        <v>1437063.515620529</v>
      </c>
      <c r="AG60" s="962">
        <f>AG45-AG58</f>
        <v>1523229.6430071923</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0.33</v>
      </c>
      <c r="E62" s="964">
        <f>E60*$C$62</f>
        <v>139483.81259999992</v>
      </c>
      <c r="G62" s="962">
        <f>G60*$C$62</f>
        <v>162947.83576499982</v>
      </c>
      <c r="I62" s="962">
        <f>I60*$C$62</f>
        <v>186787.61389612476</v>
      </c>
      <c r="K62" s="962">
        <f>K60*$C$62</f>
        <v>211005.15554936789</v>
      </c>
      <c r="M62" s="962">
        <f>M60*$C$62</f>
        <v>235602.26097449043</v>
      </c>
      <c r="O62" s="962">
        <f>O60*$C$62</f>
        <v>260580.50786089187</v>
      </c>
      <c r="Q62" s="962">
        <f>Q60*$C$62</f>
        <v>285941.23641061503</v>
      </c>
      <c r="S62" s="962">
        <f>S60*$C$62</f>
        <v>311685.5337105745</v>
      </c>
      <c r="U62" s="962">
        <f>U60*$C$62</f>
        <v>337814.21737503837</v>
      </c>
      <c r="W62" s="962">
        <f>W60*$C$62</f>
        <v>364327.81842826039</v>
      </c>
      <c r="Y62" s="962">
        <f>Y60*$C$62</f>
        <v>391226.56339597714</v>
      </c>
      <c r="AA62" s="962">
        <f>AA60*$C$62</f>
        <v>418510.35557329259</v>
      </c>
      <c r="AC62" s="962">
        <f>AC60*$C$62</f>
        <v>446178.75543521275</v>
      </c>
      <c r="AE62" s="962">
        <f>AE60*$C$62</f>
        <v>474230.9601547746</v>
      </c>
      <c r="AG62" s="962">
        <f>AG60*$C$62</f>
        <v>502665.78219237347</v>
      </c>
    </row>
    <row r="63" spans="1:34" s="962" customFormat="1">
      <c r="A63" s="2702" t="s">
        <v>1184</v>
      </c>
      <c r="B63" s="2702"/>
      <c r="C63" s="2702"/>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0.67</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2753</v>
      </c>
      <c r="B66" s="964"/>
      <c r="C66" s="963"/>
      <c r="E66" s="964">
        <f>$E60*$C$65</f>
        <v>283194.40739999985</v>
      </c>
      <c r="G66" s="960">
        <f>G60*$C$65</f>
        <v>330833.48473499966</v>
      </c>
      <c r="I66" s="960">
        <f>I60*$C$65</f>
        <v>379235.45851637452</v>
      </c>
      <c r="K66" s="960">
        <f>K60*$C$65</f>
        <v>428404.40672144393</v>
      </c>
      <c r="M66" s="960">
        <f>M60*$C$65</f>
        <v>478343.98440275335</v>
      </c>
      <c r="O66" s="960">
        <f>O60*$C$65</f>
        <v>529057.39474787132</v>
      </c>
      <c r="Q66" s="960">
        <f>Q60*$C$65</f>
        <v>580547.3587730669</v>
      </c>
      <c r="S66" s="960">
        <f>S60*$C$65</f>
        <v>632816.08359419671</v>
      </c>
      <c r="U66" s="960">
        <f>U60*$C$65</f>
        <v>685865.22921598691</v>
      </c>
      <c r="W66" s="960">
        <f>W60*$C$65</f>
        <v>739695.8737785893</v>
      </c>
      <c r="Y66" s="960">
        <f>Y60*$C$65</f>
        <v>794308.47719789296</v>
      </c>
      <c r="AA66" s="960">
        <f>AA60*$C$65</f>
        <v>849702.84313365468</v>
      </c>
      <c r="AC66" s="960">
        <f>AC60*$C$65</f>
        <v>905878.0792169472</v>
      </c>
      <c r="AE66" s="960">
        <f>AE60*$C$65</f>
        <v>962832.55546575447</v>
      </c>
      <c r="AG66" s="960">
        <f>AG60*$C$65</f>
        <v>1020563.8608148189</v>
      </c>
    </row>
    <row r="67" spans="1:34" s="960" customFormat="1">
      <c r="A67" s="965"/>
      <c r="B67" s="965"/>
      <c r="C67" s="970"/>
      <c r="E67" s="964">
        <v>0</v>
      </c>
      <c r="G67" s="960">
        <v>0</v>
      </c>
      <c r="I67" s="960">
        <v>0</v>
      </c>
      <c r="K67" s="960">
        <v>0</v>
      </c>
      <c r="M67" s="960">
        <v>0</v>
      </c>
      <c r="O67" s="960">
        <v>0</v>
      </c>
      <c r="Q67" s="960">
        <v>0</v>
      </c>
      <c r="S67" s="960">
        <v>0</v>
      </c>
      <c r="U67" s="960">
        <v>0</v>
      </c>
      <c r="W67" s="960">
        <v>0</v>
      </c>
      <c r="Y67" s="960">
        <v>0</v>
      </c>
      <c r="AA67" s="960">
        <v>0</v>
      </c>
      <c r="AC67" s="960">
        <v>0</v>
      </c>
      <c r="AE67" s="960">
        <v>0</v>
      </c>
      <c r="AG67" s="960">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283194.40739999985</v>
      </c>
      <c r="G70" s="960">
        <f>SUM(G66:G69)</f>
        <v>330833.48473499966</v>
      </c>
      <c r="I70" s="960">
        <f>SUM(I66:I69)</f>
        <v>379235.45851637452</v>
      </c>
      <c r="K70" s="960">
        <f>SUM(K66:K69)</f>
        <v>428404.40672144393</v>
      </c>
      <c r="M70" s="960">
        <f>SUM(M66:M69)</f>
        <v>478343.98440275335</v>
      </c>
      <c r="O70" s="960">
        <f>SUM(O66:O69)</f>
        <v>529057.39474787132</v>
      </c>
      <c r="Q70" s="960">
        <f>SUM(Q66:Q69)</f>
        <v>580547.3587730669</v>
      </c>
      <c r="S70" s="960">
        <f>SUM(S66:S69)</f>
        <v>632816.08359419671</v>
      </c>
      <c r="U70" s="960">
        <f>SUM(U66:U69)</f>
        <v>685865.22921598691</v>
      </c>
      <c r="W70" s="960">
        <f>SUM(W66:W69)</f>
        <v>739695.8737785893</v>
      </c>
      <c r="Y70" s="960">
        <f>SUM(Y66:Y69)</f>
        <v>794308.47719789296</v>
      </c>
      <c r="AA70" s="960">
        <f>SUM(AA66:AA69)</f>
        <v>849702.84313365468</v>
      </c>
      <c r="AC70" s="960">
        <f>SUM(AC66:AC69)</f>
        <v>905878.0792169472</v>
      </c>
      <c r="AE70" s="960">
        <f>SUM(AE66:AE69)</f>
        <v>962832.55546575447</v>
      </c>
      <c r="AG70" s="960">
        <f>SUM(AG66:AG69)</f>
        <v>1020563.8608148189</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700" t="s">
        <v>1721</v>
      </c>
      <c r="B77" s="2701"/>
      <c r="C77" s="2701"/>
      <c r="D77" s="2701"/>
      <c r="E77" s="2701"/>
      <c r="F77" s="2701"/>
      <c r="G77" s="2701"/>
      <c r="H77" s="2701"/>
      <c r="I77" s="2701"/>
      <c r="J77" s="2701"/>
      <c r="K77" s="2701"/>
      <c r="L77" s="2701"/>
      <c r="M77" s="2701"/>
      <c r="N77" s="2701"/>
      <c r="O77" s="2701"/>
      <c r="P77" s="2701"/>
      <c r="Q77" s="2701"/>
      <c r="R77" s="2701"/>
      <c r="S77" s="2701"/>
      <c r="T77" s="2701"/>
      <c r="U77" s="2701"/>
      <c r="V77" s="2701"/>
      <c r="W77" s="2701"/>
      <c r="X77" s="2701"/>
      <c r="Y77" s="2701"/>
      <c r="Z77" s="2701"/>
      <c r="AA77" s="2701"/>
      <c r="AB77" s="2701"/>
      <c r="AC77" s="2701"/>
      <c r="AD77" s="2701"/>
      <c r="AE77" s="2701"/>
      <c r="AF77" s="2701"/>
      <c r="AG77" s="2701"/>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107879</v>
      </c>
      <c r="C6" s="266">
        <f>'Sources and Uses Budget'!$C5</f>
        <v>107879</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11115000</v>
      </c>
      <c r="C8" s="266">
        <f>'Sources and Uses Budget'!$C7</f>
        <v>11115000</v>
      </c>
      <c r="D8" s="270">
        <f t="shared" si="0"/>
        <v>0</v>
      </c>
      <c r="E8" s="268"/>
      <c r="F8" s="267"/>
    </row>
    <row r="9" spans="1:6" s="352" customFormat="1">
      <c r="A9" s="365" t="s">
        <v>593</v>
      </c>
      <c r="B9" s="270">
        <f>SUM(B5:B8)</f>
        <v>11222879</v>
      </c>
      <c r="C9" s="270">
        <f>SUM(C5:C8)</f>
        <v>11222879</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11222879</v>
      </c>
      <c r="C13" s="270">
        <f>SUM(C9+C12)</f>
        <v>11222879</v>
      </c>
      <c r="D13" s="270">
        <f t="shared" si="0"/>
        <v>0</v>
      </c>
      <c r="E13" s="268"/>
      <c r="F13" s="267"/>
    </row>
    <row r="14" spans="1:6" s="352" customFormat="1">
      <c r="A14" s="366" t="s">
        <v>902</v>
      </c>
      <c r="B14" s="266">
        <f>'Sources and Uses Budget'!$C13</f>
        <v>132318</v>
      </c>
      <c r="C14" s="266">
        <f>'Sources and Uses Budget'!$C13</f>
        <v>132318</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2241354</v>
      </c>
      <c r="C30" s="266">
        <f>'Sources and Uses Budget'!$C29</f>
        <v>2241354</v>
      </c>
      <c r="D30" s="270">
        <f t="shared" si="0"/>
        <v>0</v>
      </c>
      <c r="E30" s="268"/>
      <c r="F30" s="267"/>
    </row>
    <row r="31" spans="1:6" s="352" customFormat="1">
      <c r="A31" s="145" t="s">
        <v>599</v>
      </c>
      <c r="B31" s="266">
        <f>'Sources and Uses Budget'!$C30</f>
        <v>89475094</v>
      </c>
      <c r="C31" s="266">
        <f>'Sources and Uses Budget'!$C30</f>
        <v>89475094</v>
      </c>
      <c r="D31" s="270">
        <f t="shared" si="0"/>
        <v>0</v>
      </c>
      <c r="E31" s="268"/>
      <c r="F31" s="267"/>
    </row>
    <row r="32" spans="1:6" s="352" customFormat="1">
      <c r="A32" s="145" t="s">
        <v>600</v>
      </c>
      <c r="B32" s="266">
        <f>'Sources and Uses Budget'!$C31</f>
        <v>3770693</v>
      </c>
      <c r="C32" s="266">
        <f>'Sources and Uses Budget'!$C31</f>
        <v>3770693</v>
      </c>
      <c r="D32" s="270">
        <f t="shared" si="0"/>
        <v>0</v>
      </c>
      <c r="E32" s="268"/>
      <c r="F32" s="267"/>
    </row>
    <row r="33" spans="1:6" s="352" customFormat="1">
      <c r="A33" s="145" t="s">
        <v>137</v>
      </c>
      <c r="B33" s="266">
        <f>'Sources and Uses Budget'!$C32</f>
        <v>3729588</v>
      </c>
      <c r="C33" s="266">
        <f>'Sources and Uses Budget'!$C32</f>
        <v>3729588</v>
      </c>
      <c r="D33" s="270">
        <f t="shared" si="0"/>
        <v>0</v>
      </c>
      <c r="E33" s="268"/>
      <c r="F33" s="267"/>
    </row>
    <row r="34" spans="1:6" s="352" customFormat="1">
      <c r="A34" s="145" t="s">
        <v>138</v>
      </c>
      <c r="B34" s="266">
        <f>'Sources and Uses Budget'!$C33</f>
        <v>2691834</v>
      </c>
      <c r="C34" s="266">
        <f>'Sources and Uses Budget'!$C33</f>
        <v>2691834</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1710059</v>
      </c>
      <c r="C36" s="266">
        <f>'Sources and Uses Budget'!$C35</f>
        <v>1710059</v>
      </c>
      <c r="D36" s="270">
        <f t="shared" si="0"/>
        <v>0</v>
      </c>
      <c r="E36" s="268"/>
      <c r="F36" s="267"/>
    </row>
    <row r="37" spans="1:6" s="352" customFormat="1">
      <c r="A37" s="283" t="s">
        <v>1640</v>
      </c>
      <c r="B37" s="266">
        <f>'Sources and Uses Budget'!$C36</f>
        <v>140000</v>
      </c>
      <c r="C37" s="266">
        <f>'Sources and Uses Budget'!$C36</f>
        <v>140000</v>
      </c>
      <c r="D37" s="270"/>
      <c r="E37" s="268"/>
      <c r="F37" s="267"/>
    </row>
    <row r="38" spans="1:6" s="352" customFormat="1">
      <c r="A38" s="155" t="str">
        <f>'Sources and Uses Budget'!A37</f>
        <v>Other: Solar</v>
      </c>
      <c r="B38" s="266">
        <f>'Sources and Uses Budget'!$C37</f>
        <v>896834</v>
      </c>
      <c r="C38" s="266">
        <f>'Sources and Uses Budget'!$C37</f>
        <v>896834</v>
      </c>
      <c r="D38" s="270">
        <f t="shared" si="0"/>
        <v>0</v>
      </c>
      <c r="E38" s="268"/>
      <c r="F38" s="267"/>
    </row>
    <row r="39" spans="1:6" s="352" customFormat="1">
      <c r="A39" s="271" t="s">
        <v>143</v>
      </c>
      <c r="B39" s="270">
        <f>SUM(B30:B38)</f>
        <v>104655456</v>
      </c>
      <c r="C39" s="270">
        <f>SUM(C30:C38)</f>
        <v>104655456</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2904000</v>
      </c>
      <c r="C41" s="266">
        <f>'Sources and Uses Budget'!$C40</f>
        <v>2904000</v>
      </c>
      <c r="D41" s="270">
        <f t="shared" si="0"/>
        <v>0</v>
      </c>
      <c r="E41" s="268"/>
      <c r="F41" s="267"/>
    </row>
    <row r="42" spans="1:6" s="352" customFormat="1">
      <c r="A42" s="269" t="s">
        <v>146</v>
      </c>
      <c r="B42" s="266">
        <f>'Sources and Uses Budget'!$C41</f>
        <v>400000</v>
      </c>
      <c r="C42" s="266">
        <f>'Sources and Uses Budget'!$C41</f>
        <v>400000</v>
      </c>
      <c r="D42" s="270">
        <f t="shared" si="0"/>
        <v>0</v>
      </c>
      <c r="E42" s="268"/>
      <c r="F42" s="267"/>
    </row>
    <row r="43" spans="1:6" s="352" customFormat="1">
      <c r="A43" s="271" t="s">
        <v>147</v>
      </c>
      <c r="B43" s="270">
        <f>SUM(B41:B42)</f>
        <v>3304000</v>
      </c>
      <c r="C43" s="270">
        <f>SUM(C41:C42)</f>
        <v>3304000</v>
      </c>
      <c r="D43" s="270">
        <f t="shared" si="0"/>
        <v>0</v>
      </c>
      <c r="E43" s="268"/>
      <c r="F43" s="267"/>
    </row>
    <row r="44" spans="1:6" s="352" customFormat="1">
      <c r="A44" s="271" t="s">
        <v>148</v>
      </c>
      <c r="B44" s="266">
        <f>'Sources and Uses Budget'!$C43</f>
        <v>2650000</v>
      </c>
      <c r="C44" s="266">
        <f>'Sources and Uses Budget'!$C43</f>
        <v>2650000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10925000</v>
      </c>
      <c r="C46" s="266">
        <f>'Sources and Uses Budget'!$C45</f>
        <v>10925000</v>
      </c>
      <c r="D46" s="270">
        <f t="shared" si="0"/>
        <v>0</v>
      </c>
      <c r="E46" s="268"/>
      <c r="F46" s="267"/>
    </row>
    <row r="47" spans="1:6" s="352" customFormat="1">
      <c r="A47" s="145" t="s">
        <v>151</v>
      </c>
      <c r="B47" s="266">
        <f>'Sources and Uses Budget'!$C46</f>
        <v>727593</v>
      </c>
      <c r="C47" s="266">
        <f>'Sources and Uses Budget'!$C46</f>
        <v>727593</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550000</v>
      </c>
      <c r="C50" s="266">
        <f>'Sources and Uses Budget'!$C49</f>
        <v>550000</v>
      </c>
      <c r="D50" s="270">
        <f t="shared" si="0"/>
        <v>0</v>
      </c>
      <c r="E50" s="268"/>
      <c r="F50" s="267"/>
    </row>
    <row r="51" spans="1:6" s="352" customFormat="1">
      <c r="A51" s="145" t="s">
        <v>156</v>
      </c>
      <c r="B51" s="266">
        <f>'Sources and Uses Budget'!$C50</f>
        <v>225000</v>
      </c>
      <c r="C51" s="266">
        <f>'Sources and Uses Budget'!$C50</f>
        <v>225000</v>
      </c>
      <c r="D51" s="270">
        <f t="shared" si="0"/>
        <v>0</v>
      </c>
      <c r="E51" s="268"/>
      <c r="F51" s="267"/>
    </row>
    <row r="52" spans="1:6" s="352" customFormat="1">
      <c r="A52" s="283" t="s">
        <v>154</v>
      </c>
      <c r="B52" s="266">
        <f>'Sources and Uses Budget'!$C51</f>
        <v>50000</v>
      </c>
      <c r="C52" s="266">
        <f>'Sources and Uses Budget'!$C51</f>
        <v>50000</v>
      </c>
      <c r="D52" s="270">
        <f t="shared" si="0"/>
        <v>0</v>
      </c>
      <c r="E52" s="268"/>
      <c r="F52" s="267"/>
    </row>
    <row r="53" spans="1:6" s="352" customFormat="1">
      <c r="A53" s="145" t="s">
        <v>155</v>
      </c>
      <c r="B53" s="266">
        <f>'Sources and Uses Budget'!$C52</f>
        <v>1000000</v>
      </c>
      <c r="C53" s="266">
        <f>'Sources and Uses Budget'!$C52</f>
        <v>1000000</v>
      </c>
      <c r="D53" s="270">
        <f t="shared" si="0"/>
        <v>0</v>
      </c>
      <c r="E53" s="268"/>
      <c r="F53" s="267"/>
    </row>
    <row r="54" spans="1:6" s="352" customFormat="1">
      <c r="A54" s="155" t="str">
        <f>'Sources and Uses Budget'!A53</f>
        <v>Other: Bank Construction Inspections</v>
      </c>
      <c r="B54" s="266">
        <f>'Sources and Uses Budget'!$C53</f>
        <v>80000</v>
      </c>
      <c r="C54" s="266">
        <f>'Sources and Uses Budget'!$C53</f>
        <v>80000</v>
      </c>
      <c r="D54" s="270">
        <f t="shared" si="0"/>
        <v>0</v>
      </c>
      <c r="E54" s="268"/>
      <c r="F54" s="267"/>
    </row>
    <row r="55" spans="1:6" s="353" customFormat="1">
      <c r="A55" s="271" t="s">
        <v>157</v>
      </c>
      <c r="B55" s="273">
        <f>SUM(B46:B54)</f>
        <v>13557593</v>
      </c>
      <c r="C55" s="273">
        <f>SUM(C46:C54)</f>
        <v>13557593</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360797</v>
      </c>
      <c r="C57" s="266">
        <f>'Sources and Uses Budget'!$C56</f>
        <v>360797</v>
      </c>
      <c r="D57" s="270">
        <f t="shared" si="0"/>
        <v>0</v>
      </c>
      <c r="E57" s="268"/>
      <c r="F57" s="267"/>
    </row>
    <row r="58" spans="1:6" s="352" customFormat="1" ht="12" customHeight="1">
      <c r="A58" s="269" t="s">
        <v>152</v>
      </c>
      <c r="B58" s="266">
        <f>'Sources and Uses Budget'!$C57</f>
        <v>17000</v>
      </c>
      <c r="C58" s="266">
        <f>'Sources and Uses Budget'!$C57</f>
        <v>17000</v>
      </c>
      <c r="D58" s="270">
        <f t="shared" si="0"/>
        <v>0</v>
      </c>
      <c r="E58" s="268"/>
      <c r="F58" s="267"/>
    </row>
    <row r="59" spans="1:6" s="352" customFormat="1">
      <c r="A59" s="269" t="s">
        <v>156</v>
      </c>
      <c r="B59" s="266">
        <f>'Sources and Uses Budget'!$C58</f>
        <v>50000</v>
      </c>
      <c r="C59" s="266">
        <f>'Sources and Uses Budget'!$C58</f>
        <v>50000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ht="25.5">
      <c r="A62" s="1019" t="str">
        <f>'Sources and Uses Budget'!A61</f>
        <v>Other: Agency Standby and Bond Underwriting</v>
      </c>
      <c r="B62" s="266">
        <f>'Sources and Uses Budget'!$C61</f>
        <v>0</v>
      </c>
      <c r="C62" s="266">
        <f>'Sources and Uses Budget'!$C61</f>
        <v>0</v>
      </c>
      <c r="D62" s="270">
        <f t="shared" si="0"/>
        <v>0</v>
      </c>
      <c r="E62" s="268"/>
      <c r="F62" s="267"/>
    </row>
    <row r="63" spans="1:6" s="352" customFormat="1" ht="13.7" customHeight="1">
      <c r="A63" s="271" t="s">
        <v>301</v>
      </c>
      <c r="B63" s="270">
        <f>SUM(B57:B62)</f>
        <v>427797</v>
      </c>
      <c r="C63" s="270">
        <f>SUM(C57:C62)</f>
        <v>427797</v>
      </c>
      <c r="D63" s="270">
        <f t="shared" si="0"/>
        <v>0</v>
      </c>
      <c r="E63" s="268"/>
      <c r="F63" s="267"/>
    </row>
    <row r="64" spans="1:6" s="352" customFormat="1">
      <c r="A64" s="274" t="s">
        <v>302</v>
      </c>
      <c r="B64" s="270">
        <f>SUM(B9+B12+B14+B15+B17+B26+B28+B39+B43+B44+B55+B63)</f>
        <v>135950043</v>
      </c>
      <c r="C64" s="270">
        <f>SUM(C9+C12+C14+C15+C17+C26+C28+C39+C43+C44+C55+C63)</f>
        <v>135950043</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393500</v>
      </c>
      <c r="C66" s="266">
        <f>'Sources and Uses Budget'!$C65</f>
        <v>393500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1645</v>
      </c>
      <c r="B71" s="270">
        <f>SUM(B66:B70)</f>
        <v>393500</v>
      </c>
      <c r="C71" s="270">
        <f>SUM(C66:C70)</f>
        <v>393500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1202000</v>
      </c>
      <c r="C76" s="266">
        <f>'Sources and Uses Budget'!$C75</f>
        <v>1202000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1202000</v>
      </c>
      <c r="C78" s="270">
        <f>SUM(C73:C77)</f>
        <v>1202000</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6277402</v>
      </c>
      <c r="C80" s="266">
        <f>'Sources and Uses Budget'!$C79</f>
        <v>6277402</v>
      </c>
      <c r="D80" s="270">
        <f t="shared" si="1"/>
        <v>0</v>
      </c>
      <c r="E80" s="268"/>
      <c r="F80" s="267"/>
    </row>
    <row r="81" spans="1:6" s="352" customFormat="1">
      <c r="A81" s="510" t="s">
        <v>58</v>
      </c>
      <c r="B81" s="266">
        <f>'Sources and Uses Budget'!$C80</f>
        <v>1453313</v>
      </c>
      <c r="C81" s="266">
        <f>'Sources and Uses Budget'!$C80</f>
        <v>1453313</v>
      </c>
      <c r="D81" s="270">
        <f>C81-B81</f>
        <v>0</v>
      </c>
      <c r="E81" s="268"/>
      <c r="F81" s="267"/>
    </row>
    <row r="82" spans="1:6" s="352" customFormat="1">
      <c r="A82" s="271" t="s">
        <v>1209</v>
      </c>
      <c r="B82" s="270">
        <f>SUM(B80:B81)</f>
        <v>7730715</v>
      </c>
      <c r="C82" s="270">
        <f>SUM(C80:C81)</f>
        <v>7730715</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250000</v>
      </c>
      <c r="C84" s="266">
        <f>'Sources and Uses Budget'!$C83</f>
        <v>250000</v>
      </c>
      <c r="D84" s="270">
        <f t="shared" si="1"/>
        <v>0</v>
      </c>
      <c r="E84" s="268"/>
      <c r="F84" s="267"/>
    </row>
    <row r="85" spans="1:6" s="352" customFormat="1">
      <c r="A85" s="269" t="s">
        <v>767</v>
      </c>
      <c r="B85" s="266">
        <f>'Sources and Uses Budget'!$C84</f>
        <v>125000</v>
      </c>
      <c r="C85" s="266">
        <f>'Sources and Uses Budget'!$C84</f>
        <v>125000</v>
      </c>
      <c r="D85" s="270">
        <f t="shared" si="1"/>
        <v>0</v>
      </c>
      <c r="E85" s="268"/>
      <c r="F85" s="267"/>
    </row>
    <row r="86" spans="1:6" s="352" customFormat="1">
      <c r="A86" s="269" t="s">
        <v>768</v>
      </c>
      <c r="B86" s="266">
        <f>'Sources and Uses Budget'!$C85</f>
        <v>4342187</v>
      </c>
      <c r="C86" s="266">
        <f>'Sources and Uses Budget'!$C85</f>
        <v>4342187</v>
      </c>
      <c r="D86" s="270">
        <f t="shared" si="1"/>
        <v>0</v>
      </c>
      <c r="E86" s="268"/>
      <c r="F86" s="267"/>
    </row>
    <row r="87" spans="1:6" s="352" customFormat="1">
      <c r="A87" s="269" t="s">
        <v>769</v>
      </c>
      <c r="B87" s="266">
        <f>'Sources and Uses Budget'!$C86</f>
        <v>1732690</v>
      </c>
      <c r="C87" s="266">
        <f>'Sources and Uses Budget'!$C86</f>
        <v>1732690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25000</v>
      </c>
      <c r="C89" s="266">
        <f>'Sources and Uses Budget'!$C88</f>
        <v>25000</v>
      </c>
      <c r="D89" s="270">
        <f t="shared" si="1"/>
        <v>0</v>
      </c>
      <c r="E89" s="268"/>
      <c r="F89" s="267"/>
    </row>
    <row r="90" spans="1:6" s="352" customFormat="1">
      <c r="A90" s="269" t="s">
        <v>772</v>
      </c>
      <c r="B90" s="266">
        <f>'Sources and Uses Budget'!$C89</f>
        <v>625000</v>
      </c>
      <c r="C90" s="266">
        <f>'Sources and Uses Budget'!$C89</f>
        <v>625000</v>
      </c>
      <c r="D90" s="270">
        <f t="shared" si="1"/>
        <v>0</v>
      </c>
      <c r="E90" s="268"/>
      <c r="F90" s="267"/>
    </row>
    <row r="91" spans="1:6" s="352" customFormat="1">
      <c r="A91" s="269" t="s">
        <v>773</v>
      </c>
      <c r="B91" s="266">
        <f>'Sources and Uses Budget'!$C90</f>
        <v>15000</v>
      </c>
      <c r="C91" s="266">
        <f>'Sources and Uses Budget'!$C90</f>
        <v>15000</v>
      </c>
      <c r="D91" s="270">
        <f t="shared" si="1"/>
        <v>0</v>
      </c>
      <c r="E91" s="268"/>
      <c r="F91" s="267"/>
    </row>
    <row r="92" spans="1:6" s="352" customFormat="1">
      <c r="A92" s="269" t="s">
        <v>372</v>
      </c>
      <c r="B92" s="266">
        <f>'Sources and Uses Budget'!$C91</f>
        <v>25000</v>
      </c>
      <c r="C92" s="266">
        <f>'Sources and Uses Budget'!$C91</f>
        <v>25000</v>
      </c>
      <c r="D92" s="270">
        <f t="shared" si="1"/>
        <v>0</v>
      </c>
      <c r="E92" s="268"/>
      <c r="F92" s="267"/>
    </row>
    <row r="93" spans="1:6" s="352" customFormat="1">
      <c r="A93" s="510" t="s">
        <v>1211</v>
      </c>
      <c r="B93" s="266">
        <f>'Sources and Uses Budget'!$C92</f>
        <v>15000</v>
      </c>
      <c r="C93" s="266">
        <f>'Sources and Uses Budget'!$C92</f>
        <v>15000</v>
      </c>
      <c r="D93" s="270">
        <f t="shared" si="1"/>
        <v>0</v>
      </c>
      <c r="E93" s="268"/>
      <c r="F93" s="267"/>
    </row>
    <row r="94" spans="1:6" s="352" customFormat="1">
      <c r="A94" s="272" t="s">
        <v>34</v>
      </c>
      <c r="B94" s="266">
        <f>'Sources and Uses Budget'!$C93</f>
        <v>125000</v>
      </c>
      <c r="C94" s="266">
        <f>'Sources and Uses Budget'!$C93</f>
        <v>125000</v>
      </c>
      <c r="D94" s="270">
        <f t="shared" si="1"/>
        <v>0</v>
      </c>
      <c r="E94" s="268"/>
      <c r="F94" s="267"/>
    </row>
    <row r="95" spans="1:6" s="352" customFormat="1">
      <c r="A95" s="272" t="s">
        <v>34</v>
      </c>
      <c r="B95" s="266">
        <f>'Sources and Uses Budget'!$C94</f>
        <v>75000</v>
      </c>
      <c r="C95" s="266">
        <f>'Sources and Uses Budget'!$C94</f>
        <v>75000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7354877</v>
      </c>
      <c r="C97" s="270">
        <f>SUM(C84:C96)</f>
        <v>7354877</v>
      </c>
      <c r="D97" s="270">
        <f t="shared" si="1"/>
        <v>0</v>
      </c>
      <c r="E97" s="268"/>
      <c r="F97" s="267"/>
    </row>
    <row r="98" spans="1:6" s="352" customFormat="1">
      <c r="A98" s="271" t="s">
        <v>775</v>
      </c>
      <c r="B98" s="270">
        <f>SUM(B64+B71+B78+B82+B97)</f>
        <v>152631135</v>
      </c>
      <c r="C98" s="270">
        <f>SUM(C64+C71+C78+C82+C97)</f>
        <v>152631135</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9961739</v>
      </c>
      <c r="C100" s="266">
        <f>'Sources and Uses Budget'!$C99</f>
        <v>9961739</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9961739</v>
      </c>
      <c r="C105" s="270">
        <f>SUM(C100:C104)</f>
        <v>9961739</v>
      </c>
      <c r="D105" s="270">
        <f t="shared" si="1"/>
        <v>0</v>
      </c>
      <c r="E105" s="268"/>
      <c r="F105" s="267"/>
    </row>
    <row r="106" spans="1:6" s="352" customFormat="1">
      <c r="A106" s="271" t="s">
        <v>780</v>
      </c>
      <c r="B106" s="273">
        <f>SUM(B98+B105)</f>
        <v>162592874</v>
      </c>
      <c r="C106" s="273">
        <f>SUM(C98+C105)</f>
        <v>162592874</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80" t="s">
        <v>1869</v>
      </c>
      <c r="B1" s="1281"/>
      <c r="C1" s="1281"/>
      <c r="D1" s="1281"/>
      <c r="E1" s="1281"/>
      <c r="F1" s="1281"/>
      <c r="G1" s="1281"/>
      <c r="H1" s="1281"/>
      <c r="I1" s="1281"/>
      <c r="J1" s="1281"/>
    </row>
    <row r="2" spans="1:10" ht="15">
      <c r="A2" s="1284" t="s">
        <v>1268</v>
      </c>
      <c r="B2" s="1285"/>
      <c r="C2" s="1285"/>
      <c r="D2" s="1285"/>
      <c r="E2" s="1285"/>
      <c r="F2" s="1285"/>
      <c r="G2" s="1285"/>
      <c r="H2" s="1285"/>
      <c r="I2" s="1285"/>
      <c r="J2" s="1285"/>
    </row>
    <row r="3" spans="1:10" ht="12.75"/>
    <row r="4" spans="1:10" ht="12.75" customHeight="1">
      <c r="A4" s="1282" t="s">
        <v>2047</v>
      </c>
      <c r="B4" s="1282"/>
      <c r="C4" s="1282"/>
      <c r="D4" s="1282"/>
      <c r="E4" s="1282"/>
      <c r="F4" s="1282"/>
      <c r="G4" s="1282"/>
      <c r="H4" s="1282"/>
      <c r="I4" s="1282"/>
      <c r="J4" s="1282"/>
    </row>
    <row r="5" spans="1:10" ht="12.75">
      <c r="A5" s="1282"/>
      <c r="B5" s="1282"/>
      <c r="C5" s="1282"/>
      <c r="D5" s="1282"/>
      <c r="E5" s="1282"/>
      <c r="F5" s="1282"/>
      <c r="G5" s="1282"/>
      <c r="H5" s="1282"/>
      <c r="I5" s="1282"/>
      <c r="J5" s="1282"/>
    </row>
    <row r="6" spans="1:10" ht="30" customHeight="1">
      <c r="A6" s="1282"/>
      <c r="B6" s="1282"/>
      <c r="C6" s="1282"/>
      <c r="D6" s="1282"/>
      <c r="E6" s="1282"/>
      <c r="F6" s="1282"/>
      <c r="G6" s="1282"/>
      <c r="H6" s="1282"/>
      <c r="I6" s="1282"/>
      <c r="J6" s="1282"/>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6" t="s">
        <v>1874</v>
      </c>
      <c r="B10" s="1286"/>
      <c r="C10" s="1286"/>
      <c r="D10" s="1286"/>
      <c r="E10" s="1286"/>
      <c r="F10" s="1286"/>
      <c r="G10" s="1286"/>
      <c r="H10" s="1286"/>
      <c r="I10" s="1286"/>
      <c r="J10" s="1286"/>
    </row>
    <row r="11" spans="1:10" ht="12.75">
      <c r="A11" s="1286"/>
      <c r="B11" s="1286"/>
      <c r="C11" s="1286"/>
      <c r="D11" s="1286"/>
      <c r="E11" s="1286"/>
      <c r="F11" s="1286"/>
      <c r="G11" s="1286"/>
      <c r="H11" s="1286"/>
      <c r="I11" s="1286"/>
      <c r="J11" s="1286"/>
    </row>
    <row r="12" spans="1:10" ht="12.75">
      <c r="A12" s="1286"/>
      <c r="B12" s="1286"/>
      <c r="C12" s="1286"/>
      <c r="D12" s="1286"/>
      <c r="E12" s="1286"/>
      <c r="F12" s="1286"/>
      <c r="G12" s="1286"/>
      <c r="H12" s="1286"/>
      <c r="I12" s="1286"/>
      <c r="J12" s="1286"/>
    </row>
    <row r="13" spans="1:10" ht="12.75">
      <c r="A13" s="1286"/>
      <c r="B13" s="1286"/>
      <c r="C13" s="1286"/>
      <c r="D13" s="1286"/>
      <c r="E13" s="1286"/>
      <c r="F13" s="1286"/>
      <c r="G13" s="1286"/>
      <c r="H13" s="1286"/>
      <c r="I13" s="1286"/>
      <c r="J13" s="1286"/>
    </row>
    <row r="14" spans="1:10" ht="12.75">
      <c r="A14" s="1286"/>
      <c r="B14" s="1286"/>
      <c r="C14" s="1286"/>
      <c r="D14" s="1286"/>
      <c r="E14" s="1286"/>
      <c r="F14" s="1286"/>
      <c r="G14" s="1286"/>
      <c r="H14" s="1286"/>
      <c r="I14" s="1286"/>
      <c r="J14" s="1286"/>
    </row>
    <row r="15" spans="1:10" ht="12.75">
      <c r="A15" s="1286"/>
      <c r="B15" s="1286"/>
      <c r="C15" s="1286"/>
      <c r="D15" s="1286"/>
      <c r="E15" s="1286"/>
      <c r="F15" s="1286"/>
      <c r="G15" s="1286"/>
      <c r="H15" s="1286"/>
      <c r="I15" s="1286"/>
      <c r="J15" s="1286"/>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5" t="s">
        <v>1189</v>
      </c>
      <c r="B19" s="1285"/>
      <c r="C19" s="1285"/>
      <c r="D19" s="1285"/>
      <c r="E19" s="1285"/>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82" t="s">
        <v>1190</v>
      </c>
      <c r="B56" s="1282"/>
      <c r="C56" s="1282"/>
      <c r="D56" s="1282"/>
      <c r="E56" s="1282"/>
      <c r="F56" s="1282"/>
      <c r="G56" s="1282"/>
      <c r="H56" s="1282"/>
      <c r="I56" s="1282"/>
      <c r="J56" s="1282"/>
    </row>
    <row r="57" spans="1:10" ht="12.75">
      <c r="A57" s="1282"/>
      <c r="B57" s="1282"/>
      <c r="C57" s="1282"/>
      <c r="D57" s="1282"/>
      <c r="E57" s="1282"/>
      <c r="F57" s="1282"/>
      <c r="G57" s="1282"/>
      <c r="H57" s="1282"/>
      <c r="I57" s="1282"/>
      <c r="J57" s="1282"/>
    </row>
    <row r="58" spans="1:10" ht="12.75">
      <c r="A58" s="1282"/>
      <c r="B58" s="1282"/>
      <c r="C58" s="1282"/>
      <c r="D58" s="1282"/>
      <c r="E58" s="1282"/>
      <c r="F58" s="1282"/>
      <c r="G58" s="1282"/>
      <c r="H58" s="1282"/>
      <c r="I58" s="1282"/>
      <c r="J58" s="1282"/>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83" t="s">
        <v>1870</v>
      </c>
      <c r="B71" s="1283"/>
      <c r="C71" s="1283"/>
      <c r="D71" s="1283"/>
      <c r="E71" s="1283"/>
      <c r="F71" s="1283"/>
      <c r="G71" s="1283"/>
      <c r="H71" s="1283"/>
      <c r="I71" s="1283"/>
    </row>
    <row r="72" spans="1:9" ht="12.75">
      <c r="A72" s="1275" t="s">
        <v>2045</v>
      </c>
      <c r="B72" s="1275"/>
      <c r="C72" s="1275"/>
      <c r="D72" s="1275"/>
      <c r="E72" s="1275"/>
    </row>
    <row r="73" spans="1:9" ht="12.75">
      <c r="A73" s="1275" t="s">
        <v>2046</v>
      </c>
      <c r="B73" s="1275"/>
      <c r="C73" s="1275"/>
      <c r="D73" s="1275"/>
      <c r="E73" s="1275"/>
    </row>
    <row r="74" spans="1:9" ht="12.75">
      <c r="A74" s="1275" t="s">
        <v>1871</v>
      </c>
      <c r="B74" s="1275"/>
      <c r="C74" s="1275"/>
      <c r="D74" s="1275"/>
      <c r="E74" s="1275"/>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853" workbookViewId="0">
      <selection activeCell="D563" sqref="D563:F564"/>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7" t="s">
        <v>2459</v>
      </c>
      <c r="B2" s="1337"/>
      <c r="C2" s="1337"/>
      <c r="D2" s="1337"/>
      <c r="E2" s="1337"/>
      <c r="F2" s="1337"/>
      <c r="G2" s="1337"/>
      <c r="H2" s="1337"/>
      <c r="I2" s="1337"/>
    </row>
    <row r="3" spans="1:13">
      <c r="A3" s="1325" t="s">
        <v>2219</v>
      </c>
      <c r="B3" s="1325"/>
      <c r="C3" s="1325"/>
      <c r="D3" s="1325"/>
      <c r="E3" s="1325"/>
      <c r="F3" s="1325"/>
      <c r="G3" s="1325"/>
      <c r="H3" s="1325"/>
      <c r="I3" s="1325"/>
    </row>
    <row r="4" spans="1:13">
      <c r="A4" s="1325"/>
      <c r="B4" s="1325"/>
      <c r="C4" s="1285"/>
      <c r="D4" s="1285"/>
      <c r="E4" s="1285"/>
      <c r="F4" s="1285"/>
      <c r="G4" s="1285"/>
    </row>
    <row r="5" spans="1:13">
      <c r="A5" s="1325"/>
      <c r="B5" s="1325"/>
      <c r="C5" s="1285"/>
      <c r="D5" s="1285"/>
      <c r="E5" s="1285"/>
      <c r="F5" s="1285"/>
      <c r="G5" s="1285"/>
    </row>
    <row r="6" spans="1:13" ht="12.75" customHeight="1">
      <c r="A6" s="1328" t="s">
        <v>2218</v>
      </c>
      <c r="B6" s="1328"/>
      <c r="C6" s="1328"/>
      <c r="D6" s="1328"/>
      <c r="E6" s="1328"/>
      <c r="F6" s="1328"/>
      <c r="G6" s="1328"/>
      <c r="I6" s="490"/>
    </row>
    <row r="7" spans="1:13">
      <c r="A7" s="1328"/>
      <c r="B7" s="1328"/>
      <c r="C7" s="1328"/>
      <c r="D7" s="1328"/>
      <c r="E7" s="1328"/>
      <c r="F7" s="1328"/>
      <c r="G7" s="1328"/>
      <c r="I7" s="490"/>
    </row>
    <row r="8" spans="1:13">
      <c r="A8" s="481"/>
      <c r="B8" s="481"/>
      <c r="C8" s="482"/>
      <c r="D8" s="482"/>
      <c r="E8" s="482"/>
      <c r="F8" s="482"/>
    </row>
    <row r="9" spans="1:13">
      <c r="A9" s="1314" t="s">
        <v>1101</v>
      </c>
      <c r="B9" s="1314"/>
      <c r="C9" s="1314"/>
      <c r="D9" s="1314"/>
      <c r="E9" s="1314"/>
      <c r="F9" s="1314"/>
      <c r="G9" s="1314"/>
      <c r="H9" s="1028"/>
      <c r="I9" s="1029"/>
    </row>
    <row r="10" spans="1:13">
      <c r="A10" s="482"/>
      <c r="B10" s="482"/>
      <c r="E10" s="404"/>
    </row>
    <row r="11" spans="1:13" ht="13.7" customHeight="1">
      <c r="C11" s="482"/>
      <c r="D11" s="1327" t="s">
        <v>1100</v>
      </c>
      <c r="E11" s="1327"/>
      <c r="F11" s="1327"/>
    </row>
    <row r="12" spans="1:13">
      <c r="C12" s="482"/>
      <c r="D12" s="1327"/>
      <c r="E12" s="1327"/>
      <c r="F12" s="1327"/>
    </row>
    <row r="13" spans="1:13">
      <c r="A13" s="483"/>
      <c r="B13" s="483"/>
      <c r="C13" s="483"/>
      <c r="D13" s="1305" t="s">
        <v>1090</v>
      </c>
      <c r="E13" s="1305"/>
      <c r="F13" s="1305"/>
      <c r="M13" s="96"/>
    </row>
    <row r="14" spans="1:13">
      <c r="A14" s="483"/>
      <c r="B14" s="483"/>
      <c r="C14" s="483"/>
      <c r="D14" s="476"/>
      <c r="L14" s="312"/>
    </row>
    <row r="15" spans="1:13" ht="14.25">
      <c r="A15" s="484"/>
      <c r="B15" s="485" t="s">
        <v>2769</v>
      </c>
      <c r="C15" s="483"/>
      <c r="D15" s="1307" t="s">
        <v>1922</v>
      </c>
      <c r="E15" s="1307"/>
      <c r="F15" s="1307"/>
      <c r="I15" s="490"/>
    </row>
    <row r="16" spans="1:13">
      <c r="A16" s="483"/>
      <c r="B16" s="483"/>
      <c r="C16" s="483"/>
      <c r="D16" s="1307"/>
      <c r="E16" s="1307"/>
      <c r="F16" s="1307"/>
      <c r="I16" s="490"/>
    </row>
    <row r="17" spans="1:9">
      <c r="A17" s="483"/>
      <c r="B17" s="483"/>
      <c r="C17" s="483"/>
      <c r="D17" s="1307"/>
      <c r="E17" s="1307"/>
      <c r="F17" s="1307"/>
      <c r="I17" s="490"/>
    </row>
    <row r="18" spans="1:9">
      <c r="A18" s="483"/>
      <c r="B18" s="483"/>
      <c r="C18" s="483"/>
      <c r="D18" s="445"/>
      <c r="E18" s="312" t="s">
        <v>1920</v>
      </c>
      <c r="F18" s="445"/>
      <c r="I18" s="490"/>
    </row>
    <row r="19" spans="1:9">
      <c r="A19" s="483"/>
      <c r="B19" s="483"/>
      <c r="C19" s="483"/>
      <c r="I19" s="490"/>
    </row>
    <row r="20" spans="1:9" ht="14.25">
      <c r="A20" s="484"/>
      <c r="B20" s="485" t="s">
        <v>2768</v>
      </c>
      <c r="D20" s="1307" t="s">
        <v>1923</v>
      </c>
      <c r="E20" s="1307"/>
      <c r="F20" s="1307"/>
      <c r="I20" s="490"/>
    </row>
    <row r="21" spans="1:9" ht="14.25">
      <c r="A21" s="484"/>
      <c r="D21" s="1307"/>
      <c r="E21" s="1307"/>
      <c r="F21" s="1307"/>
      <c r="I21" s="490"/>
    </row>
    <row r="22" spans="1:9" ht="14.25">
      <c r="A22" s="484"/>
      <c r="D22" s="392"/>
      <c r="E22" s="96" t="s">
        <v>1919</v>
      </c>
      <c r="F22" s="392"/>
      <c r="I22" s="490"/>
    </row>
    <row r="23" spans="1:9" ht="14.25">
      <c r="A23" s="484"/>
      <c r="B23" s="484"/>
      <c r="D23" s="446"/>
      <c r="I23" s="490"/>
    </row>
    <row r="24" spans="1:9" ht="14.25">
      <c r="A24" s="484"/>
      <c r="B24" s="485" t="s">
        <v>2770</v>
      </c>
      <c r="D24" s="1307" t="s">
        <v>1091</v>
      </c>
      <c r="E24" s="1307"/>
      <c r="F24" s="1307"/>
      <c r="I24" s="490"/>
    </row>
    <row r="25" spans="1:9" ht="14.25">
      <c r="A25" s="484"/>
      <c r="B25" s="484"/>
      <c r="D25" s="1307"/>
      <c r="E25" s="1307"/>
      <c r="F25" s="1307"/>
      <c r="I25" s="490"/>
    </row>
    <row r="26" spans="1:9">
      <c r="I26" s="490"/>
    </row>
    <row r="27" spans="1:9" ht="14.25">
      <c r="A27" s="484"/>
      <c r="B27" s="485" t="s">
        <v>2769</v>
      </c>
      <c r="D27" s="1307" t="s">
        <v>2048</v>
      </c>
      <c r="E27" s="1307"/>
      <c r="F27" s="1307"/>
      <c r="I27" s="490"/>
    </row>
    <row r="28" spans="1:9">
      <c r="D28" s="1307"/>
      <c r="E28" s="1307"/>
      <c r="F28" s="1307"/>
      <c r="I28" s="490"/>
    </row>
    <row r="29" spans="1:9">
      <c r="D29" s="1307"/>
      <c r="E29" s="1307"/>
      <c r="F29" s="1307"/>
      <c r="I29" s="490"/>
    </row>
    <row r="30" spans="1:9">
      <c r="D30" s="1307"/>
      <c r="E30" s="1307"/>
      <c r="F30" s="1307"/>
      <c r="I30" s="490"/>
    </row>
    <row r="31" spans="1:9">
      <c r="D31" s="1307"/>
      <c r="E31" s="1307"/>
      <c r="F31" s="1307"/>
      <c r="I31" s="490"/>
    </row>
    <row r="32" spans="1:9">
      <c r="D32" s="447"/>
      <c r="I32" s="490"/>
    </row>
    <row r="33" spans="1:9">
      <c r="B33" s="485" t="s">
        <v>2770</v>
      </c>
      <c r="D33" s="1307" t="s">
        <v>2049</v>
      </c>
      <c r="E33" s="1307"/>
      <c r="F33" s="1307"/>
      <c r="I33" s="490"/>
    </row>
    <row r="34" spans="1:9">
      <c r="D34" s="1307"/>
      <c r="E34" s="1307"/>
      <c r="F34" s="1307"/>
      <c r="I34" s="490"/>
    </row>
    <row r="35" spans="1:9" ht="14.25">
      <c r="A35" s="484"/>
      <c r="B35" s="484"/>
      <c r="D35" s="447"/>
      <c r="I35" s="490"/>
    </row>
    <row r="36" spans="1:9" ht="14.45" customHeight="1">
      <c r="A36" s="484"/>
      <c r="B36" s="485" t="s">
        <v>2770</v>
      </c>
      <c r="D36" s="1307" t="s">
        <v>1214</v>
      </c>
      <c r="E36" s="1307"/>
      <c r="F36" s="1307"/>
      <c r="I36" s="490"/>
    </row>
    <row r="37" spans="1:9" ht="14.25">
      <c r="A37" s="484"/>
      <c r="B37" s="484"/>
      <c r="D37" s="1307"/>
      <c r="E37" s="1307"/>
      <c r="F37" s="1307"/>
      <c r="I37" s="490"/>
    </row>
    <row r="38" spans="1:9" ht="14.25">
      <c r="A38" s="484"/>
      <c r="B38" s="484"/>
      <c r="D38" s="1307"/>
      <c r="E38" s="1307"/>
      <c r="F38" s="1307"/>
      <c r="I38" s="490"/>
    </row>
    <row r="39" spans="1:9" ht="14.25">
      <c r="A39" s="484"/>
      <c r="B39" s="484"/>
      <c r="D39" s="1307"/>
      <c r="E39" s="1307"/>
      <c r="F39" s="1307"/>
      <c r="I39" s="490"/>
    </row>
    <row r="40" spans="1:9" ht="14.25">
      <c r="A40" s="484"/>
      <c r="B40" s="484"/>
      <c r="I40" s="490"/>
    </row>
    <row r="41" spans="1:9" ht="14.25">
      <c r="A41" s="484"/>
      <c r="B41" s="485" t="s">
        <v>2770</v>
      </c>
      <c r="D41" s="1307" t="s">
        <v>1092</v>
      </c>
      <c r="E41" s="1307"/>
      <c r="F41" s="1307"/>
      <c r="I41" s="490"/>
    </row>
    <row r="42" spans="1:9" ht="14.25">
      <c r="A42" s="484"/>
      <c r="B42" s="484"/>
      <c r="D42" s="1307"/>
      <c r="E42" s="1307"/>
      <c r="F42" s="1307"/>
      <c r="I42" s="490"/>
    </row>
    <row r="43" spans="1:9" ht="14.25">
      <c r="A43" s="484"/>
      <c r="B43" s="484"/>
      <c r="D43" s="1307"/>
      <c r="E43" s="1307"/>
      <c r="F43" s="1307"/>
      <c r="I43" s="490"/>
    </row>
    <row r="44" spans="1:9" ht="14.25">
      <c r="A44" s="484"/>
      <c r="B44" s="484"/>
      <c r="D44" s="1307"/>
      <c r="E44" s="1307"/>
      <c r="F44" s="1307"/>
      <c r="I44" s="490"/>
    </row>
    <row r="45" spans="1:9" ht="14.25">
      <c r="A45" s="484"/>
      <c r="B45" s="484"/>
      <c r="D45" s="1307"/>
      <c r="E45" s="1307"/>
      <c r="F45" s="1307"/>
      <c r="I45" s="490"/>
    </row>
    <row r="46" spans="1:9" ht="14.25">
      <c r="A46" s="484"/>
      <c r="B46" s="484"/>
      <c r="D46" s="445"/>
      <c r="E46" s="445"/>
      <c r="F46" s="445"/>
      <c r="I46" s="490"/>
    </row>
    <row r="47" spans="1:9" ht="14.25">
      <c r="A47" s="484"/>
      <c r="B47" s="485" t="s">
        <v>2769</v>
      </c>
      <c r="D47" s="1307" t="s">
        <v>1093</v>
      </c>
      <c r="E47" s="1307"/>
      <c r="F47" s="1307"/>
      <c r="I47" s="490"/>
    </row>
    <row r="48" spans="1:9" ht="14.25">
      <c r="A48" s="484"/>
      <c r="B48" s="484"/>
      <c r="D48" s="1307"/>
      <c r="E48" s="1307"/>
      <c r="F48" s="1307"/>
      <c r="I48" s="490"/>
    </row>
    <row r="49" spans="1:9" ht="14.25">
      <c r="A49" s="484"/>
      <c r="B49" s="484"/>
      <c r="D49" s="1307"/>
      <c r="E49" s="1307"/>
      <c r="F49" s="1307"/>
      <c r="I49" s="490"/>
    </row>
    <row r="50" spans="1:9" ht="23.25" customHeight="1">
      <c r="A50" s="484"/>
      <c r="B50" s="484"/>
      <c r="D50" s="1307"/>
      <c r="E50" s="1307"/>
      <c r="F50" s="1307"/>
      <c r="I50" s="490"/>
    </row>
    <row r="51" spans="1:9" ht="14.25">
      <c r="A51" s="484"/>
      <c r="B51" s="484"/>
      <c r="D51" s="446"/>
      <c r="I51" s="490"/>
    </row>
    <row r="52" spans="1:9" ht="14.45" customHeight="1">
      <c r="A52" s="484"/>
      <c r="B52" s="485" t="s">
        <v>2770</v>
      </c>
      <c r="D52" s="1307" t="s">
        <v>1094</v>
      </c>
      <c r="E52" s="1307"/>
      <c r="F52" s="1307"/>
      <c r="I52" s="490"/>
    </row>
    <row r="53" spans="1:9" ht="14.25">
      <c r="A53" s="484"/>
      <c r="B53" s="484"/>
      <c r="D53" s="1307"/>
      <c r="E53" s="1307"/>
      <c r="F53" s="1307"/>
      <c r="I53" s="490"/>
    </row>
    <row r="54" spans="1:9" ht="14.25">
      <c r="A54" s="484"/>
      <c r="B54" s="484"/>
      <c r="D54" s="1307"/>
      <c r="E54" s="1307"/>
      <c r="F54" s="1307"/>
      <c r="I54" s="490"/>
    </row>
    <row r="55" spans="1:9" ht="14.25">
      <c r="A55" s="484"/>
      <c r="B55" s="484"/>
      <c r="I55" s="490"/>
    </row>
    <row r="56" spans="1:9" ht="14.25">
      <c r="A56" s="484"/>
      <c r="B56" s="485" t="s">
        <v>2769</v>
      </c>
      <c r="D56" s="1330" t="s">
        <v>1095</v>
      </c>
      <c r="E56" s="1330"/>
      <c r="F56" s="1330"/>
      <c r="I56" s="490"/>
    </row>
    <row r="57" spans="1:9" ht="14.25">
      <c r="A57" s="484"/>
      <c r="B57" s="484"/>
      <c r="D57" s="1330"/>
      <c r="E57" s="1330"/>
      <c r="F57" s="1330"/>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2768</v>
      </c>
      <c r="D61" s="1307" t="s">
        <v>1096</v>
      </c>
      <c r="E61" s="1307"/>
      <c r="F61" s="1307"/>
      <c r="I61" s="490"/>
    </row>
    <row r="62" spans="1:9">
      <c r="D62" s="1307"/>
      <c r="E62" s="1307"/>
      <c r="F62" s="1307"/>
      <c r="I62" s="490"/>
    </row>
    <row r="63" spans="1:9">
      <c r="D63" s="1307"/>
      <c r="E63" s="1307"/>
      <c r="F63" s="1307"/>
      <c r="I63" s="490"/>
    </row>
    <row r="64" spans="1:9">
      <c r="I64" s="490"/>
    </row>
    <row r="65" spans="1:9" ht="14.25">
      <c r="A65" s="484"/>
      <c r="B65" s="485" t="s">
        <v>2770</v>
      </c>
      <c r="D65" s="1307" t="s">
        <v>1097</v>
      </c>
      <c r="E65" s="1307"/>
      <c r="F65" s="1307"/>
      <c r="I65" s="490"/>
    </row>
    <row r="66" spans="1:9">
      <c r="D66" s="1307"/>
      <c r="E66" s="1307"/>
      <c r="F66" s="1307"/>
      <c r="I66" s="490"/>
    </row>
    <row r="67" spans="1:9">
      <c r="I67" s="490"/>
    </row>
    <row r="68" spans="1:9" ht="14.25">
      <c r="A68" s="484"/>
      <c r="B68" s="485" t="s">
        <v>2768</v>
      </c>
      <c r="D68" s="1307" t="s">
        <v>1098</v>
      </c>
      <c r="E68" s="1307"/>
      <c r="F68" s="1307"/>
      <c r="I68" s="490"/>
    </row>
    <row r="69" spans="1:9">
      <c r="D69" s="1307"/>
      <c r="E69" s="1307"/>
      <c r="F69" s="1307"/>
      <c r="I69" s="490"/>
    </row>
    <row r="70" spans="1:9">
      <c r="D70" s="1307"/>
      <c r="E70" s="1307"/>
      <c r="F70" s="1307"/>
      <c r="I70" s="490"/>
    </row>
    <row r="71" spans="1:9">
      <c r="I71" s="490"/>
    </row>
    <row r="72" spans="1:9" ht="14.25">
      <c r="A72" s="484"/>
      <c r="B72" s="485" t="s">
        <v>2768</v>
      </c>
      <c r="D72" s="1307" t="s">
        <v>1099</v>
      </c>
      <c r="E72" s="1307"/>
      <c r="F72" s="1307"/>
      <c r="I72" s="490"/>
    </row>
    <row r="73" spans="1:9">
      <c r="D73" s="1307"/>
      <c r="E73" s="1307"/>
      <c r="F73" s="1307"/>
      <c r="I73" s="490"/>
    </row>
    <row r="74" spans="1:9" ht="14.25">
      <c r="A74" s="484"/>
      <c r="B74" s="484"/>
      <c r="D74" s="446"/>
      <c r="I74" s="490"/>
    </row>
    <row r="75" spans="1:9">
      <c r="A75" s="1314" t="s">
        <v>1044</v>
      </c>
      <c r="B75" s="1314"/>
      <c r="C75" s="1314"/>
      <c r="D75" s="1314"/>
      <c r="E75" s="1314"/>
      <c r="F75" s="1314"/>
      <c r="G75" s="1314"/>
      <c r="H75" s="1028"/>
      <c r="I75" s="1153"/>
    </row>
    <row r="76" spans="1:9">
      <c r="I76" s="490"/>
    </row>
    <row r="77" spans="1:9">
      <c r="C77" s="486"/>
      <c r="D77" s="1323" t="s">
        <v>1102</v>
      </c>
      <c r="E77" s="1323"/>
      <c r="F77" s="1323"/>
      <c r="I77" s="490"/>
    </row>
    <row r="78" spans="1:9">
      <c r="A78" s="446"/>
      <c r="B78" s="446"/>
      <c r="D78" s="1307" t="s">
        <v>1117</v>
      </c>
      <c r="E78" s="1307"/>
      <c r="F78" s="1307"/>
      <c r="I78" s="490"/>
    </row>
    <row r="79" spans="1:9">
      <c r="A79" s="446"/>
      <c r="B79" s="446"/>
      <c r="I79" s="490"/>
    </row>
    <row r="80" spans="1:9" ht="13.7" customHeight="1">
      <c r="A80" s="484"/>
      <c r="B80" s="485" t="s">
        <v>2768</v>
      </c>
      <c r="D80" s="1307" t="s">
        <v>1245</v>
      </c>
      <c r="E80" s="1307"/>
      <c r="F80" s="1307"/>
      <c r="I80" s="490"/>
    </row>
    <row r="81" spans="1:9" ht="14.25">
      <c r="A81" s="484"/>
      <c r="B81" s="484"/>
      <c r="D81" s="1307"/>
      <c r="E81" s="1307"/>
      <c r="F81" s="1307"/>
      <c r="I81" s="490"/>
    </row>
    <row r="82" spans="1:9" ht="14.25">
      <c r="A82" s="484"/>
      <c r="B82" s="484"/>
      <c r="D82" s="1307"/>
      <c r="E82" s="1307"/>
      <c r="F82" s="1307"/>
      <c r="I82" s="490"/>
    </row>
    <row r="83" spans="1:9" ht="14.25">
      <c r="A83" s="484"/>
      <c r="B83" s="484"/>
      <c r="D83" s="1307"/>
      <c r="E83" s="1307"/>
      <c r="F83" s="1307"/>
      <c r="I83" s="490"/>
    </row>
    <row r="84" spans="1:9" ht="14.25">
      <c r="A84" s="484"/>
      <c r="B84" s="484"/>
      <c r="D84" s="1307"/>
      <c r="E84" s="1307"/>
      <c r="F84" s="1307"/>
      <c r="I84" s="490"/>
    </row>
    <row r="85" spans="1:9" ht="14.25">
      <c r="A85" s="484"/>
      <c r="B85" s="484"/>
      <c r="D85" s="1307"/>
      <c r="E85" s="1307"/>
      <c r="F85" s="1307"/>
      <c r="I85" s="490"/>
    </row>
    <row r="86" spans="1:9" ht="14.25">
      <c r="A86" s="484"/>
      <c r="B86" s="484"/>
      <c r="D86" s="1307"/>
      <c r="E86" s="1307"/>
      <c r="F86" s="1307"/>
      <c r="I86" s="490"/>
    </row>
    <row r="87" spans="1:9" ht="14.25">
      <c r="A87" s="484"/>
      <c r="B87" s="484"/>
      <c r="D87" s="1307"/>
      <c r="E87" s="1307"/>
      <c r="F87" s="1307"/>
      <c r="I87" s="490"/>
    </row>
    <row r="88" spans="1:9" ht="14.25">
      <c r="A88" s="484"/>
      <c r="B88" s="484"/>
      <c r="D88" s="385"/>
      <c r="E88" s="385"/>
      <c r="F88" s="385"/>
      <c r="I88" s="490"/>
    </row>
    <row r="89" spans="1:9" ht="15" customHeight="1">
      <c r="A89" s="484"/>
      <c r="B89" s="485" t="s">
        <v>2768</v>
      </c>
      <c r="D89" s="1307" t="s">
        <v>1742</v>
      </c>
      <c r="E89" s="1307"/>
      <c r="F89" s="1307"/>
      <c r="I89" s="490"/>
    </row>
    <row r="90" spans="1:9" ht="14.25">
      <c r="A90" s="484"/>
      <c r="B90" s="484"/>
      <c r="D90" s="1307"/>
      <c r="E90" s="1307"/>
      <c r="F90" s="1307"/>
      <c r="I90" s="490"/>
    </row>
    <row r="91" spans="1:9" ht="14.25">
      <c r="A91" s="484"/>
      <c r="B91" s="484"/>
      <c r="D91" s="445"/>
      <c r="E91" s="445"/>
      <c r="F91" s="445"/>
      <c r="I91" s="490"/>
    </row>
    <row r="92" spans="1:9" ht="14.25">
      <c r="A92" s="484"/>
      <c r="B92" s="485" t="s">
        <v>2770</v>
      </c>
      <c r="D92" s="1307" t="s">
        <v>1745</v>
      </c>
      <c r="E92" s="1307"/>
      <c r="F92" s="1307"/>
      <c r="I92" s="490"/>
    </row>
    <row r="93" spans="1:9" ht="14.25">
      <c r="A93" s="484"/>
      <c r="B93" s="484"/>
      <c r="D93" s="1307"/>
      <c r="E93" s="1307"/>
      <c r="F93" s="1307"/>
      <c r="I93" s="490"/>
    </row>
    <row r="94" spans="1:9" ht="14.25">
      <c r="A94" s="484"/>
      <c r="B94" s="484"/>
      <c r="D94" s="1307"/>
      <c r="E94" s="1307"/>
      <c r="F94" s="1307"/>
      <c r="I94" s="490"/>
    </row>
    <row r="95" spans="1:9" ht="14.25">
      <c r="A95" s="484"/>
      <c r="B95" s="484"/>
      <c r="D95" s="445"/>
      <c r="E95" s="445"/>
      <c r="F95" s="445"/>
      <c r="I95" s="490"/>
    </row>
    <row r="96" spans="1:9" ht="14.25">
      <c r="A96" s="484"/>
      <c r="B96" s="485" t="s">
        <v>2768</v>
      </c>
      <c r="D96" s="1307" t="s">
        <v>1744</v>
      </c>
      <c r="E96" s="1307"/>
      <c r="F96" s="1307"/>
      <c r="I96" s="490"/>
    </row>
    <row r="97" spans="1:9" s="987" customFormat="1" ht="14.25">
      <c r="A97" s="985"/>
      <c r="B97" s="985"/>
      <c r="C97" s="986"/>
      <c r="D97" s="1307"/>
      <c r="E97" s="1307"/>
      <c r="F97" s="1307"/>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2768</v>
      </c>
      <c r="D100" s="1307" t="s">
        <v>1743</v>
      </c>
      <c r="E100" s="1307"/>
      <c r="F100" s="1307"/>
      <c r="I100" s="490"/>
    </row>
    <row r="101" spans="1:9" ht="14.25">
      <c r="A101" s="484"/>
      <c r="B101" s="484"/>
      <c r="D101" s="1307"/>
      <c r="E101" s="1307"/>
      <c r="F101" s="1307"/>
      <c r="I101" s="490"/>
    </row>
    <row r="102" spans="1:9" ht="14.25">
      <c r="A102" s="484"/>
      <c r="B102" s="484"/>
      <c r="D102" s="445"/>
      <c r="E102" s="445"/>
      <c r="F102" s="445"/>
      <c r="I102" s="490"/>
    </row>
    <row r="103" spans="1:9" ht="14.45" customHeight="1">
      <c r="A103" s="484"/>
      <c r="B103" s="485" t="s">
        <v>2770</v>
      </c>
      <c r="D103" s="1307" t="s">
        <v>1194</v>
      </c>
      <c r="E103" s="1307"/>
      <c r="F103" s="1307"/>
      <c r="I103" s="490"/>
    </row>
    <row r="104" spans="1:9" ht="14.25">
      <c r="A104" s="484"/>
      <c r="B104" s="484"/>
      <c r="D104" s="1307"/>
      <c r="E104" s="1307"/>
      <c r="F104" s="1307"/>
      <c r="I104" s="490"/>
    </row>
    <row r="105" spans="1:9" ht="14.25">
      <c r="A105" s="484"/>
      <c r="B105" s="484"/>
      <c r="D105" s="1307"/>
      <c r="E105" s="1307"/>
      <c r="F105" s="1307"/>
      <c r="I105" s="490"/>
    </row>
    <row r="106" spans="1:9" ht="14.25">
      <c r="A106" s="484"/>
      <c r="B106" s="484"/>
      <c r="D106" s="1307"/>
      <c r="E106" s="1307"/>
      <c r="F106" s="1307"/>
      <c r="I106" s="490"/>
    </row>
    <row r="107" spans="1:9" ht="14.25">
      <c r="A107" s="484"/>
      <c r="B107" s="484"/>
      <c r="D107" s="1307"/>
      <c r="E107" s="1307"/>
      <c r="F107" s="1307"/>
      <c r="I107" s="490"/>
    </row>
    <row r="108" spans="1:9" ht="14.25">
      <c r="A108" s="484"/>
      <c r="B108" s="484"/>
      <c r="D108" s="1307"/>
      <c r="E108" s="1307"/>
      <c r="F108" s="1307"/>
      <c r="I108" s="490"/>
    </row>
    <row r="109" spans="1:9" ht="14.25">
      <c r="A109" s="484"/>
      <c r="B109" s="484"/>
      <c r="D109" s="1307"/>
      <c r="E109" s="1307"/>
      <c r="F109" s="1307"/>
      <c r="I109" s="490"/>
    </row>
    <row r="110" spans="1:9" ht="14.25">
      <c r="A110" s="484"/>
      <c r="B110" s="484"/>
      <c r="D110" s="1307"/>
      <c r="E110" s="1307"/>
      <c r="F110" s="1307"/>
      <c r="I110" s="490"/>
    </row>
    <row r="111" spans="1:9" ht="14.25">
      <c r="A111" s="484"/>
      <c r="B111" s="484"/>
      <c r="D111" s="1307"/>
      <c r="E111" s="1307"/>
      <c r="F111" s="1307"/>
      <c r="I111" s="490"/>
    </row>
    <row r="112" spans="1:9" ht="14.25">
      <c r="A112" s="484"/>
      <c r="B112" s="484"/>
      <c r="D112" s="1307"/>
      <c r="E112" s="1307"/>
      <c r="F112" s="1307"/>
      <c r="I112" s="490"/>
    </row>
    <row r="113" spans="1:9" ht="14.25">
      <c r="A113" s="484"/>
      <c r="B113" s="484"/>
      <c r="D113" s="1307"/>
      <c r="E113" s="1307"/>
      <c r="F113" s="1307"/>
      <c r="I113" s="490"/>
    </row>
    <row r="114" spans="1:9" ht="14.25">
      <c r="A114" s="484"/>
      <c r="B114" s="484"/>
      <c r="D114" s="1307"/>
      <c r="E114" s="1307"/>
      <c r="F114" s="1307"/>
      <c r="I114" s="490"/>
    </row>
    <row r="115" spans="1:9" ht="14.25">
      <c r="A115" s="484"/>
      <c r="B115" s="484"/>
      <c r="D115" s="1307"/>
      <c r="E115" s="1307"/>
      <c r="F115" s="1307"/>
      <c r="I115" s="490"/>
    </row>
    <row r="116" spans="1:9" ht="14.25">
      <c r="A116" s="484"/>
      <c r="B116" s="484"/>
      <c r="D116" s="1307"/>
      <c r="E116" s="1307"/>
      <c r="F116" s="1307"/>
      <c r="I116" s="490"/>
    </row>
    <row r="117" spans="1:9" ht="14.25">
      <c r="A117" s="484"/>
      <c r="B117" s="484"/>
      <c r="D117" s="1307"/>
      <c r="E117" s="1307"/>
      <c r="F117" s="1307"/>
      <c r="I117" s="490"/>
    </row>
    <row r="118" spans="1:9" ht="14.25">
      <c r="A118" s="484"/>
      <c r="B118" s="484"/>
      <c r="D118" s="524"/>
      <c r="E118" s="524"/>
      <c r="F118" s="524"/>
      <c r="I118" s="490"/>
    </row>
    <row r="119" spans="1:9" ht="14.25" customHeight="1">
      <c r="A119" s="484"/>
      <c r="B119" s="485" t="s">
        <v>2770</v>
      </c>
      <c r="D119" s="1329" t="s">
        <v>1103</v>
      </c>
      <c r="E119" s="1329"/>
      <c r="F119" s="1329"/>
      <c r="I119" s="490"/>
    </row>
    <row r="120" spans="1:9" ht="14.25">
      <c r="A120" s="484"/>
      <c r="B120" s="484"/>
      <c r="D120" s="1329"/>
      <c r="E120" s="1329"/>
      <c r="F120" s="1329"/>
      <c r="I120" s="490"/>
    </row>
    <row r="121" spans="1:9" ht="14.25">
      <c r="A121" s="484"/>
      <c r="B121" s="484"/>
      <c r="D121" s="1329"/>
      <c r="E121" s="1329"/>
      <c r="F121" s="1329"/>
      <c r="I121" s="490"/>
    </row>
    <row r="122" spans="1:9" ht="14.25">
      <c r="A122" s="484"/>
      <c r="B122" s="484"/>
      <c r="D122" s="1329"/>
      <c r="E122" s="1329"/>
      <c r="F122" s="1329"/>
      <c r="I122" s="490"/>
    </row>
    <row r="123" spans="1:9" ht="14.25">
      <c r="A123" s="484"/>
      <c r="B123" s="484"/>
      <c r="D123" s="1329"/>
      <c r="E123" s="1329"/>
      <c r="F123" s="1329"/>
      <c r="I123" s="490"/>
    </row>
    <row r="124" spans="1:9" ht="14.25">
      <c r="A124" s="484"/>
      <c r="B124" s="484"/>
      <c r="D124" s="1329"/>
      <c r="E124" s="1329"/>
      <c r="F124" s="1329"/>
      <c r="I124" s="490"/>
    </row>
    <row r="125" spans="1:9" ht="14.25">
      <c r="A125" s="484"/>
      <c r="B125" s="484"/>
      <c r="D125" s="1329"/>
      <c r="E125" s="1329"/>
      <c r="F125" s="1329"/>
      <c r="I125" s="490"/>
    </row>
    <row r="126" spans="1:9" ht="14.25">
      <c r="A126" s="484"/>
      <c r="B126" s="484"/>
      <c r="D126" s="1329"/>
      <c r="E126" s="1329"/>
      <c r="F126" s="1329"/>
      <c r="I126" s="490"/>
    </row>
    <row r="127" spans="1:9">
      <c r="C127" s="402"/>
      <c r="D127" s="525"/>
      <c r="E127" s="525"/>
      <c r="F127" s="525"/>
      <c r="I127" s="490"/>
    </row>
    <row r="128" spans="1:9" ht="14.25">
      <c r="A128" s="484"/>
      <c r="B128" s="485" t="s">
        <v>2768</v>
      </c>
      <c r="C128" s="402"/>
      <c r="D128" s="1329" t="s">
        <v>2050</v>
      </c>
      <c r="E128" s="1329"/>
      <c r="F128" s="1329"/>
      <c r="I128" s="490"/>
    </row>
    <row r="129" spans="1:9" ht="14.25">
      <c r="A129" s="484"/>
      <c r="B129" s="484"/>
      <c r="C129" s="402"/>
      <c r="D129" s="1329"/>
      <c r="E129" s="1329"/>
      <c r="F129" s="1329"/>
      <c r="I129" s="490"/>
    </row>
    <row r="130" spans="1:9">
      <c r="I130" s="490"/>
    </row>
    <row r="131" spans="1:9" ht="14.25">
      <c r="A131" s="484"/>
      <c r="B131" s="485" t="s">
        <v>2768</v>
      </c>
      <c r="D131" s="1307" t="s">
        <v>1104</v>
      </c>
      <c r="E131" s="1307"/>
      <c r="F131" s="1307"/>
      <c r="I131" s="490"/>
    </row>
    <row r="132" spans="1:9">
      <c r="D132" s="1307"/>
      <c r="E132" s="1307"/>
      <c r="F132" s="1307"/>
      <c r="I132" s="490"/>
    </row>
    <row r="133" spans="1:9">
      <c r="D133" s="1307"/>
      <c r="E133" s="1307"/>
      <c r="F133" s="1307"/>
      <c r="I133" s="490"/>
    </row>
    <row r="134" spans="1:9">
      <c r="D134" s="1307"/>
      <c r="E134" s="1307"/>
      <c r="F134" s="1307"/>
      <c r="I134" s="490"/>
    </row>
    <row r="135" spans="1:9">
      <c r="D135" s="1307"/>
      <c r="E135" s="1307"/>
      <c r="F135" s="1307"/>
      <c r="I135" s="490"/>
    </row>
    <row r="136" spans="1:9">
      <c r="I136" s="490"/>
    </row>
    <row r="137" spans="1:9" ht="14.25">
      <c r="A137" s="484"/>
      <c r="B137" s="485" t="s">
        <v>2768</v>
      </c>
      <c r="D137" s="1307" t="s">
        <v>1105</v>
      </c>
      <c r="E137" s="1307"/>
      <c r="F137" s="1307"/>
      <c r="I137" s="490"/>
    </row>
    <row r="138" spans="1:9" s="417" customFormat="1" ht="13.7" customHeight="1">
      <c r="A138" s="488"/>
      <c r="B138" s="488"/>
      <c r="C138" s="488"/>
      <c r="D138" s="1307"/>
      <c r="E138" s="1307"/>
      <c r="F138" s="1307"/>
      <c r="I138" s="1155"/>
    </row>
    <row r="139" spans="1:9" ht="13.7" customHeight="1">
      <c r="D139" s="1307"/>
      <c r="E139" s="1307"/>
      <c r="F139" s="1307"/>
      <c r="I139" s="490"/>
    </row>
    <row r="140" spans="1:9" ht="13.7" customHeight="1">
      <c r="D140" s="1307"/>
      <c r="E140" s="1307"/>
      <c r="F140" s="1307"/>
      <c r="I140" s="490"/>
    </row>
    <row r="141" spans="1:9" ht="13.7" customHeight="1">
      <c r="D141" s="1307"/>
      <c r="E141" s="1307"/>
      <c r="F141" s="1307"/>
      <c r="I141" s="490"/>
    </row>
    <row r="142" spans="1:9" ht="13.7" customHeight="1">
      <c r="A142" s="489"/>
      <c r="B142" s="489"/>
      <c r="D142" s="1307"/>
      <c r="E142" s="1307"/>
      <c r="F142" s="1307"/>
      <c r="I142" s="490"/>
    </row>
    <row r="143" spans="1:9" ht="13.7" customHeight="1">
      <c r="D143" s="1307"/>
      <c r="E143" s="1307"/>
      <c r="F143" s="1307"/>
      <c r="I143" s="490"/>
    </row>
    <row r="144" spans="1:9" ht="13.7" customHeight="1">
      <c r="D144" s="1307"/>
      <c r="E144" s="1307"/>
      <c r="F144" s="1307"/>
      <c r="I144" s="490"/>
    </row>
    <row r="145" spans="2:9" ht="13.7" customHeight="1">
      <c r="D145" s="1307"/>
      <c r="E145" s="1307"/>
      <c r="F145" s="1307"/>
      <c r="I145" s="490"/>
    </row>
    <row r="146" spans="2:9" ht="13.7" customHeight="1">
      <c r="D146" s="1307"/>
      <c r="E146" s="1307"/>
      <c r="F146" s="1307"/>
      <c r="I146" s="490"/>
    </row>
    <row r="147" spans="2:9" ht="13.7" customHeight="1">
      <c r="D147" s="1307"/>
      <c r="E147" s="1307"/>
      <c r="F147" s="1307"/>
      <c r="I147" s="490"/>
    </row>
    <row r="148" spans="2:9" ht="13.7" customHeight="1">
      <c r="D148" s="1307"/>
      <c r="E148" s="1307"/>
      <c r="F148" s="1307"/>
      <c r="I148" s="490"/>
    </row>
    <row r="149" spans="2:9" ht="13.7" customHeight="1">
      <c r="D149" s="1307"/>
      <c r="E149" s="1307"/>
      <c r="F149" s="1307"/>
      <c r="I149" s="490"/>
    </row>
    <row r="150" spans="2:9" ht="13.7" customHeight="1">
      <c r="D150" s="476"/>
      <c r="E150" s="446"/>
      <c r="F150" s="446"/>
      <c r="I150" s="490"/>
    </row>
    <row r="151" spans="2:9" ht="13.7" customHeight="1">
      <c r="B151" s="485" t="s">
        <v>2770</v>
      </c>
      <c r="D151" s="1307" t="s">
        <v>1177</v>
      </c>
      <c r="E151" s="1307"/>
      <c r="F151" s="1307"/>
      <c r="I151" s="490"/>
    </row>
    <row r="152" spans="2:9" ht="13.7" customHeight="1">
      <c r="D152" s="1307"/>
      <c r="E152" s="1307"/>
      <c r="F152" s="1307"/>
      <c r="I152" s="490"/>
    </row>
    <row r="153" spans="2:9" ht="13.7" customHeight="1">
      <c r="D153" s="1307"/>
      <c r="E153" s="1307"/>
      <c r="F153" s="1307"/>
      <c r="I153" s="490"/>
    </row>
    <row r="154" spans="2:9" ht="13.7" customHeight="1">
      <c r="D154" s="1307"/>
      <c r="E154" s="1307"/>
      <c r="F154" s="1307"/>
      <c r="I154" s="490"/>
    </row>
    <row r="155" spans="2:9" ht="13.7" customHeight="1">
      <c r="D155" s="1307"/>
      <c r="E155" s="1307"/>
      <c r="F155" s="1307"/>
      <c r="I155" s="490"/>
    </row>
    <row r="156" spans="2:9" ht="13.7" customHeight="1">
      <c r="D156" s="1307"/>
      <c r="E156" s="1307"/>
      <c r="F156" s="1307"/>
      <c r="I156" s="490"/>
    </row>
    <row r="157" spans="2:9" ht="13.7" customHeight="1">
      <c r="D157" s="1307"/>
      <c r="E157" s="1307"/>
      <c r="F157" s="1307"/>
      <c r="I157" s="490"/>
    </row>
    <row r="158" spans="2:9" ht="13.7" customHeight="1">
      <c r="D158" s="1307"/>
      <c r="E158" s="1307"/>
      <c r="F158" s="1307"/>
      <c r="I158" s="490"/>
    </row>
    <row r="159" spans="2:9" ht="13.7" customHeight="1">
      <c r="D159" s="1307"/>
      <c r="E159" s="1307"/>
      <c r="F159" s="1307"/>
      <c r="I159" s="490"/>
    </row>
    <row r="160" spans="2:9" ht="13.7" customHeight="1">
      <c r="D160" s="1307"/>
      <c r="E160" s="1307"/>
      <c r="F160" s="1307"/>
      <c r="I160" s="490"/>
    </row>
    <row r="161" spans="1:9" ht="13.7" customHeight="1">
      <c r="D161" s="1307"/>
      <c r="E161" s="1307"/>
      <c r="F161" s="1307"/>
      <c r="I161" s="490"/>
    </row>
    <row r="162" spans="1:9" ht="13.7" customHeight="1">
      <c r="D162" s="1307"/>
      <c r="E162" s="1307"/>
      <c r="F162" s="1307"/>
      <c r="I162" s="490"/>
    </row>
    <row r="163" spans="1:9" ht="13.7" customHeight="1">
      <c r="D163" s="1307"/>
      <c r="E163" s="1307"/>
      <c r="F163" s="1307"/>
      <c r="I163" s="490"/>
    </row>
    <row r="164" spans="1:9" ht="13.7" customHeight="1">
      <c r="D164" s="1307"/>
      <c r="E164" s="1307"/>
      <c r="F164" s="1307"/>
      <c r="I164" s="490"/>
    </row>
    <row r="165" spans="1:9" ht="13.7" customHeight="1">
      <c r="D165" s="1307"/>
      <c r="E165" s="1307"/>
      <c r="F165" s="1307"/>
      <c r="I165" s="490"/>
    </row>
    <row r="166" spans="1:9" ht="13.7" customHeight="1">
      <c r="D166" s="1307"/>
      <c r="E166" s="1307"/>
      <c r="F166" s="1307"/>
      <c r="I166" s="490"/>
    </row>
    <row r="167" spans="1:9" ht="13.7" customHeight="1">
      <c r="D167" s="1307"/>
      <c r="E167" s="1307"/>
      <c r="F167" s="1307"/>
      <c r="I167" s="490"/>
    </row>
    <row r="168" spans="1:9" ht="13.7" customHeight="1">
      <c r="D168" s="1307"/>
      <c r="E168" s="1307"/>
      <c r="F168" s="1307"/>
      <c r="I168" s="490"/>
    </row>
    <row r="169" spans="1:9" ht="13.7" customHeight="1">
      <c r="D169" s="1326" t="s">
        <v>2073</v>
      </c>
      <c r="E169" s="1326"/>
      <c r="F169" s="1326"/>
      <c r="G169" s="507"/>
      <c r="I169" s="490"/>
    </row>
    <row r="170" spans="1:9" ht="13.7" customHeight="1">
      <c r="D170" s="1324"/>
      <c r="E170" s="1324"/>
      <c r="F170" s="1324"/>
      <c r="G170" s="1324"/>
      <c r="I170" s="490"/>
    </row>
    <row r="171" spans="1:9" ht="14.45" customHeight="1">
      <c r="A171" s="489"/>
      <c r="B171" s="485" t="s">
        <v>2770</v>
      </c>
      <c r="C171" s="476"/>
      <c r="D171" s="1278" t="s">
        <v>2213</v>
      </c>
      <c r="E171" s="1278"/>
      <c r="F171" s="1278"/>
      <c r="G171" s="476"/>
      <c r="I171" s="490"/>
    </row>
    <row r="172" spans="1:9" ht="14.45" customHeight="1">
      <c r="A172" s="489"/>
      <c r="B172" s="489"/>
      <c r="C172" s="476"/>
      <c r="D172" s="1278"/>
      <c r="E172" s="1278"/>
      <c r="F172" s="1278"/>
      <c r="G172" s="476"/>
      <c r="I172" s="490"/>
    </row>
    <row r="173" spans="1:9" ht="14.45" customHeight="1">
      <c r="A173" s="489"/>
      <c r="B173" s="489"/>
      <c r="C173" s="476"/>
      <c r="D173" s="1278"/>
      <c r="E173" s="1278"/>
      <c r="F173" s="1278"/>
      <c r="G173" s="476"/>
      <c r="I173" s="490"/>
    </row>
    <row r="174" spans="1:9" ht="14.45" customHeight="1">
      <c r="A174" s="489"/>
      <c r="B174" s="489"/>
      <c r="C174" s="476"/>
      <c r="D174" s="1278"/>
      <c r="E174" s="1278"/>
      <c r="F174" s="1278"/>
      <c r="G174" s="476"/>
      <c r="I174" s="490"/>
    </row>
    <row r="175" spans="1:9" ht="13.7" customHeight="1">
      <c r="A175" s="489"/>
      <c r="B175" s="489"/>
      <c r="C175" s="476"/>
      <c r="D175" s="1278"/>
      <c r="E175" s="1278"/>
      <c r="F175" s="1278"/>
      <c r="G175" s="476"/>
      <c r="I175" s="490"/>
    </row>
    <row r="176" spans="1:9" ht="13.7" customHeight="1">
      <c r="A176" s="489"/>
      <c r="B176" s="489"/>
      <c r="C176" s="476"/>
      <c r="D176" s="476"/>
      <c r="E176" s="476"/>
      <c r="F176" s="476"/>
      <c r="G176" s="476"/>
      <c r="I176" s="490"/>
    </row>
    <row r="177" spans="1:9" ht="13.7" customHeight="1">
      <c r="A177" s="489"/>
      <c r="B177" s="485" t="s">
        <v>2768</v>
      </c>
      <c r="C177" s="476"/>
      <c r="D177" s="1278" t="s">
        <v>1106</v>
      </c>
      <c r="E177" s="1278"/>
      <c r="F177" s="1278"/>
      <c r="G177" s="476"/>
      <c r="I177" s="490"/>
    </row>
    <row r="178" spans="1:9" ht="13.7" customHeight="1">
      <c r="A178" s="489"/>
      <c r="B178" s="489"/>
      <c r="C178" s="476"/>
      <c r="D178" s="1278"/>
      <c r="E178" s="1278"/>
      <c r="F178" s="1278"/>
      <c r="G178" s="476"/>
      <c r="I178" s="490"/>
    </row>
    <row r="179" spans="1:9" ht="13.7" customHeight="1">
      <c r="A179" s="489"/>
      <c r="B179" s="489"/>
      <c r="C179" s="476"/>
      <c r="D179" s="1278"/>
      <c r="E179" s="1278"/>
      <c r="F179" s="1278"/>
      <c r="G179" s="476"/>
      <c r="I179" s="490"/>
    </row>
    <row r="180" spans="1:9" ht="13.7" customHeight="1">
      <c r="A180" s="489"/>
      <c r="B180" s="489"/>
      <c r="C180" s="476"/>
      <c r="D180" s="1278"/>
      <c r="E180" s="1278"/>
      <c r="F180" s="1278"/>
      <c r="G180" s="476"/>
      <c r="I180" s="490"/>
    </row>
    <row r="181" spans="1:9" ht="13.7" customHeight="1">
      <c r="D181" s="446"/>
      <c r="E181" s="446"/>
      <c r="F181" s="446"/>
      <c r="I181" s="490"/>
    </row>
    <row r="182" spans="1:9" ht="13.7" customHeight="1">
      <c r="B182" s="485" t="s">
        <v>2770</v>
      </c>
      <c r="D182" s="1319" t="s">
        <v>2051</v>
      </c>
      <c r="E182" s="1319"/>
      <c r="F182" s="1319"/>
      <c r="I182" s="490"/>
    </row>
    <row r="183" spans="1:9" ht="13.7" customHeight="1">
      <c r="D183" s="1319"/>
      <c r="E183" s="1319"/>
      <c r="F183" s="1319"/>
      <c r="I183" s="490"/>
    </row>
    <row r="184" spans="1:9" ht="13.7" customHeight="1">
      <c r="D184" s="1319"/>
      <c r="E184" s="1319"/>
      <c r="F184" s="1319"/>
      <c r="I184" s="490"/>
    </row>
    <row r="185" spans="1:9" ht="13.7" customHeight="1">
      <c r="A185" s="490"/>
      <c r="B185" s="490"/>
      <c r="E185" s="446"/>
      <c r="F185" s="446"/>
      <c r="I185" s="490"/>
    </row>
    <row r="186" spans="1:9">
      <c r="A186" s="1314" t="s">
        <v>2052</v>
      </c>
      <c r="B186" s="1314"/>
      <c r="C186" s="1314"/>
      <c r="D186" s="1314"/>
      <c r="E186" s="1314"/>
      <c r="F186" s="1314"/>
      <c r="G186" s="1314"/>
      <c r="H186" s="1028"/>
      <c r="I186" s="1153"/>
    </row>
    <row r="187" spans="1:9" ht="12" customHeight="1">
      <c r="D187" s="446"/>
      <c r="E187" s="446"/>
      <c r="F187" s="446"/>
      <c r="I187" s="490"/>
    </row>
    <row r="188" spans="1:9">
      <c r="B188" s="1309" t="s">
        <v>446</v>
      </c>
      <c r="C188" s="1309"/>
      <c r="D188" s="1309"/>
      <c r="E188" s="1309"/>
      <c r="F188" s="1309"/>
      <c r="I188" s="490"/>
    </row>
    <row r="189" spans="1:9">
      <c r="B189" s="392" t="s">
        <v>1875</v>
      </c>
      <c r="C189" s="392"/>
      <c r="D189" s="392"/>
      <c r="E189" s="392"/>
      <c r="F189" s="392"/>
      <c r="I189" s="490"/>
    </row>
    <row r="190" spans="1:9" ht="12" customHeight="1">
      <c r="A190" s="482"/>
      <c r="B190" s="482"/>
      <c r="C190" s="482"/>
      <c r="I190" s="490"/>
    </row>
    <row r="191" spans="1:9">
      <c r="A191" s="1314" t="s">
        <v>1045</v>
      </c>
      <c r="B191" s="1314"/>
      <c r="C191" s="1314"/>
      <c r="D191" s="1314"/>
      <c r="E191" s="1314"/>
      <c r="F191" s="1314"/>
      <c r="G191" s="1314"/>
      <c r="H191" s="1028"/>
      <c r="I191" s="1153"/>
    </row>
    <row r="192" spans="1:9" ht="12" customHeight="1">
      <c r="A192" s="404"/>
      <c r="B192" s="404"/>
      <c r="E192" s="404"/>
      <c r="I192" s="490"/>
    </row>
    <row r="193" spans="1:9" ht="13.7" customHeight="1">
      <c r="A193" s="404"/>
      <c r="B193" s="404"/>
      <c r="D193" s="1323" t="s">
        <v>1746</v>
      </c>
      <c r="E193" s="1323"/>
      <c r="F193" s="1323"/>
      <c r="I193" s="490"/>
    </row>
    <row r="194" spans="1:9">
      <c r="A194" s="404"/>
      <c r="B194" s="404"/>
      <c r="D194" s="1323"/>
      <c r="E194" s="1323"/>
      <c r="F194" s="1323"/>
      <c r="I194" s="490"/>
    </row>
    <row r="195" spans="1:9">
      <c r="A195" s="404"/>
      <c r="B195" s="404"/>
      <c r="D195" s="1309" t="s">
        <v>1195</v>
      </c>
      <c r="E195" s="1309"/>
      <c r="F195" s="1309"/>
      <c r="I195" s="490"/>
    </row>
    <row r="196" spans="1:9">
      <c r="A196" s="404"/>
      <c r="B196" s="404"/>
      <c r="D196" s="392"/>
      <c r="E196" s="392"/>
      <c r="F196" s="392"/>
      <c r="I196" s="490"/>
    </row>
    <row r="197" spans="1:9">
      <c r="A197" s="404"/>
      <c r="B197" s="485" t="s">
        <v>2768</v>
      </c>
      <c r="D197" s="1294" t="s">
        <v>1747</v>
      </c>
      <c r="E197" s="1294"/>
      <c r="F197" s="1294"/>
      <c r="I197" s="490"/>
    </row>
    <row r="198" spans="1:9">
      <c r="A198" s="404"/>
      <c r="B198" s="404"/>
      <c r="D198" s="1293" t="s">
        <v>1902</v>
      </c>
      <c r="E198" s="1293"/>
      <c r="F198" s="1293"/>
      <c r="I198" s="490"/>
    </row>
    <row r="199" spans="1:9">
      <c r="A199" s="404"/>
      <c r="B199" s="404"/>
      <c r="D199" s="96" t="s">
        <v>1748</v>
      </c>
      <c r="E199" s="1331" t="s">
        <v>1925</v>
      </c>
      <c r="F199" s="1331"/>
      <c r="I199" s="490"/>
    </row>
    <row r="200" spans="1:9">
      <c r="A200" s="404"/>
      <c r="B200" s="404"/>
      <c r="D200" s="3"/>
      <c r="E200" s="3"/>
      <c r="F200" s="3"/>
      <c r="I200" s="490"/>
    </row>
    <row r="201" spans="1:9">
      <c r="A201" s="404"/>
      <c r="B201" s="485" t="s">
        <v>2770</v>
      </c>
      <c r="D201" s="1293" t="s">
        <v>1749</v>
      </c>
      <c r="E201" s="1293"/>
      <c r="F201" s="1293"/>
      <c r="I201" s="490"/>
    </row>
    <row r="202" spans="1:9">
      <c r="A202" s="404"/>
      <c r="B202" s="404"/>
      <c r="D202" s="1294" t="s">
        <v>1902</v>
      </c>
      <c r="E202" s="1294"/>
      <c r="F202" s="1294"/>
      <c r="I202" s="490"/>
    </row>
    <row r="203" spans="1:9">
      <c r="A203" s="404"/>
      <c r="B203" s="404"/>
      <c r="D203" s="57" t="s">
        <v>1750</v>
      </c>
      <c r="E203" s="1331" t="s">
        <v>1926</v>
      </c>
      <c r="F203" s="1331"/>
      <c r="I203" s="490"/>
    </row>
    <row r="204" spans="1:9">
      <c r="A204" s="404"/>
      <c r="B204" s="404"/>
      <c r="D204" s="3"/>
      <c r="E204" s="3"/>
      <c r="F204" s="3"/>
      <c r="I204" s="490"/>
    </row>
    <row r="205" spans="1:9">
      <c r="A205" s="404"/>
      <c r="B205" s="485" t="s">
        <v>2770</v>
      </c>
      <c r="D205" s="1293" t="s">
        <v>1751</v>
      </c>
      <c r="E205" s="1293"/>
      <c r="F205" s="1293"/>
      <c r="I205" s="490"/>
    </row>
    <row r="206" spans="1:9">
      <c r="A206" s="404"/>
      <c r="B206" s="404"/>
      <c r="D206" s="1294" t="s">
        <v>1902</v>
      </c>
      <c r="E206" s="1294"/>
      <c r="F206" s="1294"/>
      <c r="I206" s="490"/>
    </row>
    <row r="207" spans="1:9">
      <c r="A207" s="404"/>
      <c r="B207" s="404"/>
      <c r="D207" s="57" t="s">
        <v>1748</v>
      </c>
      <c r="E207" s="1331" t="s">
        <v>1927</v>
      </c>
      <c r="F207" s="1331"/>
      <c r="I207" s="490"/>
    </row>
    <row r="208" spans="1:9">
      <c r="A208" s="404"/>
      <c r="B208" s="404"/>
      <c r="D208" s="392"/>
      <c r="E208" s="392"/>
      <c r="F208" s="392"/>
      <c r="I208" s="490"/>
    </row>
    <row r="209" spans="1:9" ht="14.25" customHeight="1">
      <c r="A209" s="484"/>
      <c r="B209" s="485" t="s">
        <v>2770</v>
      </c>
      <c r="D209" s="386" t="s">
        <v>1895</v>
      </c>
      <c r="E209" s="385"/>
      <c r="F209" s="385"/>
      <c r="I209" s="490"/>
    </row>
    <row r="210" spans="1:9" ht="14.25">
      <c r="A210" s="484"/>
      <c r="B210" s="484"/>
      <c r="D210" s="1294" t="s">
        <v>1902</v>
      </c>
      <c r="E210" s="1294"/>
      <c r="F210" s="1294"/>
      <c r="I210" s="490"/>
    </row>
    <row r="211" spans="1:9">
      <c r="D211" s="385"/>
      <c r="E211" s="1331" t="s">
        <v>1928</v>
      </c>
      <c r="F211" s="1331"/>
      <c r="I211" s="490"/>
    </row>
    <row r="212" spans="1:9">
      <c r="D212" s="447"/>
      <c r="I212" s="490"/>
    </row>
    <row r="213" spans="1:9">
      <c r="B213" s="485" t="s">
        <v>2770</v>
      </c>
      <c r="D213" s="1293" t="s">
        <v>1752</v>
      </c>
      <c r="E213" s="1293"/>
      <c r="F213" s="1293"/>
      <c r="I213" s="490"/>
    </row>
    <row r="214" spans="1:9">
      <c r="D214" s="1294" t="s">
        <v>1902</v>
      </c>
      <c r="E214" s="1294"/>
      <c r="F214" s="1294"/>
      <c r="I214" s="490"/>
    </row>
    <row r="215" spans="1:9">
      <c r="D215" s="57" t="s">
        <v>1748</v>
      </c>
      <c r="E215" s="1331" t="s">
        <v>1929</v>
      </c>
      <c r="F215" s="1331"/>
      <c r="I215" s="490"/>
    </row>
    <row r="216" spans="1:9">
      <c r="D216" s="451"/>
      <c r="E216" s="451"/>
      <c r="F216" s="451"/>
      <c r="I216" s="490"/>
    </row>
    <row r="217" spans="1:9" ht="14.25">
      <c r="A217" s="484"/>
      <c r="B217" s="485" t="s">
        <v>2770</v>
      </c>
      <c r="D217" s="1307" t="s">
        <v>1216</v>
      </c>
      <c r="E217" s="1307"/>
      <c r="F217" s="1307"/>
      <c r="I217" s="490"/>
    </row>
    <row r="218" spans="1:9" ht="14.45" customHeight="1">
      <c r="A218" s="484"/>
      <c r="B218" s="402"/>
      <c r="D218" s="1307"/>
      <c r="E218" s="1307"/>
      <c r="F218" s="1307"/>
      <c r="I218" s="490"/>
    </row>
    <row r="219" spans="1:9" ht="14.25">
      <c r="A219" s="484"/>
      <c r="D219" s="1307"/>
      <c r="E219" s="1307"/>
      <c r="F219" s="1307"/>
      <c r="I219" s="490"/>
    </row>
    <row r="220" spans="1:9" ht="14.25">
      <c r="A220" s="484"/>
      <c r="D220" s="1307"/>
      <c r="E220" s="1307"/>
      <c r="F220" s="1307"/>
      <c r="I220" s="490"/>
    </row>
    <row r="221" spans="1:9">
      <c r="D221" s="451"/>
      <c r="E221" s="451"/>
      <c r="F221" s="451"/>
      <c r="I221" s="490"/>
    </row>
    <row r="222" spans="1:9">
      <c r="A222" s="1314" t="s">
        <v>1046</v>
      </c>
      <c r="B222" s="1314"/>
      <c r="C222" s="1314"/>
      <c r="D222" s="1314"/>
      <c r="E222" s="1314"/>
      <c r="F222" s="1314"/>
      <c r="G222" s="1314"/>
      <c r="H222" s="1028"/>
      <c r="I222" s="1153"/>
    </row>
    <row r="223" spans="1:9" ht="12" customHeight="1">
      <c r="D223" s="446"/>
      <c r="E223" s="446"/>
      <c r="F223" s="446"/>
      <c r="I223" s="490"/>
    </row>
    <row r="224" spans="1:9">
      <c r="C224" s="486"/>
      <c r="D224" s="1315" t="s">
        <v>208</v>
      </c>
      <c r="E224" s="1315"/>
      <c r="F224" s="1315"/>
      <c r="I224" s="490"/>
    </row>
    <row r="225" spans="1:9">
      <c r="A225" s="482"/>
      <c r="B225" s="482"/>
      <c r="C225" s="482"/>
      <c r="D225" s="1305" t="s">
        <v>1120</v>
      </c>
      <c r="E225" s="1305"/>
      <c r="F225" s="1305"/>
      <c r="I225" s="490"/>
    </row>
    <row r="226" spans="1:9" ht="12" customHeight="1">
      <c r="A226" s="490"/>
      <c r="B226" s="490"/>
      <c r="C226" s="490"/>
      <c r="I226" s="490"/>
    </row>
    <row r="227" spans="1:9" ht="13.7" customHeight="1">
      <c r="A227" s="490"/>
      <c r="C227" s="490"/>
      <c r="D227" s="1315" t="s">
        <v>546</v>
      </c>
      <c r="E227" s="1315"/>
      <c r="F227" s="1315"/>
      <c r="I227" s="490"/>
    </row>
    <row r="228" spans="1:9" ht="14.25">
      <c r="A228" s="484"/>
      <c r="B228" s="485" t="s">
        <v>2768</v>
      </c>
      <c r="D228" s="1307" t="s">
        <v>1753</v>
      </c>
      <c r="E228" s="1307"/>
      <c r="F228" s="1307"/>
      <c r="I228" s="490"/>
    </row>
    <row r="229" spans="1:9" ht="14.25" customHeight="1">
      <c r="A229" s="484"/>
      <c r="B229" s="484"/>
      <c r="D229" s="1307"/>
      <c r="E229" s="1307"/>
      <c r="F229" s="1307"/>
      <c r="I229" s="490"/>
    </row>
    <row r="230" spans="1:9" ht="14.25" customHeight="1">
      <c r="A230" s="484"/>
      <c r="B230" s="484"/>
      <c r="D230" s="1307"/>
      <c r="E230" s="1307"/>
      <c r="F230" s="1307"/>
      <c r="I230" s="490"/>
    </row>
    <row r="231" spans="1:9" ht="14.25">
      <c r="A231" s="484"/>
      <c r="B231" s="484"/>
      <c r="D231" s="1307"/>
      <c r="E231" s="1307"/>
      <c r="F231" s="1307"/>
      <c r="I231" s="490"/>
    </row>
    <row r="232" spans="1:9" ht="14.25">
      <c r="A232" s="484"/>
      <c r="B232" s="484"/>
      <c r="D232" s="445"/>
      <c r="E232" s="445"/>
      <c r="F232" s="445"/>
      <c r="I232" s="490"/>
    </row>
    <row r="233" spans="1:9" ht="14.25">
      <c r="A233" s="484"/>
      <c r="B233" s="485" t="s">
        <v>2768</v>
      </c>
      <c r="D233" s="1307" t="s">
        <v>1754</v>
      </c>
      <c r="E233" s="1307"/>
      <c r="F233" s="1307"/>
      <c r="I233" s="490"/>
    </row>
    <row r="234" spans="1:9" ht="14.25">
      <c r="A234" s="484"/>
      <c r="B234" s="484"/>
      <c r="D234" s="1307"/>
      <c r="E234" s="1307"/>
      <c r="F234" s="1307"/>
      <c r="I234" s="490"/>
    </row>
    <row r="235" spans="1:9" ht="14.25">
      <c r="A235" s="484"/>
      <c r="B235" s="484"/>
      <c r="D235" s="1307"/>
      <c r="E235" s="1307"/>
      <c r="F235" s="1307"/>
      <c r="I235" s="490"/>
    </row>
    <row r="236" spans="1:9" ht="14.25">
      <c r="A236" s="484"/>
      <c r="B236" s="484"/>
      <c r="D236" s="1307"/>
      <c r="E236" s="1307"/>
      <c r="F236" s="1307"/>
      <c r="I236" s="490"/>
    </row>
    <row r="237" spans="1:9" ht="14.25" customHeight="1">
      <c r="A237" s="484"/>
      <c r="B237" s="484"/>
      <c r="D237" s="1307"/>
      <c r="E237" s="1307"/>
      <c r="F237" s="1307"/>
      <c r="I237" s="490"/>
    </row>
    <row r="238" spans="1:9" ht="14.25" customHeight="1">
      <c r="A238" s="484"/>
      <c r="B238" s="484"/>
      <c r="D238" s="445"/>
      <c r="E238" s="445"/>
      <c r="F238" s="445"/>
      <c r="I238" s="490"/>
    </row>
    <row r="239" spans="1:9" ht="14.25">
      <c r="A239" s="484"/>
      <c r="B239" s="484"/>
      <c r="D239" s="1307" t="s">
        <v>1118</v>
      </c>
      <c r="E239" s="1307"/>
      <c r="F239" s="1307"/>
      <c r="I239" s="490"/>
    </row>
    <row r="240" spans="1:9" ht="14.25">
      <c r="A240" s="484"/>
      <c r="B240" s="484"/>
      <c r="D240" s="1307"/>
      <c r="E240" s="1307"/>
      <c r="F240" s="1307"/>
      <c r="I240" s="490"/>
    </row>
    <row r="241" spans="1:9" ht="14.25">
      <c r="A241" s="484"/>
      <c r="B241" s="484"/>
      <c r="D241" s="1307"/>
      <c r="E241" s="1307"/>
      <c r="F241" s="1307"/>
      <c r="I241" s="490"/>
    </row>
    <row r="242" spans="1:9" ht="14.25">
      <c r="A242" s="484"/>
      <c r="B242" s="484"/>
      <c r="D242" s="1307"/>
      <c r="E242" s="1307"/>
      <c r="F242" s="1307"/>
      <c r="I242" s="490"/>
    </row>
    <row r="243" spans="1:9" ht="14.25">
      <c r="A243" s="484"/>
      <c r="B243" s="484"/>
      <c r="D243" s="1307"/>
      <c r="E243" s="1307"/>
      <c r="F243" s="1307"/>
      <c r="I243" s="490"/>
    </row>
    <row r="244" spans="1:9" ht="14.25">
      <c r="A244" s="484"/>
      <c r="B244" s="484"/>
      <c r="D244" s="446"/>
      <c r="E244" s="446"/>
      <c r="F244" s="446"/>
      <c r="I244" s="490"/>
    </row>
    <row r="245" spans="1:9" ht="14.25">
      <c r="A245" s="484"/>
      <c r="B245" s="485" t="s">
        <v>2770</v>
      </c>
      <c r="D245" s="1307" t="s">
        <v>2053</v>
      </c>
      <c r="E245" s="1307"/>
      <c r="F245" s="1307"/>
      <c r="I245" s="490"/>
    </row>
    <row r="246" spans="1:9" ht="14.25">
      <c r="A246" s="484"/>
      <c r="B246" s="484"/>
      <c r="D246" s="1307"/>
      <c r="E246" s="1307"/>
      <c r="F246" s="1307"/>
      <c r="I246" s="490"/>
    </row>
    <row r="247" spans="1:9" ht="14.25">
      <c r="A247" s="484"/>
      <c r="B247" s="484"/>
      <c r="D247" s="1307"/>
      <c r="E247" s="1307"/>
      <c r="F247" s="1307"/>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2770</v>
      </c>
      <c r="D250" s="1307" t="s">
        <v>2054</v>
      </c>
      <c r="E250" s="1307"/>
      <c r="F250" s="1307"/>
      <c r="I250" s="490"/>
    </row>
    <row r="251" spans="1:9" ht="14.25">
      <c r="A251" s="484"/>
      <c r="B251" s="484"/>
      <c r="D251" s="1307"/>
      <c r="E251" s="1307"/>
      <c r="F251" s="1307"/>
      <c r="I251" s="490"/>
    </row>
    <row r="252" spans="1:9" ht="14.25">
      <c r="A252" s="484"/>
      <c r="B252" s="484"/>
      <c r="D252" s="1307"/>
      <c r="E252" s="1307"/>
      <c r="F252" s="1307"/>
      <c r="I252" s="490"/>
    </row>
    <row r="253" spans="1:9" ht="14.25">
      <c r="A253" s="484"/>
      <c r="B253" s="484"/>
      <c r="D253" s="1307"/>
      <c r="E253" s="1307"/>
      <c r="F253" s="1307"/>
      <c r="I253" s="490"/>
    </row>
    <row r="254" spans="1:9" ht="14.25">
      <c r="A254" s="484"/>
      <c r="B254" s="484"/>
      <c r="D254" s="1307"/>
      <c r="E254" s="1307"/>
      <c r="F254" s="1307"/>
      <c r="I254" s="490"/>
    </row>
    <row r="255" spans="1:9" ht="14.25">
      <c r="A255" s="484"/>
      <c r="B255" s="484"/>
      <c r="D255" s="445"/>
      <c r="E255" s="445"/>
      <c r="F255" s="445"/>
      <c r="I255" s="490"/>
    </row>
    <row r="256" spans="1:9" ht="14.25">
      <c r="A256" s="484"/>
      <c r="B256" s="485" t="s">
        <v>2768</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2768</v>
      </c>
      <c r="D259" s="1307" t="s">
        <v>1119</v>
      </c>
      <c r="E259" s="1307"/>
      <c r="F259" s="1307"/>
      <c r="I259" s="490"/>
    </row>
    <row r="260" spans="1:9" ht="14.25">
      <c r="A260" s="484"/>
      <c r="B260" s="484"/>
      <c r="D260" s="1307"/>
      <c r="E260" s="1307"/>
      <c r="F260" s="1307"/>
      <c r="I260" s="490"/>
    </row>
    <row r="261" spans="1:9">
      <c r="D261" s="491"/>
      <c r="I261" s="490"/>
    </row>
    <row r="262" spans="1:9">
      <c r="A262" s="1314" t="s">
        <v>1047</v>
      </c>
      <c r="B262" s="1314"/>
      <c r="C262" s="1314"/>
      <c r="D262" s="1314"/>
      <c r="E262" s="1314"/>
      <c r="F262" s="1314"/>
      <c r="G262" s="1314"/>
      <c r="H262" s="1028"/>
      <c r="I262" s="1153"/>
    </row>
    <row r="263" spans="1:9">
      <c r="D263" s="491"/>
      <c r="I263" s="490"/>
    </row>
    <row r="264" spans="1:9">
      <c r="C264" s="486"/>
      <c r="D264" s="1315" t="s">
        <v>1121</v>
      </c>
      <c r="E264" s="1315"/>
      <c r="F264" s="1315"/>
      <c r="I264" s="490"/>
    </row>
    <row r="265" spans="1:9">
      <c r="A265" s="482"/>
      <c r="B265" s="482"/>
      <c r="C265" s="482"/>
      <c r="D265" s="446"/>
      <c r="E265" s="446"/>
      <c r="F265" s="446"/>
      <c r="I265" s="490"/>
    </row>
    <row r="266" spans="1:9">
      <c r="A266" s="483"/>
      <c r="B266" s="483"/>
      <c r="C266" s="483"/>
      <c r="D266" s="1315" t="s">
        <v>269</v>
      </c>
      <c r="E266" s="1315"/>
      <c r="F266" s="1315"/>
      <c r="I266" s="490"/>
    </row>
    <row r="267" spans="1:9" ht="14.45" customHeight="1">
      <c r="A267" s="484"/>
      <c r="B267" s="485" t="s">
        <v>2768</v>
      </c>
      <c r="D267" s="1307" t="s">
        <v>1196</v>
      </c>
      <c r="E267" s="1307"/>
      <c r="F267" s="1307"/>
      <c r="I267" s="490"/>
    </row>
    <row r="268" spans="1:9">
      <c r="D268" s="1307"/>
      <c r="E268" s="1307"/>
      <c r="F268" s="1307"/>
      <c r="I268" s="490"/>
    </row>
    <row r="269" spans="1:9">
      <c r="E269" s="1036" t="s">
        <v>1898</v>
      </c>
      <c r="I269" s="490"/>
    </row>
    <row r="270" spans="1:9">
      <c r="D270" s="446"/>
      <c r="E270" s="446"/>
      <c r="F270" s="446"/>
      <c r="I270" s="490"/>
    </row>
    <row r="271" spans="1:9" ht="14.45" customHeight="1">
      <c r="A271" s="484"/>
      <c r="B271" s="485" t="s">
        <v>2770</v>
      </c>
      <c r="D271" s="1307" t="s">
        <v>2056</v>
      </c>
      <c r="E271" s="1307"/>
      <c r="F271" s="1307"/>
      <c r="I271" s="490"/>
    </row>
    <row r="272" spans="1:9">
      <c r="D272" s="1307"/>
      <c r="E272" s="1307"/>
      <c r="F272" s="1307"/>
      <c r="I272" s="490"/>
    </row>
    <row r="273" spans="1:9">
      <c r="D273" s="1307"/>
      <c r="E273" s="1307"/>
      <c r="F273" s="1307"/>
      <c r="I273" s="490"/>
    </row>
    <row r="274" spans="1:9">
      <c r="D274" s="1307"/>
      <c r="E274" s="1307"/>
      <c r="F274" s="1307"/>
      <c r="I274" s="490"/>
    </row>
    <row r="275" spans="1:9">
      <c r="D275" s="1307"/>
      <c r="E275" s="1307"/>
      <c r="F275" s="1307"/>
      <c r="I275" s="490"/>
    </row>
    <row r="276" spans="1:9">
      <c r="D276" s="1307"/>
      <c r="E276" s="1307"/>
      <c r="F276" s="1307"/>
      <c r="I276" s="490"/>
    </row>
    <row r="277" spans="1:9">
      <c r="D277" s="446"/>
      <c r="E277" s="446"/>
      <c r="F277" s="446"/>
      <c r="I277" s="490"/>
    </row>
    <row r="278" spans="1:9" ht="14.25">
      <c r="A278" s="484"/>
      <c r="B278" s="485" t="s">
        <v>2770</v>
      </c>
      <c r="D278" s="1307" t="s">
        <v>1122</v>
      </c>
      <c r="E278" s="1307"/>
      <c r="F278" s="1307"/>
      <c r="I278" s="490"/>
    </row>
    <row r="279" spans="1:9">
      <c r="D279" s="1307"/>
      <c r="E279" s="1307"/>
      <c r="F279" s="1307"/>
      <c r="I279" s="490"/>
    </row>
    <row r="280" spans="1:9">
      <c r="D280" s="1307"/>
      <c r="E280" s="1307"/>
      <c r="F280" s="1307"/>
      <c r="I280" s="490"/>
    </row>
    <row r="281" spans="1:9">
      <c r="D281" s="492"/>
      <c r="E281" s="446"/>
      <c r="F281" s="446"/>
      <c r="I281" s="490"/>
    </row>
    <row r="282" spans="1:9">
      <c r="A282" s="1314" t="s">
        <v>1048</v>
      </c>
      <c r="B282" s="1314"/>
      <c r="C282" s="1314"/>
      <c r="D282" s="1314"/>
      <c r="E282" s="1314"/>
      <c r="F282" s="1314"/>
      <c r="G282" s="1314"/>
      <c r="H282" s="1028"/>
      <c r="I282" s="1153"/>
    </row>
    <row r="283" spans="1:9">
      <c r="D283" s="492"/>
      <c r="E283" s="446"/>
      <c r="F283" s="446"/>
      <c r="I283" s="490"/>
    </row>
    <row r="284" spans="1:9">
      <c r="C284" s="482"/>
      <c r="D284" s="1323" t="s">
        <v>1123</v>
      </c>
      <c r="E284" s="1323"/>
      <c r="F284" s="1323"/>
      <c r="I284" s="490"/>
    </row>
    <row r="285" spans="1:9">
      <c r="C285" s="482"/>
      <c r="D285" s="1323"/>
      <c r="E285" s="1323"/>
      <c r="F285" s="1323"/>
      <c r="I285" s="490"/>
    </row>
    <row r="286" spans="1:9">
      <c r="A286" s="483"/>
      <c r="B286" s="483"/>
      <c r="C286" s="483"/>
      <c r="D286" s="404"/>
      <c r="I286" s="490"/>
    </row>
    <row r="287" spans="1:9">
      <c r="C287" s="483"/>
      <c r="D287" s="1315" t="s">
        <v>209</v>
      </c>
      <c r="E287" s="1315"/>
      <c r="F287" s="1315"/>
      <c r="I287" s="490"/>
    </row>
    <row r="288" spans="1:9" ht="15.75" customHeight="1">
      <c r="A288" s="484"/>
      <c r="B288" s="484"/>
      <c r="D288" s="1332" t="s">
        <v>1124</v>
      </c>
      <c r="E288" s="1332"/>
      <c r="F288" s="1332"/>
      <c r="I288" s="490"/>
    </row>
    <row r="289" spans="1:9">
      <c r="E289" s="446"/>
      <c r="F289" s="446"/>
      <c r="I289" s="490"/>
    </row>
    <row r="290" spans="1:9" ht="14.25">
      <c r="A290" s="484"/>
      <c r="B290" s="485" t="s">
        <v>2770</v>
      </c>
      <c r="D290" s="1307" t="s">
        <v>1125</v>
      </c>
      <c r="E290" s="1307"/>
      <c r="F290" s="1307"/>
      <c r="I290" s="490"/>
    </row>
    <row r="291" spans="1:9" ht="14.25">
      <c r="A291" s="484"/>
      <c r="B291" s="484"/>
      <c r="D291" s="1307"/>
      <c r="E291" s="1307"/>
      <c r="F291" s="1307"/>
      <c r="I291" s="490"/>
    </row>
    <row r="292" spans="1:9">
      <c r="D292" s="446"/>
      <c r="E292" s="446"/>
      <c r="F292" s="446"/>
      <c r="I292" s="490"/>
    </row>
    <row r="293" spans="1:9" ht="14.25">
      <c r="A293" s="484"/>
      <c r="B293" s="485" t="s">
        <v>2770</v>
      </c>
      <c r="D293" s="1307" t="s">
        <v>1126</v>
      </c>
      <c r="E293" s="1307"/>
      <c r="F293" s="1307"/>
      <c r="I293" s="490"/>
    </row>
    <row r="294" spans="1:9" ht="14.25">
      <c r="A294" s="484"/>
      <c r="B294" s="484"/>
      <c r="D294" s="1307"/>
      <c r="E294" s="1307"/>
      <c r="F294" s="1307"/>
      <c r="I294" s="490"/>
    </row>
    <row r="295" spans="1:9" ht="14.25">
      <c r="A295" s="484"/>
      <c r="B295" s="484"/>
      <c r="D295" s="1307"/>
      <c r="E295" s="1307"/>
      <c r="F295" s="1307"/>
      <c r="I295" s="490"/>
    </row>
    <row r="296" spans="1:9">
      <c r="D296" s="446"/>
      <c r="E296" s="446"/>
      <c r="F296" s="446"/>
      <c r="I296" s="490"/>
    </row>
    <row r="297" spans="1:9" ht="14.25">
      <c r="A297" s="484"/>
      <c r="B297" s="485" t="s">
        <v>2770</v>
      </c>
      <c r="D297" s="1307" t="s">
        <v>1127</v>
      </c>
      <c r="E297" s="1307"/>
      <c r="F297" s="1307"/>
      <c r="I297" s="490"/>
    </row>
    <row r="298" spans="1:9" ht="14.25">
      <c r="A298" s="484"/>
      <c r="B298" s="484"/>
      <c r="D298" s="1307"/>
      <c r="E298" s="1307"/>
      <c r="F298" s="1307"/>
      <c r="I298" s="490"/>
    </row>
    <row r="299" spans="1:9">
      <c r="A299" s="490"/>
      <c r="B299" s="490"/>
      <c r="E299" s="446"/>
      <c r="F299" s="446"/>
      <c r="I299" s="490"/>
    </row>
    <row r="300" spans="1:9">
      <c r="A300" s="1314" t="s">
        <v>1049</v>
      </c>
      <c r="B300" s="1314"/>
      <c r="C300" s="1314"/>
      <c r="D300" s="1314"/>
      <c r="E300" s="1314"/>
      <c r="F300" s="1314"/>
      <c r="G300" s="1314"/>
      <c r="H300" s="1028"/>
      <c r="I300" s="1153"/>
    </row>
    <row r="301" spans="1:9">
      <c r="A301" s="490"/>
      <c r="B301" s="490"/>
      <c r="D301" s="446"/>
      <c r="E301" s="446"/>
      <c r="F301" s="446"/>
      <c r="I301" s="490"/>
    </row>
    <row r="302" spans="1:9">
      <c r="C302" s="490"/>
      <c r="D302" s="1315" t="s">
        <v>682</v>
      </c>
      <c r="E302" s="1315"/>
      <c r="F302" s="1315"/>
      <c r="I302" s="490"/>
    </row>
    <row r="303" spans="1:9">
      <c r="C303" s="490"/>
      <c r="D303" s="1305" t="s">
        <v>1128</v>
      </c>
      <c r="E303" s="1305"/>
      <c r="F303" s="1305"/>
      <c r="I303" s="490"/>
    </row>
    <row r="304" spans="1:9">
      <c r="C304" s="490"/>
      <c r="D304" s="493"/>
      <c r="I304" s="490"/>
    </row>
    <row r="305" spans="1:9">
      <c r="B305" s="485" t="s">
        <v>2770</v>
      </c>
      <c r="D305" s="1305" t="s">
        <v>1129</v>
      </c>
      <c r="E305" s="1305"/>
      <c r="F305" s="1305"/>
      <c r="I305" s="490"/>
    </row>
    <row r="306" spans="1:9" ht="14.25">
      <c r="A306" s="484"/>
      <c r="B306" s="484"/>
      <c r="D306" s="494"/>
      <c r="E306" s="495"/>
      <c r="F306" s="495"/>
      <c r="I306" s="490"/>
    </row>
    <row r="307" spans="1:9" ht="13.7" customHeight="1">
      <c r="B307" s="485" t="s">
        <v>2770</v>
      </c>
      <c r="D307" s="1316" t="s">
        <v>1219</v>
      </c>
      <c r="E307" s="1316"/>
      <c r="F307" s="1316"/>
      <c r="I307" s="490"/>
    </row>
    <row r="308" spans="1:9" ht="14.25">
      <c r="A308" s="484"/>
      <c r="B308" s="484"/>
      <c r="D308" s="1316"/>
      <c r="E308" s="1316"/>
      <c r="F308" s="1316"/>
      <c r="I308" s="490"/>
    </row>
    <row r="309" spans="1:9" ht="14.25">
      <c r="A309" s="484"/>
      <c r="B309" s="484"/>
      <c r="D309" s="1316"/>
      <c r="E309" s="1316"/>
      <c r="F309" s="1316"/>
      <c r="I309" s="490"/>
    </row>
    <row r="310" spans="1:9" ht="14.25">
      <c r="A310" s="484"/>
      <c r="B310" s="484"/>
      <c r="D310" s="1316"/>
      <c r="E310" s="1316"/>
      <c r="F310" s="1316"/>
      <c r="I310" s="490"/>
    </row>
    <row r="311" spans="1:9" ht="14.25">
      <c r="A311" s="484"/>
      <c r="B311" s="484"/>
      <c r="D311" s="1316"/>
      <c r="E311" s="1316"/>
      <c r="F311" s="1316"/>
      <c r="I311" s="490"/>
    </row>
    <row r="312" spans="1:9" ht="14.25">
      <c r="A312" s="484"/>
      <c r="B312" s="484"/>
      <c r="D312" s="494"/>
      <c r="E312" s="495"/>
      <c r="F312" s="495"/>
      <c r="I312" s="490"/>
    </row>
    <row r="313" spans="1:9" ht="13.7" customHeight="1">
      <c r="B313" s="485" t="s">
        <v>2770</v>
      </c>
      <c r="D313" s="1316" t="s">
        <v>1130</v>
      </c>
      <c r="E313" s="1316"/>
      <c r="F313" s="1316"/>
      <c r="I313" s="490"/>
    </row>
    <row r="314" spans="1:9">
      <c r="D314" s="1316"/>
      <c r="E314" s="1316"/>
      <c r="F314" s="1316"/>
      <c r="I314" s="490"/>
    </row>
    <row r="315" spans="1:9" ht="14.25">
      <c r="A315" s="484"/>
      <c r="B315" s="484"/>
      <c r="D315" s="494"/>
      <c r="E315" s="495"/>
      <c r="F315" s="495"/>
      <c r="I315" s="490"/>
    </row>
    <row r="316" spans="1:9">
      <c r="B316" s="485" t="s">
        <v>2770</v>
      </c>
      <c r="D316" s="1305" t="s">
        <v>1131</v>
      </c>
      <c r="E316" s="1305"/>
      <c r="F316" s="1305"/>
      <c r="I316" s="490"/>
    </row>
    <row r="317" spans="1:9">
      <c r="E317" s="446"/>
      <c r="F317" s="446"/>
      <c r="I317" s="490"/>
    </row>
    <row r="318" spans="1:9" ht="14.25">
      <c r="A318" s="484"/>
      <c r="B318" s="485" t="s">
        <v>2770</v>
      </c>
      <c r="D318" s="1307" t="s">
        <v>2246</v>
      </c>
      <c r="E318" s="1307"/>
      <c r="F318" s="1307"/>
      <c r="I318" s="490"/>
    </row>
    <row r="319" spans="1:9" ht="14.25">
      <c r="A319" s="484"/>
      <c r="B319" s="484"/>
      <c r="D319" s="1307"/>
      <c r="E319" s="1307"/>
      <c r="F319" s="1307"/>
      <c r="I319" s="490"/>
    </row>
    <row r="320" spans="1:9" ht="14.25">
      <c r="A320" s="484"/>
      <c r="B320" s="484"/>
      <c r="D320" s="1307"/>
      <c r="E320" s="1307"/>
      <c r="F320" s="1307"/>
      <c r="I320" s="490"/>
    </row>
    <row r="321" spans="1:9" ht="14.25">
      <c r="A321" s="484"/>
      <c r="B321" s="484"/>
      <c r="D321" s="1307"/>
      <c r="E321" s="1307"/>
      <c r="F321" s="1307"/>
      <c r="I321" s="490"/>
    </row>
    <row r="322" spans="1:9" ht="14.25">
      <c r="A322" s="484"/>
      <c r="B322" s="484"/>
      <c r="D322" s="1307"/>
      <c r="E322" s="1307"/>
      <c r="F322" s="1307"/>
      <c r="I322" s="490"/>
    </row>
    <row r="323" spans="1:9" ht="14.25">
      <c r="A323" s="484"/>
      <c r="B323" s="484"/>
      <c r="D323" s="1307"/>
      <c r="E323" s="1307"/>
      <c r="F323" s="1307"/>
      <c r="I323" s="490"/>
    </row>
    <row r="324" spans="1:9" ht="14.25">
      <c r="A324" s="484"/>
      <c r="B324" s="484"/>
      <c r="D324" s="1307"/>
      <c r="E324" s="1307"/>
      <c r="F324" s="1307"/>
      <c r="I324" s="490"/>
    </row>
    <row r="325" spans="1:9" ht="14.25">
      <c r="A325" s="484"/>
      <c r="B325" s="484"/>
      <c r="D325" s="1307"/>
      <c r="E325" s="1307"/>
      <c r="F325" s="1307"/>
      <c r="I325" s="490"/>
    </row>
    <row r="326" spans="1:9" ht="14.25">
      <c r="A326" s="484"/>
      <c r="B326" s="484"/>
      <c r="D326" s="1307"/>
      <c r="E326" s="1307"/>
      <c r="F326" s="1307"/>
      <c r="I326" s="490"/>
    </row>
    <row r="327" spans="1:9" ht="14.25">
      <c r="A327" s="484"/>
      <c r="B327" s="484"/>
      <c r="D327" s="1307"/>
      <c r="E327" s="1307"/>
      <c r="F327" s="1307"/>
      <c r="I327" s="490"/>
    </row>
    <row r="328" spans="1:9" ht="14.25">
      <c r="A328" s="484"/>
      <c r="B328" s="484"/>
      <c r="D328" s="1307"/>
      <c r="E328" s="1307"/>
      <c r="F328" s="1307"/>
      <c r="I328" s="490"/>
    </row>
    <row r="329" spans="1:9" ht="14.25">
      <c r="A329" s="484"/>
      <c r="B329" s="484"/>
      <c r="D329" s="1307"/>
      <c r="E329" s="1307"/>
      <c r="F329" s="1307"/>
      <c r="I329" s="490"/>
    </row>
    <row r="330" spans="1:9" ht="14.25">
      <c r="A330" s="484"/>
      <c r="B330" s="484"/>
      <c r="D330" s="1307"/>
      <c r="E330" s="1307"/>
      <c r="F330" s="1307"/>
      <c r="I330" s="490"/>
    </row>
    <row r="331" spans="1:9" ht="14.25">
      <c r="A331" s="484"/>
      <c r="B331" s="484"/>
      <c r="D331" s="1307"/>
      <c r="E331" s="1307"/>
      <c r="F331" s="1307"/>
      <c r="I331" s="490"/>
    </row>
    <row r="332" spans="1:9" ht="14.25">
      <c r="A332" s="484"/>
      <c r="B332" s="484"/>
      <c r="D332" s="1307"/>
      <c r="E332" s="1307"/>
      <c r="F332" s="1307"/>
      <c r="I332" s="490"/>
    </row>
    <row r="333" spans="1:9">
      <c r="D333" s="446"/>
      <c r="E333" s="446"/>
      <c r="F333" s="446"/>
      <c r="I333" s="490"/>
    </row>
    <row r="334" spans="1:9" ht="14.25">
      <c r="A334" s="484"/>
      <c r="B334" s="485" t="s">
        <v>2770</v>
      </c>
      <c r="D334" s="1307" t="s">
        <v>1132</v>
      </c>
      <c r="E334" s="1307"/>
      <c r="F334" s="1307"/>
      <c r="I334" s="490"/>
    </row>
    <row r="335" spans="1:9">
      <c r="D335" s="1307"/>
      <c r="E335" s="1307"/>
      <c r="F335" s="1307"/>
      <c r="I335" s="490"/>
    </row>
    <row r="336" spans="1:9">
      <c r="D336" s="1307"/>
      <c r="E336" s="1307"/>
      <c r="F336" s="1307"/>
      <c r="I336" s="490"/>
    </row>
    <row r="337" spans="1:9">
      <c r="D337" s="1307"/>
      <c r="E337" s="1307"/>
      <c r="F337" s="1307"/>
      <c r="I337" s="490"/>
    </row>
    <row r="338" spans="1:9">
      <c r="D338" s="1307"/>
      <c r="E338" s="1307"/>
      <c r="F338" s="1307"/>
      <c r="I338" s="490"/>
    </row>
    <row r="339" spans="1:9">
      <c r="D339" s="1307"/>
      <c r="E339" s="1307"/>
      <c r="F339" s="1307"/>
      <c r="I339" s="490"/>
    </row>
    <row r="340" spans="1:9">
      <c r="D340" s="1307"/>
      <c r="E340" s="1307"/>
      <c r="F340" s="1307"/>
      <c r="I340" s="490"/>
    </row>
    <row r="341" spans="1:9">
      <c r="D341" s="1307"/>
      <c r="E341" s="1307"/>
      <c r="F341" s="1307"/>
      <c r="I341" s="490"/>
    </row>
    <row r="342" spans="1:9">
      <c r="D342" s="1307"/>
      <c r="E342" s="1307"/>
      <c r="F342" s="1307"/>
      <c r="I342" s="490"/>
    </row>
    <row r="343" spans="1:9">
      <c r="D343" s="446"/>
      <c r="E343" s="446"/>
      <c r="F343" s="446"/>
      <c r="I343" s="490"/>
    </row>
    <row r="344" spans="1:9" ht="14.25" customHeight="1">
      <c r="A344" s="484"/>
      <c r="B344" s="485" t="s">
        <v>2770</v>
      </c>
      <c r="D344" s="1307" t="s">
        <v>1903</v>
      </c>
      <c r="E344" s="1307"/>
      <c r="F344" s="1307"/>
      <c r="I344" s="490"/>
    </row>
    <row r="345" spans="1:9">
      <c r="D345" s="1307"/>
      <c r="E345" s="1307"/>
      <c r="F345" s="1307"/>
      <c r="I345" s="490"/>
    </row>
    <row r="346" spans="1:9">
      <c r="D346" s="1307"/>
      <c r="E346" s="1307"/>
      <c r="F346" s="1307"/>
      <c r="I346" s="490"/>
    </row>
    <row r="347" spans="1:9">
      <c r="D347" s="1307"/>
      <c r="E347" s="1307"/>
      <c r="F347" s="1307"/>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35" t="s">
        <v>979</v>
      </c>
      <c r="E351" s="1335"/>
      <c r="F351" s="1335"/>
      <c r="G351" s="1027"/>
      <c r="H351" s="1027"/>
      <c r="I351" s="1156"/>
    </row>
    <row r="352" spans="1:9" ht="13.5" thickTop="1">
      <c r="D352" s="1334" t="s">
        <v>2247</v>
      </c>
      <c r="E352" s="1334"/>
      <c r="F352" s="1334"/>
      <c r="I352" s="490"/>
    </row>
    <row r="353" spans="1:9">
      <c r="D353" s="446"/>
      <c r="E353" s="446"/>
      <c r="F353" s="446"/>
      <c r="I353" s="490"/>
    </row>
    <row r="354" spans="1:9">
      <c r="A354" s="476"/>
      <c r="B354" s="476"/>
      <c r="C354" s="476"/>
      <c r="D354" s="447"/>
      <c r="E354" s="447"/>
      <c r="F354" s="446"/>
      <c r="I354" s="490"/>
    </row>
    <row r="355" spans="1:9" ht="14.25">
      <c r="A355" s="484"/>
      <c r="B355" s="485" t="s">
        <v>2770</v>
      </c>
      <c r="C355" s="487"/>
      <c r="D355" s="1305" t="s">
        <v>1901</v>
      </c>
      <c r="E355" s="1305"/>
      <c r="F355" s="1305"/>
      <c r="I355" s="490"/>
    </row>
    <row r="356" spans="1:9" ht="12.75" customHeight="1">
      <c r="D356" s="1037"/>
      <c r="E356" s="96" t="s">
        <v>1900</v>
      </c>
      <c r="F356" s="1037"/>
      <c r="I356" s="490"/>
    </row>
    <row r="357" spans="1:9">
      <c r="D357" s="1307" t="s">
        <v>1239</v>
      </c>
      <c r="E357" s="1307"/>
      <c r="F357" s="1307"/>
      <c r="I357" s="490"/>
    </row>
    <row r="358" spans="1:9">
      <c r="D358" s="1307"/>
      <c r="E358" s="1307"/>
      <c r="F358" s="1307"/>
      <c r="I358" s="490"/>
    </row>
    <row r="359" spans="1:9">
      <c r="D359" s="1307"/>
      <c r="E359" s="1307"/>
      <c r="F359" s="1307"/>
      <c r="I359" s="490"/>
    </row>
    <row r="360" spans="1:9" ht="14.25">
      <c r="A360" s="484"/>
      <c r="B360" s="485" t="s">
        <v>2770</v>
      </c>
      <c r="C360" s="476"/>
      <c r="D360" s="1324" t="s">
        <v>2057</v>
      </c>
      <c r="E360" s="1324"/>
      <c r="F360" s="1324"/>
      <c r="I360" s="480"/>
    </row>
    <row r="361" spans="1:9">
      <c r="A361" s="476"/>
      <c r="B361" s="476"/>
      <c r="C361" s="476"/>
      <c r="D361" s="447"/>
      <c r="E361" s="447"/>
      <c r="F361" s="446"/>
      <c r="I361" s="490"/>
    </row>
    <row r="362" spans="1:9">
      <c r="A362" s="476"/>
      <c r="B362" s="485" t="s">
        <v>2770</v>
      </c>
      <c r="C362" s="476"/>
      <c r="D362" s="1278" t="s">
        <v>2058</v>
      </c>
      <c r="E362" s="1278"/>
      <c r="F362" s="1278"/>
      <c r="I362" s="490"/>
    </row>
    <row r="363" spans="1:9">
      <c r="A363" s="476"/>
      <c r="B363" s="476"/>
      <c r="C363" s="476"/>
      <c r="D363" s="1278"/>
      <c r="E363" s="1278"/>
      <c r="F363" s="1278"/>
      <c r="I363" s="490"/>
    </row>
    <row r="364" spans="1:9">
      <c r="A364" s="476"/>
      <c r="B364" s="476"/>
      <c r="C364" s="476"/>
      <c r="D364" s="1278"/>
      <c r="E364" s="1278"/>
      <c r="F364" s="1278"/>
      <c r="I364" s="490"/>
    </row>
    <row r="365" spans="1:9">
      <c r="A365" s="476"/>
      <c r="B365" s="476"/>
      <c r="C365" s="476"/>
      <c r="D365" s="1278"/>
      <c r="E365" s="1278"/>
      <c r="F365" s="1278"/>
      <c r="I365" s="490"/>
    </row>
    <row r="366" spans="1:9">
      <c r="A366" s="476"/>
      <c r="B366" s="476"/>
      <c r="C366" s="476"/>
      <c r="D366" s="1278"/>
      <c r="E366" s="1278"/>
      <c r="F366" s="1278"/>
      <c r="I366" s="490"/>
    </row>
    <row r="367" spans="1:9">
      <c r="A367" s="476"/>
      <c r="B367" s="476"/>
      <c r="C367" s="476"/>
      <c r="D367" s="1278"/>
      <c r="E367" s="1278"/>
      <c r="F367" s="1278"/>
      <c r="I367" s="490"/>
    </row>
    <row r="368" spans="1:9">
      <c r="A368" s="476"/>
      <c r="B368" s="476"/>
      <c r="C368" s="476"/>
      <c r="D368" s="1278"/>
      <c r="E368" s="1278"/>
      <c r="F368" s="1278"/>
      <c r="I368" s="490"/>
    </row>
    <row r="369" spans="1:9">
      <c r="A369" s="476"/>
      <c r="B369" s="476"/>
      <c r="C369" s="476"/>
      <c r="D369" s="1278"/>
      <c r="E369" s="1278"/>
      <c r="F369" s="1278"/>
      <c r="I369" s="490"/>
    </row>
    <row r="370" spans="1:9">
      <c r="A370" s="476"/>
      <c r="B370" s="476"/>
      <c r="C370" s="476"/>
      <c r="D370" s="1278"/>
      <c r="E370" s="1278"/>
      <c r="F370" s="1278"/>
      <c r="I370" s="490"/>
    </row>
    <row r="371" spans="1:9">
      <c r="A371" s="476"/>
      <c r="B371" s="476"/>
      <c r="C371" s="476"/>
      <c r="D371" s="1278"/>
      <c r="E371" s="1278"/>
      <c r="F371" s="1278"/>
      <c r="I371" s="490"/>
    </row>
    <row r="372" spans="1:9">
      <c r="A372" s="476"/>
      <c r="B372" s="476"/>
      <c r="C372" s="476"/>
      <c r="D372" s="1278"/>
      <c r="E372" s="1278"/>
      <c r="F372" s="1278"/>
      <c r="I372" s="490"/>
    </row>
    <row r="373" spans="1:9">
      <c r="A373" s="476"/>
      <c r="B373" s="476"/>
      <c r="C373" s="476"/>
      <c r="D373" s="1278"/>
      <c r="E373" s="1278"/>
      <c r="F373" s="1278"/>
      <c r="I373" s="490"/>
    </row>
    <row r="374" spans="1:9">
      <c r="A374" s="476"/>
      <c r="B374" s="476"/>
      <c r="C374" s="476"/>
      <c r="D374" s="451"/>
      <c r="E374" s="451"/>
      <c r="F374" s="451"/>
      <c r="I374" s="490"/>
    </row>
    <row r="375" spans="1:9" ht="12.4" customHeight="1">
      <c r="A375" s="476"/>
      <c r="B375" s="485" t="s">
        <v>2770</v>
      </c>
      <c r="C375" s="476"/>
      <c r="D375" s="1286" t="s">
        <v>1221</v>
      </c>
      <c r="E375" s="1286"/>
      <c r="F375" s="1286"/>
      <c r="I375" s="490"/>
    </row>
    <row r="376" spans="1:9">
      <c r="A376" s="476"/>
      <c r="B376" s="476"/>
      <c r="C376" s="476"/>
      <c r="D376" s="1286"/>
      <c r="E376" s="1286"/>
      <c r="F376" s="1286"/>
      <c r="I376" s="490"/>
    </row>
    <row r="377" spans="1:9">
      <c r="A377" s="476"/>
      <c r="B377" s="476"/>
      <c r="C377" s="476"/>
      <c r="D377" s="1286"/>
      <c r="E377" s="1286"/>
      <c r="F377" s="1286"/>
      <c r="I377" s="490"/>
    </row>
    <row r="378" spans="1:9">
      <c r="A378" s="476"/>
      <c r="B378" s="476"/>
      <c r="C378" s="476"/>
      <c r="D378" s="1286"/>
      <c r="E378" s="1286"/>
      <c r="F378" s="1286"/>
      <c r="I378" s="490"/>
    </row>
    <row r="379" spans="1:9">
      <c r="A379" s="476"/>
      <c r="B379" s="476"/>
      <c r="C379" s="476"/>
      <c r="D379" s="524"/>
      <c r="E379" s="524"/>
      <c r="F379" s="524"/>
      <c r="I379" s="490"/>
    </row>
    <row r="380" spans="1:9">
      <c r="A380" s="476"/>
      <c r="B380" s="485" t="s">
        <v>2770</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2770</v>
      </c>
      <c r="C387" s="476"/>
      <c r="D387" s="1278" t="s">
        <v>1133</v>
      </c>
      <c r="E387" s="1278"/>
      <c r="F387" s="1278"/>
      <c r="I387" s="490"/>
    </row>
    <row r="388" spans="1:9">
      <c r="A388" s="476"/>
      <c r="B388" s="476"/>
      <c r="C388" s="476"/>
      <c r="D388" s="1278"/>
      <c r="E388" s="1278"/>
      <c r="F388" s="1278"/>
      <c r="I388" s="490"/>
    </row>
    <row r="389" spans="1:9">
      <c r="A389" s="476"/>
      <c r="B389" s="476"/>
      <c r="C389" s="476"/>
      <c r="D389" s="1278"/>
      <c r="E389" s="1278"/>
      <c r="F389" s="1278"/>
      <c r="I389" s="490"/>
    </row>
    <row r="390" spans="1:9">
      <c r="A390" s="476"/>
      <c r="B390" s="476"/>
      <c r="C390" s="476"/>
      <c r="D390" s="1278"/>
      <c r="E390" s="1278"/>
      <c r="F390" s="1278"/>
      <c r="I390" s="490"/>
    </row>
    <row r="391" spans="1:9">
      <c r="A391" s="476"/>
      <c r="B391" s="476"/>
      <c r="C391" s="476"/>
      <c r="D391" s="447"/>
      <c r="E391" s="447"/>
      <c r="F391" s="446"/>
      <c r="I391" s="490"/>
    </row>
    <row r="392" spans="1:9">
      <c r="A392" s="476"/>
      <c r="B392" s="476"/>
      <c r="C392" s="476"/>
      <c r="D392" s="1278" t="s">
        <v>1134</v>
      </c>
      <c r="E392" s="1278"/>
      <c r="F392" s="1278"/>
      <c r="I392" s="490"/>
    </row>
    <row r="393" spans="1:9">
      <c r="A393" s="476"/>
      <c r="B393" s="476"/>
      <c r="C393" s="476"/>
      <c r="D393" s="1278"/>
      <c r="E393" s="1278"/>
      <c r="F393" s="1278"/>
      <c r="I393" s="490"/>
    </row>
    <row r="394" spans="1:9">
      <c r="A394" s="476"/>
      <c r="B394" s="476"/>
      <c r="C394" s="476"/>
      <c r="D394" s="1278"/>
      <c r="E394" s="1278"/>
      <c r="F394" s="1278"/>
      <c r="I394" s="490"/>
    </row>
    <row r="395" spans="1:9">
      <c r="A395" s="476"/>
      <c r="B395" s="476"/>
      <c r="C395" s="476"/>
      <c r="D395" s="1278"/>
      <c r="E395" s="1278"/>
      <c r="F395" s="1278"/>
      <c r="I395" s="490"/>
    </row>
    <row r="396" spans="1:9" ht="18" customHeight="1">
      <c r="A396" s="476"/>
      <c r="B396" s="476"/>
      <c r="C396" s="476"/>
      <c r="D396" s="1278"/>
      <c r="E396" s="1278"/>
      <c r="F396" s="1278"/>
      <c r="I396" s="490"/>
    </row>
    <row r="397" spans="1:9">
      <c r="A397" s="476"/>
      <c r="B397" s="476"/>
      <c r="C397" s="476"/>
      <c r="D397" s="1278"/>
      <c r="E397" s="1278"/>
      <c r="F397" s="1278"/>
      <c r="I397" s="490"/>
    </row>
    <row r="398" spans="1:9">
      <c r="A398" s="476"/>
      <c r="B398" s="476"/>
      <c r="C398" s="476"/>
      <c r="D398" s="1278"/>
      <c r="E398" s="1278"/>
      <c r="F398" s="1278"/>
      <c r="I398" s="490"/>
    </row>
    <row r="399" spans="1:9">
      <c r="A399" s="476"/>
      <c r="B399" s="476"/>
      <c r="C399" s="476"/>
      <c r="D399" s="1278"/>
      <c r="E399" s="1278"/>
      <c r="F399" s="1278"/>
      <c r="I399" s="490"/>
    </row>
    <row r="400" spans="1:9" ht="8.25" customHeight="1">
      <c r="A400" s="476"/>
      <c r="B400" s="476"/>
      <c r="C400" s="476"/>
      <c r="D400" s="1278"/>
      <c r="E400" s="1278"/>
      <c r="F400" s="1278"/>
      <c r="I400" s="490"/>
    </row>
    <row r="401" spans="1:9" ht="13.7" customHeight="1">
      <c r="A401" s="476"/>
      <c r="B401" s="476"/>
      <c r="C401" s="476"/>
      <c r="D401" s="1278" t="s">
        <v>1135</v>
      </c>
      <c r="E401" s="1278"/>
      <c r="F401" s="1278"/>
      <c r="I401" s="490"/>
    </row>
    <row r="402" spans="1:9">
      <c r="A402" s="476"/>
      <c r="B402" s="476"/>
      <c r="C402" s="476"/>
      <c r="D402" s="1278"/>
      <c r="E402" s="1278"/>
      <c r="F402" s="1278"/>
      <c r="I402" s="490"/>
    </row>
    <row r="403" spans="1:9">
      <c r="A403" s="476"/>
      <c r="B403" s="476"/>
      <c r="C403" s="476"/>
      <c r="D403" s="1278"/>
      <c r="E403" s="1278"/>
      <c r="F403" s="1278"/>
      <c r="I403" s="490"/>
    </row>
    <row r="404" spans="1:9">
      <c r="A404" s="476"/>
      <c r="B404" s="476"/>
      <c r="C404" s="476"/>
      <c r="D404" s="1278"/>
      <c r="E404" s="1278"/>
      <c r="F404" s="1278"/>
      <c r="I404" s="490"/>
    </row>
    <row r="405" spans="1:9">
      <c r="A405" s="476"/>
      <c r="B405" s="476"/>
      <c r="C405" s="476"/>
      <c r="D405" s="1278"/>
      <c r="E405" s="1278"/>
      <c r="F405" s="1278"/>
      <c r="I405" s="490"/>
    </row>
    <row r="406" spans="1:9">
      <c r="A406" s="476"/>
      <c r="B406" s="476"/>
      <c r="C406" s="476"/>
      <c r="D406" s="1278"/>
      <c r="E406" s="1278"/>
      <c r="F406" s="1278"/>
      <c r="I406" s="490"/>
    </row>
    <row r="407" spans="1:9">
      <c r="A407" s="476"/>
      <c r="B407" s="476"/>
      <c r="C407" s="476"/>
      <c r="D407" s="1278"/>
      <c r="E407" s="1278"/>
      <c r="F407" s="1278"/>
      <c r="I407" s="490"/>
    </row>
    <row r="408" spans="1:9">
      <c r="A408" s="476"/>
      <c r="B408" s="476"/>
      <c r="C408" s="476"/>
      <c r="D408" s="1278"/>
      <c r="E408" s="1278"/>
      <c r="F408" s="1278"/>
      <c r="I408" s="490"/>
    </row>
    <row r="409" spans="1:9">
      <c r="A409" s="476"/>
      <c r="B409" s="476"/>
      <c r="C409" s="476"/>
      <c r="D409" s="1278"/>
      <c r="E409" s="1278"/>
      <c r="F409" s="1278"/>
      <c r="I409" s="490"/>
    </row>
    <row r="410" spans="1:9">
      <c r="A410" s="476"/>
      <c r="B410" s="476"/>
      <c r="C410" s="476"/>
      <c r="D410" s="1278"/>
      <c r="E410" s="1278"/>
      <c r="F410" s="1278"/>
      <c r="I410" s="490"/>
    </row>
    <row r="411" spans="1:9">
      <c r="A411" s="476"/>
      <c r="B411" s="476"/>
      <c r="C411" s="476"/>
      <c r="D411" s="1278"/>
      <c r="E411" s="1278"/>
      <c r="F411" s="1278"/>
      <c r="I411" s="490"/>
    </row>
    <row r="412" spans="1:9">
      <c r="A412" s="476"/>
      <c r="B412" s="476"/>
      <c r="C412" s="476"/>
      <c r="D412" s="1278"/>
      <c r="E412" s="1278"/>
      <c r="F412" s="1278"/>
      <c r="I412" s="490"/>
    </row>
    <row r="413" spans="1:9">
      <c r="A413" s="476"/>
      <c r="B413" s="476"/>
      <c r="C413" s="496"/>
      <c r="D413" s="1278"/>
      <c r="E413" s="1278"/>
      <c r="F413" s="1278"/>
      <c r="I413" s="490"/>
    </row>
    <row r="414" spans="1:9">
      <c r="A414" s="476"/>
      <c r="B414" s="476"/>
      <c r="C414" s="496"/>
      <c r="D414" s="1278"/>
      <c r="E414" s="1278"/>
      <c r="F414" s="1278"/>
      <c r="I414" s="490"/>
    </row>
    <row r="415" spans="1:9">
      <c r="A415" s="476"/>
      <c r="B415" s="476"/>
      <c r="C415" s="476"/>
      <c r="D415" s="1278"/>
      <c r="E415" s="1278"/>
      <c r="F415" s="1278"/>
      <c r="I415" s="490"/>
    </row>
    <row r="416" spans="1:9">
      <c r="A416" s="476"/>
      <c r="B416" s="476"/>
      <c r="C416" s="496"/>
      <c r="D416" s="1278"/>
      <c r="E416" s="1278"/>
      <c r="F416" s="1278"/>
      <c r="I416" s="490"/>
    </row>
    <row r="417" spans="1:9">
      <c r="A417" s="476"/>
      <c r="B417" s="476"/>
      <c r="C417" s="496"/>
      <c r="D417" s="1278"/>
      <c r="E417" s="1278"/>
      <c r="F417" s="1278"/>
      <c r="I417" s="490"/>
    </row>
    <row r="418" spans="1:9">
      <c r="A418" s="476"/>
      <c r="B418" s="476"/>
      <c r="C418" s="496"/>
      <c r="D418" s="1278"/>
      <c r="E418" s="1278"/>
      <c r="F418" s="1278"/>
      <c r="I418" s="490"/>
    </row>
    <row r="419" spans="1:9">
      <c r="A419" s="476"/>
      <c r="B419" s="476"/>
      <c r="C419" s="476"/>
      <c r="D419" s="447"/>
      <c r="E419" s="447"/>
      <c r="F419" s="446"/>
      <c r="I419" s="490"/>
    </row>
    <row r="420" spans="1:9">
      <c r="A420" s="476"/>
      <c r="B420" s="485" t="s">
        <v>2770</v>
      </c>
      <c r="C420" s="476"/>
      <c r="D420" s="1278" t="s">
        <v>1136</v>
      </c>
      <c r="E420" s="1278"/>
      <c r="F420" s="1278"/>
      <c r="I420" s="490"/>
    </row>
    <row r="421" spans="1:9">
      <c r="A421" s="476"/>
      <c r="B421" s="476"/>
      <c r="C421" s="476"/>
      <c r="D421" s="1278"/>
      <c r="E421" s="1278"/>
      <c r="F421" s="1278"/>
      <c r="I421" s="490"/>
    </row>
    <row r="422" spans="1:9">
      <c r="A422" s="476"/>
      <c r="B422" s="476"/>
      <c r="C422" s="476"/>
      <c r="D422" s="451"/>
      <c r="E422" s="451"/>
      <c r="F422" s="451"/>
      <c r="I422" s="490"/>
    </row>
    <row r="423" spans="1:9" ht="14.45" customHeight="1">
      <c r="A423" s="484"/>
      <c r="B423" s="485" t="s">
        <v>2770</v>
      </c>
      <c r="D423" s="1278" t="s">
        <v>1882</v>
      </c>
      <c r="E423" s="1278"/>
      <c r="F423" s="1278"/>
      <c r="I423" s="490"/>
    </row>
    <row r="424" spans="1:9" ht="14.45" customHeight="1">
      <c r="A424" s="484"/>
      <c r="D424" s="1278"/>
      <c r="E424" s="1278"/>
      <c r="F424" s="1278"/>
      <c r="I424" s="490"/>
    </row>
    <row r="425" spans="1:9" ht="14.45" customHeight="1">
      <c r="A425" s="484"/>
      <c r="D425" s="1278"/>
      <c r="E425" s="1278"/>
      <c r="F425" s="1278"/>
      <c r="I425" s="490"/>
    </row>
    <row r="426" spans="1:9" ht="14.45" customHeight="1">
      <c r="A426" s="484"/>
      <c r="D426" s="1278"/>
      <c r="E426" s="1278"/>
      <c r="F426" s="1278"/>
      <c r="I426" s="490"/>
    </row>
    <row r="427" spans="1:9" ht="14.45" customHeight="1">
      <c r="A427" s="484"/>
      <c r="D427" s="1278"/>
      <c r="E427" s="1278"/>
      <c r="F427" s="1278"/>
      <c r="I427" s="490"/>
    </row>
    <row r="428" spans="1:9" ht="14.45" customHeight="1">
      <c r="A428" s="484"/>
      <c r="D428" s="385"/>
      <c r="E428" s="385"/>
      <c r="F428" s="385"/>
      <c r="I428" s="490"/>
    </row>
    <row r="429" spans="1:9" ht="13.7" customHeight="1">
      <c r="A429" s="484"/>
      <c r="B429" s="485" t="s">
        <v>2770</v>
      </c>
      <c r="C429" s="476"/>
      <c r="D429" s="1278" t="s">
        <v>1240</v>
      </c>
      <c r="E429" s="1278"/>
      <c r="F429" s="1278"/>
      <c r="I429" s="490"/>
    </row>
    <row r="430" spans="1:9" ht="14.25">
      <c r="A430" s="497"/>
      <c r="B430" s="497"/>
      <c r="C430" s="476"/>
      <c r="D430" s="1278"/>
      <c r="E430" s="1278"/>
      <c r="F430" s="1278"/>
      <c r="I430" s="490"/>
    </row>
    <row r="431" spans="1:9" ht="14.25">
      <c r="A431" s="497"/>
      <c r="B431" s="497"/>
      <c r="C431" s="476"/>
      <c r="D431" s="1278"/>
      <c r="E431" s="1278"/>
      <c r="F431" s="1278"/>
      <c r="I431" s="490"/>
    </row>
    <row r="432" spans="1:9" ht="14.25">
      <c r="A432" s="497"/>
      <c r="B432" s="497"/>
      <c r="C432" s="476"/>
      <c r="D432" s="1278"/>
      <c r="E432" s="1278"/>
      <c r="F432" s="1278"/>
      <c r="I432" s="490"/>
    </row>
    <row r="433" spans="1:9" ht="15.75" customHeight="1">
      <c r="A433" s="497"/>
      <c r="B433" s="497"/>
      <c r="C433" s="476"/>
      <c r="D433" s="1336" t="s">
        <v>2074</v>
      </c>
      <c r="E433" s="1278"/>
      <c r="F433" s="1278"/>
      <c r="I433" s="490"/>
    </row>
    <row r="434" spans="1:9">
      <c r="D434" s="446"/>
      <c r="E434" s="446"/>
      <c r="F434" s="446"/>
      <c r="I434" s="490"/>
    </row>
    <row r="435" spans="1:9" ht="14.25">
      <c r="A435" s="484"/>
      <c r="B435" s="485" t="s">
        <v>2770</v>
      </c>
      <c r="C435" s="487"/>
      <c r="D435" s="1307" t="s">
        <v>2059</v>
      </c>
      <c r="E435" s="1307"/>
      <c r="F435" s="1307"/>
      <c r="I435" s="490"/>
    </row>
    <row r="436" spans="1:9" ht="14.25">
      <c r="A436" s="484"/>
      <c r="B436" s="484"/>
      <c r="D436" s="1307"/>
      <c r="E436" s="1307"/>
      <c r="F436" s="1307"/>
      <c r="I436" s="490"/>
    </row>
    <row r="437" spans="1:9">
      <c r="D437" s="1307"/>
      <c r="E437" s="1307"/>
      <c r="F437" s="1307"/>
      <c r="I437" s="490"/>
    </row>
    <row r="438" spans="1:9">
      <c r="D438" s="1307"/>
      <c r="E438" s="1307"/>
      <c r="F438" s="1307"/>
      <c r="I438" s="490"/>
    </row>
    <row r="439" spans="1:9">
      <c r="D439" s="1307"/>
      <c r="E439" s="1307"/>
      <c r="F439" s="1307"/>
      <c r="I439" s="490"/>
    </row>
    <row r="440" spans="1:9">
      <c r="D440" s="1307"/>
      <c r="E440" s="1307"/>
      <c r="F440" s="1307"/>
      <c r="I440" s="490"/>
    </row>
    <row r="441" spans="1:9">
      <c r="D441" s="1307"/>
      <c r="E441" s="1307"/>
      <c r="F441" s="1307"/>
      <c r="I441" s="490"/>
    </row>
    <row r="442" spans="1:9">
      <c r="D442" s="1307"/>
      <c r="E442" s="1307"/>
      <c r="F442" s="1307"/>
      <c r="I442" s="490"/>
    </row>
    <row r="443" spans="1:9">
      <c r="D443" s="1307"/>
      <c r="E443" s="1307"/>
      <c r="F443" s="1307"/>
      <c r="I443" s="490"/>
    </row>
    <row r="444" spans="1:9">
      <c r="D444" s="1307"/>
      <c r="E444" s="1307"/>
      <c r="F444" s="1307"/>
      <c r="I444" s="490"/>
    </row>
    <row r="445" spans="1:9">
      <c r="D445" s="1307"/>
      <c r="E445" s="1307"/>
      <c r="F445" s="1307"/>
      <c r="I445" s="490"/>
    </row>
    <row r="446" spans="1:9">
      <c r="D446" s="1307"/>
      <c r="E446" s="1307"/>
      <c r="F446" s="1307"/>
      <c r="I446" s="490"/>
    </row>
    <row r="447" spans="1:9">
      <c r="D447" s="1307"/>
      <c r="E447" s="1307"/>
      <c r="F447" s="1307"/>
      <c r="I447" s="490"/>
    </row>
    <row r="448" spans="1:9">
      <c r="A448" s="402"/>
      <c r="B448" s="402"/>
      <c r="C448" s="402"/>
      <c r="D448" s="1307"/>
      <c r="E448" s="1307"/>
      <c r="F448" s="1307"/>
      <c r="I448" s="490"/>
    </row>
    <row r="449" spans="1:9">
      <c r="A449" s="402"/>
      <c r="B449" s="402"/>
      <c r="C449" s="402"/>
      <c r="D449" s="1307"/>
      <c r="E449" s="1307"/>
      <c r="F449" s="1307"/>
      <c r="I449" s="490"/>
    </row>
    <row r="450" spans="1:9">
      <c r="A450" s="402"/>
      <c r="B450" s="402"/>
      <c r="C450" s="402"/>
      <c r="D450" s="1307"/>
      <c r="E450" s="1307"/>
      <c r="F450" s="1307"/>
      <c r="I450" s="490"/>
    </row>
    <row r="451" spans="1:9">
      <c r="A451" s="402"/>
      <c r="B451" s="402"/>
      <c r="C451" s="402"/>
      <c r="D451" s="1307"/>
      <c r="E451" s="1307"/>
      <c r="F451" s="1307"/>
      <c r="I451" s="490"/>
    </row>
    <row r="452" spans="1:9">
      <c r="A452" s="402"/>
      <c r="B452" s="402"/>
      <c r="C452" s="402"/>
      <c r="D452" s="1307"/>
      <c r="E452" s="1307"/>
      <c r="F452" s="1307"/>
      <c r="I452" s="490"/>
    </row>
    <row r="453" spans="1:9">
      <c r="A453" s="402"/>
      <c r="B453" s="402"/>
      <c r="C453" s="402"/>
      <c r="D453" s="1307"/>
      <c r="E453" s="1307"/>
      <c r="F453" s="1307"/>
      <c r="I453" s="490"/>
    </row>
    <row r="454" spans="1:9">
      <c r="A454" s="402"/>
      <c r="B454" s="402"/>
      <c r="C454" s="402"/>
      <c r="D454" s="1307"/>
      <c r="E454" s="1307"/>
      <c r="F454" s="1307"/>
      <c r="I454" s="490"/>
    </row>
    <row r="455" spans="1:9">
      <c r="A455" s="402"/>
      <c r="B455" s="402"/>
      <c r="C455" s="402"/>
      <c r="D455" s="1307"/>
      <c r="E455" s="1307"/>
      <c r="F455" s="1307"/>
      <c r="I455" s="490"/>
    </row>
    <row r="456" spans="1:9">
      <c r="A456" s="402"/>
      <c r="B456" s="402"/>
      <c r="C456" s="402"/>
      <c r="D456" s="1307"/>
      <c r="E456" s="1307"/>
      <c r="F456" s="1307"/>
      <c r="I456" s="490"/>
    </row>
    <row r="457" spans="1:9">
      <c r="A457" s="402"/>
      <c r="B457" s="402"/>
      <c r="C457" s="402"/>
      <c r="D457" s="1307"/>
      <c r="E457" s="1307"/>
      <c r="F457" s="1307"/>
      <c r="I457" s="490"/>
    </row>
    <row r="458" spans="1:9">
      <c r="A458" s="402"/>
      <c r="B458" s="402"/>
      <c r="C458" s="402"/>
      <c r="D458" s="1307"/>
      <c r="E458" s="1307"/>
      <c r="F458" s="1307"/>
      <c r="I458" s="490"/>
    </row>
    <row r="459" spans="1:9">
      <c r="A459" s="402"/>
      <c r="B459" s="402"/>
      <c r="C459" s="402"/>
      <c r="D459" s="1307"/>
      <c r="E459" s="1307"/>
      <c r="F459" s="1307"/>
      <c r="I459" s="490"/>
    </row>
    <row r="460" spans="1:9">
      <c r="A460" s="402"/>
      <c r="B460" s="402"/>
      <c r="C460" s="402"/>
      <c r="D460" s="1307"/>
      <c r="E460" s="1307"/>
      <c r="F460" s="1307"/>
      <c r="I460" s="490"/>
    </row>
    <row r="461" spans="1:9">
      <c r="A461" s="402"/>
      <c r="B461" s="402"/>
      <c r="C461" s="402"/>
      <c r="D461" s="1307"/>
      <c r="E461" s="1307"/>
      <c r="F461" s="1307"/>
      <c r="I461" s="490"/>
    </row>
    <row r="462" spans="1:9">
      <c r="A462" s="402"/>
      <c r="B462" s="402"/>
      <c r="C462" s="402"/>
      <c r="D462" s="1307"/>
      <c r="E462" s="1307"/>
      <c r="F462" s="1307"/>
      <c r="I462" s="490"/>
    </row>
    <row r="463" spans="1:9">
      <c r="A463" s="402"/>
      <c r="B463" s="402"/>
      <c r="C463" s="402"/>
      <c r="D463" s="1307"/>
      <c r="E463" s="1307"/>
      <c r="F463" s="1307"/>
      <c r="I463" s="490"/>
    </row>
    <row r="464" spans="1:9">
      <c r="D464" s="1307"/>
      <c r="E464" s="1307"/>
      <c r="F464" s="1307"/>
      <c r="I464" s="490"/>
    </row>
    <row r="465" spans="1:9" ht="40.700000000000003" customHeight="1">
      <c r="D465" s="1307"/>
      <c r="E465" s="1307"/>
      <c r="F465" s="1307"/>
      <c r="I465" s="490"/>
    </row>
    <row r="466" spans="1:9">
      <c r="D466" s="446"/>
      <c r="E466" s="446"/>
      <c r="F466" s="446"/>
      <c r="I466" s="490"/>
    </row>
    <row r="467" spans="1:9" ht="14.25">
      <c r="A467" s="484"/>
      <c r="B467" s="485" t="s">
        <v>2770</v>
      </c>
      <c r="C467" s="487"/>
      <c r="D467" s="1307" t="s">
        <v>1137</v>
      </c>
      <c r="E467" s="1307"/>
      <c r="F467" s="1307"/>
      <c r="I467" s="490"/>
    </row>
    <row r="468" spans="1:9">
      <c r="D468" s="1307"/>
      <c r="E468" s="1307"/>
      <c r="F468" s="1307"/>
      <c r="I468" s="490"/>
    </row>
    <row r="469" spans="1:9">
      <c r="D469" s="1307"/>
      <c r="E469" s="1307"/>
      <c r="F469" s="1307"/>
      <c r="I469" s="490"/>
    </row>
    <row r="470" spans="1:9">
      <c r="D470" s="445"/>
      <c r="E470" s="445"/>
      <c r="F470" s="445"/>
      <c r="I470" s="490"/>
    </row>
    <row r="471" spans="1:9" ht="14.25">
      <c r="B471" s="485" t="s">
        <v>2770</v>
      </c>
      <c r="C471" s="484"/>
      <c r="D471" s="1307" t="s">
        <v>1197</v>
      </c>
      <c r="E471" s="1307"/>
      <c r="F471" s="1307"/>
      <c r="I471" s="490"/>
    </row>
    <row r="472" spans="1:9">
      <c r="D472" s="1307"/>
      <c r="E472" s="1307"/>
      <c r="F472" s="1307"/>
      <c r="I472" s="490"/>
    </row>
    <row r="473" spans="1:9">
      <c r="D473" s="446"/>
      <c r="E473" s="446"/>
      <c r="F473" s="446"/>
      <c r="I473" s="490"/>
    </row>
    <row r="474" spans="1:9" ht="14.25">
      <c r="B474" s="485" t="s">
        <v>2770</v>
      </c>
      <c r="C474" s="484"/>
      <c r="D474" s="1307" t="s">
        <v>1138</v>
      </c>
      <c r="E474" s="1307"/>
      <c r="F474" s="1307"/>
      <c r="I474" s="490"/>
    </row>
    <row r="475" spans="1:9">
      <c r="D475" s="1307"/>
      <c r="E475" s="1307"/>
      <c r="F475" s="1307"/>
      <c r="I475" s="490"/>
    </row>
    <row r="476" spans="1:9">
      <c r="D476" s="1307"/>
      <c r="E476" s="1307"/>
      <c r="F476" s="1307"/>
      <c r="I476" s="490"/>
    </row>
    <row r="477" spans="1:9">
      <c r="D477" s="1307"/>
      <c r="E477" s="1307"/>
      <c r="F477" s="1307"/>
      <c r="I477" s="490"/>
    </row>
    <row r="478" spans="1:9">
      <c r="B478" s="485" t="s">
        <v>2770</v>
      </c>
      <c r="D478" s="1307"/>
      <c r="E478" s="1307"/>
      <c r="F478" s="1307"/>
      <c r="I478" s="490"/>
    </row>
    <row r="479" spans="1:9">
      <c r="A479" s="402"/>
      <c r="B479" s="402"/>
      <c r="C479" s="402"/>
      <c r="D479" s="1307"/>
      <c r="E479" s="1307"/>
      <c r="F479" s="1307"/>
      <c r="I479" s="490"/>
    </row>
    <row r="480" spans="1:9">
      <c r="A480" s="402"/>
      <c r="C480" s="402"/>
      <c r="D480" s="1307"/>
      <c r="E480" s="1307"/>
      <c r="F480" s="1307"/>
      <c r="I480" s="490"/>
    </row>
    <row r="481" spans="1:9">
      <c r="A481" s="402"/>
      <c r="B481" s="485" t="s">
        <v>2770</v>
      </c>
      <c r="C481" s="402"/>
      <c r="D481" s="1307"/>
      <c r="E481" s="1307"/>
      <c r="F481" s="1307"/>
      <c r="I481" s="490"/>
    </row>
    <row r="482" spans="1:9">
      <c r="A482" s="402"/>
      <c r="B482" s="402"/>
      <c r="C482" s="402"/>
      <c r="D482" s="1307"/>
      <c r="E482" s="1307"/>
      <c r="F482" s="1307"/>
      <c r="I482" s="490"/>
    </row>
    <row r="483" spans="1:9">
      <c r="A483" s="402"/>
      <c r="C483" s="402"/>
      <c r="D483" s="1307"/>
      <c r="E483" s="1307"/>
      <c r="F483" s="1307"/>
      <c r="I483" s="490"/>
    </row>
    <row r="484" spans="1:9">
      <c r="A484" s="402"/>
      <c r="C484" s="402"/>
      <c r="D484" s="1307"/>
      <c r="E484" s="1307"/>
      <c r="F484" s="1307"/>
      <c r="I484" s="490"/>
    </row>
    <row r="485" spans="1:9">
      <c r="A485" s="402"/>
      <c r="C485" s="402"/>
      <c r="D485" s="1307"/>
      <c r="E485" s="1307"/>
      <c r="F485" s="1307"/>
      <c r="I485" s="490"/>
    </row>
    <row r="486" spans="1:9">
      <c r="A486" s="402"/>
      <c r="B486" s="485" t="s">
        <v>2770</v>
      </c>
      <c r="C486" s="402"/>
      <c r="D486" s="1307"/>
      <c r="E486" s="1307"/>
      <c r="F486" s="1307"/>
      <c r="I486" s="490"/>
    </row>
    <row r="487" spans="1:9">
      <c r="A487" s="402"/>
      <c r="C487" s="402"/>
      <c r="D487" s="1307"/>
      <c r="E487" s="1307"/>
      <c r="F487" s="1307"/>
      <c r="I487" s="490"/>
    </row>
    <row r="488" spans="1:9">
      <c r="A488" s="402"/>
      <c r="B488" s="485" t="s">
        <v>2770</v>
      </c>
      <c r="C488" s="402"/>
      <c r="D488" s="1307" t="s">
        <v>1139</v>
      </c>
      <c r="E488" s="1307"/>
      <c r="F488" s="1307"/>
      <c r="I488" s="490"/>
    </row>
    <row r="489" spans="1:9">
      <c r="A489" s="402"/>
      <c r="B489" s="402"/>
      <c r="C489" s="402"/>
      <c r="D489" s="1307"/>
      <c r="E489" s="1307"/>
      <c r="F489" s="1307"/>
      <c r="I489" s="490"/>
    </row>
    <row r="490" spans="1:9">
      <c r="A490" s="402"/>
      <c r="B490" s="402"/>
      <c r="C490" s="402"/>
      <c r="D490" s="1307"/>
      <c r="E490" s="1307"/>
      <c r="F490" s="1307"/>
      <c r="I490" s="490"/>
    </row>
    <row r="491" spans="1:9">
      <c r="A491" s="402"/>
      <c r="B491" s="402"/>
      <c r="C491" s="402"/>
      <c r="D491" s="1307"/>
      <c r="E491" s="1307"/>
      <c r="F491" s="1307"/>
      <c r="I491" s="490"/>
    </row>
    <row r="492" spans="1:9">
      <c r="D492" s="1307"/>
      <c r="E492" s="1307"/>
      <c r="F492" s="1307"/>
      <c r="I492" s="490"/>
    </row>
    <row r="493" spans="1:9">
      <c r="D493" s="446"/>
      <c r="E493" s="446"/>
      <c r="F493" s="446"/>
      <c r="I493" s="490"/>
    </row>
    <row r="494" spans="1:9">
      <c r="B494" s="485" t="s">
        <v>2770</v>
      </c>
      <c r="D494" s="1305" t="s">
        <v>1140</v>
      </c>
      <c r="E494" s="1305"/>
      <c r="F494" s="1305"/>
      <c r="I494" s="490"/>
    </row>
    <row r="495" spans="1:9">
      <c r="A495" s="446"/>
      <c r="B495" s="446"/>
      <c r="I495" s="490"/>
    </row>
    <row r="496" spans="1:9">
      <c r="A496" s="1314" t="s">
        <v>1050</v>
      </c>
      <c r="B496" s="1314"/>
      <c r="C496" s="1314"/>
      <c r="D496" s="1314"/>
      <c r="E496" s="1314"/>
      <c r="F496" s="1314"/>
      <c r="G496" s="1314"/>
      <c r="H496" s="1028"/>
      <c r="I496" s="1153"/>
    </row>
    <row r="497" spans="1:9">
      <c r="A497" s="446"/>
      <c r="B497" s="446"/>
      <c r="I497" s="490"/>
    </row>
    <row r="498" spans="1:9">
      <c r="D498" s="1333" t="s">
        <v>883</v>
      </c>
      <c r="E498" s="1333"/>
      <c r="F498" s="1333"/>
      <c r="I498" s="490"/>
    </row>
    <row r="499" spans="1:9" ht="14.25">
      <c r="A499" s="484"/>
      <c r="B499" s="484"/>
      <c r="D499" s="1324" t="s">
        <v>1141</v>
      </c>
      <c r="E499" s="1324"/>
      <c r="F499" s="1324"/>
      <c r="I499" s="490"/>
    </row>
    <row r="500" spans="1:9" ht="14.25">
      <c r="A500" s="484"/>
      <c r="B500" s="484"/>
      <c r="D500" s="447"/>
      <c r="I500" s="490"/>
    </row>
    <row r="501" spans="1:9" ht="14.25">
      <c r="A501" s="484"/>
      <c r="B501" s="485" t="s">
        <v>2770</v>
      </c>
      <c r="D501" s="1278" t="s">
        <v>1142</v>
      </c>
      <c r="E501" s="1278"/>
      <c r="F501" s="1278"/>
      <c r="I501" s="490"/>
    </row>
    <row r="502" spans="1:9" ht="14.25">
      <c r="A502" s="484"/>
      <c r="B502" s="484"/>
      <c r="D502" s="1278"/>
      <c r="E502" s="1278"/>
      <c r="F502" s="1278"/>
      <c r="I502" s="490"/>
    </row>
    <row r="503" spans="1:9" ht="14.25">
      <c r="A503" s="484"/>
      <c r="B503" s="484"/>
      <c r="D503" s="446"/>
      <c r="I503" s="490"/>
    </row>
    <row r="504" spans="1:9" ht="12.75" customHeight="1">
      <c r="B504" s="485" t="s">
        <v>2770</v>
      </c>
      <c r="D504" s="1319" t="s">
        <v>1273</v>
      </c>
      <c r="E504" s="1319"/>
      <c r="F504" s="1319"/>
      <c r="I504" s="490"/>
    </row>
    <row r="505" spans="1:9" ht="14.25">
      <c r="A505" s="484"/>
      <c r="D505" s="1319"/>
      <c r="E505" s="1319"/>
      <c r="F505" s="1319"/>
      <c r="I505" s="490"/>
    </row>
    <row r="506" spans="1:9" ht="14.25">
      <c r="A506" s="484"/>
      <c r="B506" s="484"/>
      <c r="D506" s="1319"/>
      <c r="E506" s="1319"/>
      <c r="F506" s="1319"/>
      <c r="I506" s="490"/>
    </row>
    <row r="507" spans="1:9" ht="14.25">
      <c r="A507" s="484"/>
      <c r="B507" s="484"/>
      <c r="D507" s="1319"/>
      <c r="E507" s="1319"/>
      <c r="F507" s="1319"/>
      <c r="I507" s="490"/>
    </row>
    <row r="508" spans="1:9" ht="14.25">
      <c r="A508" s="484"/>
      <c r="D508" s="520"/>
      <c r="E508" s="520"/>
      <c r="F508" s="520"/>
      <c r="I508" s="490"/>
    </row>
    <row r="509" spans="1:9" ht="14.25">
      <c r="A509" s="484"/>
      <c r="B509" s="485" t="s">
        <v>2770</v>
      </c>
      <c r="D509" s="1305" t="s">
        <v>1143</v>
      </c>
      <c r="E509" s="1305"/>
      <c r="F509" s="1305"/>
      <c r="I509" s="490"/>
    </row>
    <row r="510" spans="1:9" ht="14.25">
      <c r="A510" s="484"/>
      <c r="B510" s="484"/>
      <c r="D510" s="446"/>
      <c r="I510" s="490"/>
    </row>
    <row r="511" spans="1:9" ht="14.25">
      <c r="A511" s="484"/>
      <c r="B511" s="485" t="s">
        <v>2770</v>
      </c>
      <c r="D511" s="1307" t="s">
        <v>1144</v>
      </c>
      <c r="E511" s="1307"/>
      <c r="F511" s="1307"/>
      <c r="I511" s="490"/>
    </row>
    <row r="512" spans="1:9" ht="14.25">
      <c r="A512" s="484"/>
      <c r="D512" s="1307"/>
      <c r="E512" s="1307"/>
      <c r="F512" s="1307"/>
      <c r="I512" s="490"/>
    </row>
    <row r="513" spans="1:9">
      <c r="A513" s="490"/>
      <c r="B513" s="490"/>
      <c r="D513" s="447"/>
      <c r="I513" s="490"/>
    </row>
    <row r="514" spans="1:9">
      <c r="A514" s="490"/>
      <c r="B514" s="485" t="s">
        <v>2770</v>
      </c>
      <c r="D514" s="1305" t="s">
        <v>1145</v>
      </c>
      <c r="E514" s="1305"/>
      <c r="F514" s="1305"/>
      <c r="I514" s="490"/>
    </row>
    <row r="515" spans="1:9">
      <c r="D515" s="446"/>
      <c r="E515" s="446"/>
      <c r="F515" s="446"/>
      <c r="I515" s="490"/>
    </row>
    <row r="516" spans="1:9">
      <c r="B516" s="485" t="s">
        <v>2770</v>
      </c>
      <c r="D516" s="1307" t="s">
        <v>2281</v>
      </c>
      <c r="E516" s="1307"/>
      <c r="F516" s="1307"/>
      <c r="I516" s="490"/>
    </row>
    <row r="517" spans="1:9">
      <c r="D517" s="1307"/>
      <c r="E517" s="1307"/>
      <c r="F517" s="1307"/>
      <c r="I517" s="490"/>
    </row>
    <row r="518" spans="1:9">
      <c r="D518" s="1307"/>
      <c r="E518" s="1307"/>
      <c r="F518" s="1307"/>
      <c r="I518" s="490"/>
    </row>
    <row r="519" spans="1:9">
      <c r="D519" s="446"/>
      <c r="E519" s="446"/>
      <c r="F519" s="446"/>
      <c r="I519" s="490"/>
    </row>
    <row r="520" spans="1:9" ht="14.25">
      <c r="A520" s="484"/>
      <c r="B520" s="484"/>
      <c r="D520" s="446"/>
      <c r="I520" s="490"/>
    </row>
    <row r="521" spans="1:9">
      <c r="A521" s="1314" t="s">
        <v>1051</v>
      </c>
      <c r="B521" s="1314"/>
      <c r="C521" s="1314"/>
      <c r="D521" s="1314"/>
      <c r="E521" s="1314"/>
      <c r="F521" s="1314"/>
      <c r="G521" s="1314"/>
      <c r="H521" s="1028"/>
      <c r="I521" s="1153"/>
    </row>
    <row r="522" spans="1:9" ht="12" customHeight="1">
      <c r="A522" s="484"/>
      <c r="B522" s="484"/>
      <c r="D522" s="446"/>
      <c r="I522" s="490"/>
    </row>
    <row r="523" spans="1:9">
      <c r="C523" s="482"/>
      <c r="D523" s="1315" t="s">
        <v>793</v>
      </c>
      <c r="E523" s="1315"/>
      <c r="F523" s="1315"/>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2769</v>
      </c>
      <c r="C527" s="483"/>
      <c r="D527" s="1278" t="s">
        <v>2060</v>
      </c>
      <c r="E527" s="1278"/>
      <c r="F527" s="1278"/>
      <c r="I527" s="490"/>
    </row>
    <row r="528" spans="1:9">
      <c r="A528" s="483"/>
      <c r="B528" s="483"/>
      <c r="C528" s="483"/>
      <c r="D528" s="1278"/>
      <c r="E528" s="1278"/>
      <c r="F528" s="1278"/>
      <c r="I528" s="490"/>
    </row>
    <row r="529" spans="1:9">
      <c r="A529" s="483"/>
      <c r="B529" s="483"/>
      <c r="C529" s="483"/>
      <c r="D529" s="451"/>
      <c r="E529" s="451"/>
      <c r="F529" s="451"/>
      <c r="I529" s="480"/>
    </row>
    <row r="530" spans="1:9" ht="12.75" customHeight="1">
      <c r="A530" s="483"/>
      <c r="B530" s="485" t="s">
        <v>2768</v>
      </c>
      <c r="D530" s="386" t="s">
        <v>1904</v>
      </c>
      <c r="E530" s="385"/>
      <c r="F530" s="385"/>
      <c r="I530" s="490"/>
    </row>
    <row r="531" spans="1:9">
      <c r="A531" s="483"/>
      <c r="B531" s="483"/>
      <c r="C531" s="483"/>
      <c r="D531" s="385"/>
      <c r="E531" s="96" t="s">
        <v>1905</v>
      </c>
      <c r="I531" s="490"/>
    </row>
    <row r="532" spans="1:9">
      <c r="A532" s="483"/>
      <c r="B532" s="483"/>
      <c r="D532" s="1286" t="s">
        <v>2061</v>
      </c>
      <c r="E532" s="1286"/>
      <c r="F532" s="1286"/>
      <c r="I532" s="490"/>
    </row>
    <row r="533" spans="1:9">
      <c r="A533" s="483"/>
      <c r="B533" s="483"/>
      <c r="D533" s="1286"/>
      <c r="E533" s="1286"/>
      <c r="F533" s="1286"/>
      <c r="I533" s="490"/>
    </row>
    <row r="534" spans="1:9">
      <c r="A534" s="483"/>
      <c r="B534" s="483"/>
      <c r="C534" s="483"/>
      <c r="D534" s="1286"/>
      <c r="E534" s="1286"/>
      <c r="F534" s="1286"/>
      <c r="I534" s="490"/>
    </row>
    <row r="535" spans="1:9">
      <c r="A535" s="483"/>
      <c r="B535" s="483"/>
      <c r="C535" s="483"/>
      <c r="D535" s="498"/>
      <c r="F535" s="446"/>
      <c r="I535" s="490"/>
    </row>
    <row r="536" spans="1:9" ht="13.15" customHeight="1">
      <c r="A536" s="483"/>
      <c r="B536" s="485" t="s">
        <v>2770</v>
      </c>
      <c r="C536" s="483"/>
      <c r="D536" s="1307" t="s">
        <v>2062</v>
      </c>
      <c r="E536" s="1307"/>
      <c r="F536" s="1307"/>
      <c r="I536" s="490"/>
    </row>
    <row r="537" spans="1:9">
      <c r="A537" s="483"/>
      <c r="B537" s="483"/>
      <c r="C537" s="483"/>
      <c r="D537" s="1307"/>
      <c r="E537" s="1307"/>
      <c r="F537" s="1307"/>
      <c r="I537" s="490"/>
    </row>
    <row r="538" spans="1:9" ht="12" customHeight="1">
      <c r="A538" s="446"/>
      <c r="B538" s="446"/>
      <c r="C538" s="487"/>
      <c r="D538" s="446"/>
      <c r="F538" s="448"/>
      <c r="I538" s="490"/>
    </row>
    <row r="539" spans="1:9">
      <c r="A539" s="1314" t="s">
        <v>1052</v>
      </c>
      <c r="B539" s="1314"/>
      <c r="C539" s="1314"/>
      <c r="D539" s="1314"/>
      <c r="E539" s="1314"/>
      <c r="F539" s="1314"/>
      <c r="G539" s="1314"/>
      <c r="H539" s="1028"/>
      <c r="I539" s="1153"/>
    </row>
    <row r="540" spans="1:9">
      <c r="A540" s="446"/>
      <c r="B540" s="446"/>
      <c r="C540" s="487"/>
      <c r="F540" s="448"/>
      <c r="I540" s="490"/>
    </row>
    <row r="541" spans="1:9">
      <c r="B541" s="1309" t="s">
        <v>446</v>
      </c>
      <c r="C541" s="1309"/>
      <c r="D541" s="1309"/>
      <c r="E541" s="1309"/>
      <c r="F541" s="1309"/>
      <c r="I541" s="490"/>
    </row>
    <row r="542" spans="1:9">
      <c r="A542" s="446"/>
      <c r="B542" s="446"/>
      <c r="C542" s="487"/>
      <c r="D542" s="446"/>
      <c r="F542" s="446"/>
      <c r="I542" s="490"/>
    </row>
    <row r="543" spans="1:9">
      <c r="A543" s="1306" t="s">
        <v>1053</v>
      </c>
      <c r="B543" s="1306"/>
      <c r="C543" s="1306"/>
      <c r="D543" s="1306"/>
      <c r="E543" s="1306"/>
      <c r="F543" s="1306"/>
      <c r="G543" s="1306"/>
      <c r="H543" s="1028"/>
      <c r="I543" s="1153"/>
    </row>
    <row r="544" spans="1:9">
      <c r="A544" s="446"/>
      <c r="B544" s="446"/>
      <c r="C544" s="487"/>
      <c r="D544" s="446"/>
      <c r="F544" s="446"/>
      <c r="I544" s="490"/>
    </row>
    <row r="545" spans="1:9">
      <c r="C545" s="487"/>
      <c r="D545" s="1315" t="s">
        <v>683</v>
      </c>
      <c r="E545" s="1315"/>
      <c r="F545" s="1315"/>
      <c r="I545" s="490"/>
    </row>
    <row r="546" spans="1:9">
      <c r="C546" s="487"/>
      <c r="D546" s="1305" t="s">
        <v>1081</v>
      </c>
      <c r="E546" s="1305"/>
      <c r="F546" s="1305"/>
      <c r="I546" s="490"/>
    </row>
    <row r="547" spans="1:9">
      <c r="C547" s="487"/>
      <c r="D547" s="446"/>
      <c r="E547" s="446"/>
      <c r="F547" s="446"/>
      <c r="I547" s="490"/>
    </row>
    <row r="548" spans="1:9" ht="13.7" customHeight="1">
      <c r="A548" s="484"/>
      <c r="B548" s="485" t="s">
        <v>2768</v>
      </c>
      <c r="C548" s="487"/>
      <c r="D548" s="1305" t="s">
        <v>884</v>
      </c>
      <c r="E548" s="1305"/>
      <c r="F548" s="1305"/>
      <c r="I548" s="490"/>
    </row>
    <row r="549" spans="1:9" ht="13.7" customHeight="1">
      <c r="A549" s="487"/>
      <c r="B549" s="487"/>
      <c r="C549" s="487"/>
      <c r="D549" s="446"/>
      <c r="I549" s="490"/>
    </row>
    <row r="550" spans="1:9" ht="14.25">
      <c r="A550" s="484"/>
      <c r="B550" s="485" t="s">
        <v>2768</v>
      </c>
      <c r="C550" s="487"/>
      <c r="D550" s="1307" t="s">
        <v>1082</v>
      </c>
      <c r="E550" s="1307"/>
      <c r="F550" s="1307"/>
      <c r="I550" s="490"/>
    </row>
    <row r="551" spans="1:9">
      <c r="A551" s="487"/>
      <c r="B551" s="487"/>
      <c r="C551" s="487"/>
      <c r="D551" s="1307"/>
      <c r="E551" s="1307"/>
      <c r="F551" s="1307"/>
      <c r="I551" s="490"/>
    </row>
    <row r="552" spans="1:9">
      <c r="A552" s="487"/>
      <c r="B552" s="487"/>
      <c r="C552" s="487"/>
      <c r="D552" s="446"/>
      <c r="E552" s="446"/>
      <c r="F552" s="446"/>
      <c r="I552" s="490"/>
    </row>
    <row r="553" spans="1:9" ht="14.25">
      <c r="A553" s="484"/>
      <c r="B553" s="485" t="s">
        <v>2768</v>
      </c>
      <c r="C553" s="487"/>
      <c r="D553" s="1307" t="s">
        <v>1083</v>
      </c>
      <c r="E553" s="1307"/>
      <c r="F553" s="1307"/>
      <c r="I553" s="490"/>
    </row>
    <row r="554" spans="1:9">
      <c r="A554" s="487"/>
      <c r="B554" s="487"/>
      <c r="C554" s="487"/>
      <c r="D554" s="1307"/>
      <c r="E554" s="1307"/>
      <c r="F554" s="1307"/>
      <c r="I554" s="490"/>
    </row>
    <row r="555" spans="1:9">
      <c r="A555" s="487"/>
      <c r="B555" s="487"/>
      <c r="C555" s="487"/>
      <c r="D555" s="446"/>
      <c r="E555" s="446"/>
      <c r="F555" s="446"/>
      <c r="I555" s="490"/>
    </row>
    <row r="556" spans="1:9" ht="14.25">
      <c r="A556" s="484"/>
      <c r="B556" s="485" t="s">
        <v>2768</v>
      </c>
      <c r="C556" s="487"/>
      <c r="D556" s="1307" t="s">
        <v>1084</v>
      </c>
      <c r="E556" s="1307"/>
      <c r="F556" s="1307"/>
      <c r="I556" s="490"/>
    </row>
    <row r="557" spans="1:9">
      <c r="A557" s="487"/>
      <c r="B557" s="487"/>
      <c r="C557" s="487"/>
      <c r="D557" s="1307"/>
      <c r="E557" s="1307"/>
      <c r="F557" s="1307"/>
      <c r="I557" s="490"/>
    </row>
    <row r="558" spans="1:9">
      <c r="A558" s="487"/>
      <c r="B558" s="487"/>
      <c r="C558" s="487"/>
      <c r="D558" s="446"/>
      <c r="E558" s="446"/>
      <c r="F558" s="446"/>
      <c r="I558" s="490"/>
    </row>
    <row r="559" spans="1:9" ht="14.25">
      <c r="A559" s="484"/>
      <c r="B559" s="485" t="s">
        <v>2768</v>
      </c>
      <c r="C559" s="487"/>
      <c r="D559" s="1307" t="s">
        <v>1085</v>
      </c>
      <c r="E559" s="1307"/>
      <c r="F559" s="1307"/>
      <c r="I559" s="490"/>
    </row>
    <row r="560" spans="1:9">
      <c r="A560" s="487"/>
      <c r="B560" s="487"/>
      <c r="C560" s="487"/>
      <c r="D560" s="1307"/>
      <c r="E560" s="1307"/>
      <c r="F560" s="1307"/>
      <c r="I560" s="490"/>
    </row>
    <row r="561" spans="1:9">
      <c r="A561" s="487"/>
      <c r="B561" s="487"/>
      <c r="C561" s="487"/>
      <c r="D561" s="1307"/>
      <c r="E561" s="1307"/>
      <c r="F561" s="1307"/>
      <c r="I561" s="490"/>
    </row>
    <row r="562" spans="1:9">
      <c r="A562" s="487"/>
      <c r="B562" s="487"/>
      <c r="C562" s="487"/>
      <c r="D562" s="446"/>
      <c r="E562" s="446"/>
      <c r="F562" s="446"/>
      <c r="I562" s="490"/>
    </row>
    <row r="563" spans="1:9" ht="14.25">
      <c r="A563" s="484"/>
      <c r="B563" s="485" t="s">
        <v>2770</v>
      </c>
      <c r="C563" s="487"/>
      <c r="D563" s="1307" t="s">
        <v>2248</v>
      </c>
      <c r="E563" s="1307"/>
      <c r="F563" s="1307"/>
      <c r="I563" s="490"/>
    </row>
    <row r="564" spans="1:9">
      <c r="A564" s="487"/>
      <c r="B564" s="487"/>
      <c r="C564" s="487"/>
      <c r="D564" s="1307"/>
      <c r="E564" s="1307"/>
      <c r="F564" s="1307"/>
      <c r="I564" s="490"/>
    </row>
    <row r="565" spans="1:9">
      <c r="A565" s="487"/>
      <c r="B565" s="487"/>
      <c r="C565" s="487"/>
      <c r="D565" s="446"/>
      <c r="E565" s="446"/>
      <c r="F565" s="446"/>
      <c r="I565" s="490"/>
    </row>
    <row r="566" spans="1:9" ht="14.25">
      <c r="A566" s="484"/>
      <c r="B566" s="485" t="s">
        <v>2770</v>
      </c>
      <c r="C566" s="487"/>
      <c r="D566" s="1307" t="s">
        <v>1086</v>
      </c>
      <c r="E566" s="1307"/>
      <c r="F566" s="1307"/>
      <c r="I566" s="490"/>
    </row>
    <row r="567" spans="1:9">
      <c r="A567" s="487"/>
      <c r="B567" s="487"/>
      <c r="C567" s="487"/>
      <c r="D567" s="1307"/>
      <c r="E567" s="1307"/>
      <c r="F567" s="1307"/>
      <c r="I567" s="490"/>
    </row>
    <row r="568" spans="1:9">
      <c r="A568" s="487"/>
      <c r="B568" s="487"/>
      <c r="C568" s="487"/>
      <c r="D568" s="446"/>
      <c r="E568" s="446"/>
      <c r="F568" s="446"/>
      <c r="I568" s="490"/>
    </row>
    <row r="569" spans="1:9" ht="14.25">
      <c r="A569" s="484"/>
      <c r="B569" s="485" t="s">
        <v>2769</v>
      </c>
      <c r="C569" s="487"/>
      <c r="D569" s="1305" t="s">
        <v>1087</v>
      </c>
      <c r="E569" s="1305"/>
      <c r="F569" s="1305"/>
      <c r="I569" s="490"/>
    </row>
    <row r="570" spans="1:9">
      <c r="A570" s="490"/>
      <c r="B570" s="490"/>
      <c r="C570" s="487"/>
      <c r="D570" s="1305" t="s">
        <v>1907</v>
      </c>
      <c r="E570" s="1305"/>
      <c r="F570" s="1305"/>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2768</v>
      </c>
      <c r="C573" s="487"/>
      <c r="D573" s="1305" t="s">
        <v>1088</v>
      </c>
      <c r="E573" s="1305"/>
      <c r="F573" s="1305"/>
      <c r="I573" s="490"/>
    </row>
    <row r="574" spans="1:9">
      <c r="C574" s="487"/>
      <c r="D574" s="1307" t="s">
        <v>1089</v>
      </c>
      <c r="E574" s="1307"/>
      <c r="F574" s="1307"/>
      <c r="I574" s="490"/>
    </row>
    <row r="575" spans="1:9">
      <c r="A575" s="487"/>
      <c r="B575" s="487"/>
      <c r="C575" s="487"/>
      <c r="D575" s="1307"/>
      <c r="E575" s="1307"/>
      <c r="F575" s="1307"/>
      <c r="I575" s="490"/>
    </row>
    <row r="576" spans="1:9">
      <c r="A576" s="487"/>
      <c r="B576" s="487"/>
      <c r="C576" s="487"/>
      <c r="D576" s="1307"/>
      <c r="E576" s="1307"/>
      <c r="F576" s="1307"/>
      <c r="I576" s="490"/>
    </row>
    <row r="577" spans="1:9">
      <c r="A577" s="487"/>
      <c r="B577" s="487"/>
      <c r="C577" s="487"/>
      <c r="D577" s="446"/>
      <c r="E577" s="446"/>
      <c r="F577" s="446"/>
      <c r="I577" s="490"/>
    </row>
    <row r="578" spans="1:9" ht="14.25">
      <c r="A578" s="484"/>
      <c r="B578" s="485" t="s">
        <v>2768</v>
      </c>
      <c r="C578" s="487"/>
      <c r="D578" s="1307" t="s">
        <v>2063</v>
      </c>
      <c r="E578" s="1307"/>
      <c r="F578" s="1307"/>
      <c r="I578" s="490"/>
    </row>
    <row r="579" spans="1:9" ht="14.25">
      <c r="A579" s="484"/>
      <c r="B579" s="484"/>
      <c r="C579" s="487"/>
      <c r="D579" s="1307"/>
      <c r="E579" s="1307"/>
      <c r="F579" s="1307"/>
      <c r="I579" s="490"/>
    </row>
    <row r="580" spans="1:9" ht="14.25">
      <c r="A580" s="484"/>
      <c r="B580" s="484"/>
      <c r="C580" s="487"/>
      <c r="D580" s="1307"/>
      <c r="E580" s="1307"/>
      <c r="F580" s="1307"/>
      <c r="I580" s="490"/>
    </row>
    <row r="581" spans="1:9" ht="14.25">
      <c r="A581" s="484"/>
      <c r="B581" s="484"/>
      <c r="C581" s="487"/>
      <c r="D581" s="1307"/>
      <c r="E581" s="1307"/>
      <c r="F581" s="1307"/>
      <c r="I581" s="490"/>
    </row>
    <row r="582" spans="1:9" ht="14.25">
      <c r="A582" s="484"/>
      <c r="B582" s="484"/>
      <c r="C582" s="487"/>
      <c r="D582" s="446"/>
      <c r="E582" s="446"/>
      <c r="F582" s="446"/>
      <c r="I582" s="490"/>
    </row>
    <row r="583" spans="1:9">
      <c r="A583" s="1314" t="s">
        <v>1054</v>
      </c>
      <c r="B583" s="1314"/>
      <c r="C583" s="1314"/>
      <c r="D583" s="1314"/>
      <c r="E583" s="1314"/>
      <c r="F583" s="1314"/>
      <c r="G583" s="1314"/>
      <c r="H583" s="1028"/>
      <c r="I583" s="1153"/>
    </row>
    <row r="584" spans="1:9">
      <c r="A584" s="487"/>
      <c r="B584" s="487"/>
      <c r="C584" s="487"/>
      <c r="E584" s="446"/>
      <c r="F584" s="446"/>
      <c r="I584" s="490"/>
    </row>
    <row r="585" spans="1:9" ht="12.75" customHeight="1">
      <c r="C585" s="482"/>
      <c r="D585" s="1323" t="s">
        <v>210</v>
      </c>
      <c r="E585" s="1323"/>
      <c r="F585" s="1323"/>
      <c r="I585" s="490"/>
    </row>
    <row r="586" spans="1:9">
      <c r="A586" s="483"/>
      <c r="B586" s="483"/>
      <c r="C586" s="483"/>
      <c r="D586" s="1319" t="s">
        <v>1067</v>
      </c>
      <c r="E586" s="1319"/>
      <c r="F586" s="1319"/>
      <c r="I586" s="490"/>
    </row>
    <row r="587" spans="1:9">
      <c r="A587" s="402"/>
      <c r="B587" s="402"/>
      <c r="C587" s="483"/>
      <c r="D587" s="499"/>
      <c r="I587" s="490"/>
    </row>
    <row r="588" spans="1:9">
      <c r="A588" s="483"/>
      <c r="B588" s="485" t="s">
        <v>2768</v>
      </c>
      <c r="D588" s="1319" t="s">
        <v>888</v>
      </c>
      <c r="E588" s="1319"/>
      <c r="F588" s="1319"/>
      <c r="I588" s="490"/>
    </row>
    <row r="589" spans="1:9">
      <c r="A589" s="490"/>
      <c r="B589" s="490"/>
      <c r="D589" s="476"/>
      <c r="I589" s="490"/>
    </row>
    <row r="590" spans="1:9">
      <c r="A590" s="490"/>
      <c r="B590" s="485" t="s">
        <v>2768</v>
      </c>
      <c r="D590" s="1319" t="s">
        <v>2064</v>
      </c>
      <c r="E590" s="1319"/>
      <c r="F590" s="1319"/>
      <c r="I590" s="490"/>
    </row>
    <row r="591" spans="1:9">
      <c r="A591" s="490"/>
      <c r="B591" s="490"/>
      <c r="D591" s="1319"/>
      <c r="E591" s="1319"/>
      <c r="F591" s="1319"/>
      <c r="I591" s="490"/>
    </row>
    <row r="592" spans="1:9">
      <c r="A592" s="490"/>
      <c r="B592" s="490"/>
      <c r="D592" s="1319"/>
      <c r="E592" s="1319"/>
      <c r="F592" s="1319"/>
      <c r="I592" s="490"/>
    </row>
    <row r="593" spans="1:9">
      <c r="A593" s="490"/>
      <c r="B593" s="490"/>
      <c r="D593" s="1319"/>
      <c r="E593" s="1319"/>
      <c r="F593" s="1319"/>
      <c r="I593" s="490"/>
    </row>
    <row r="594" spans="1:9">
      <c r="A594" s="490"/>
      <c r="B594" s="485" t="s">
        <v>2770</v>
      </c>
      <c r="D594" s="1319" t="s">
        <v>1068</v>
      </c>
      <c r="E594" s="1319"/>
      <c r="F594" s="1319"/>
      <c r="I594" s="490"/>
    </row>
    <row r="595" spans="1:9">
      <c r="A595" s="490"/>
      <c r="B595" s="490"/>
      <c r="D595" s="1319"/>
      <c r="E595" s="1319"/>
      <c r="F595" s="1319"/>
      <c r="I595" s="490"/>
    </row>
    <row r="596" spans="1:9">
      <c r="A596" s="490"/>
      <c r="B596" s="490"/>
      <c r="D596" s="1319"/>
      <c r="E596" s="1319"/>
      <c r="F596" s="1319"/>
      <c r="I596" s="490"/>
    </row>
    <row r="597" spans="1:9">
      <c r="A597" s="490"/>
      <c r="B597" s="490"/>
      <c r="D597" s="1319"/>
      <c r="E597" s="1319"/>
      <c r="F597" s="1319"/>
      <c r="I597" s="490"/>
    </row>
    <row r="598" spans="1:9">
      <c r="A598" s="490"/>
      <c r="B598" s="490"/>
      <c r="D598" s="440"/>
      <c r="E598" s="440"/>
      <c r="F598" s="440"/>
      <c r="I598" s="490"/>
    </row>
    <row r="599" spans="1:9">
      <c r="A599" s="490"/>
      <c r="B599" s="485" t="s">
        <v>2769</v>
      </c>
      <c r="D599" s="1319" t="s">
        <v>2065</v>
      </c>
      <c r="E599" s="1319"/>
      <c r="F599" s="1319"/>
      <c r="I599" s="490"/>
    </row>
    <row r="600" spans="1:9">
      <c r="A600" s="490"/>
      <c r="B600" s="490"/>
      <c r="D600" s="1319"/>
      <c r="E600" s="1319"/>
      <c r="F600" s="1319"/>
      <c r="I600" s="490"/>
    </row>
    <row r="601" spans="1:9">
      <c r="A601" s="490"/>
      <c r="B601" s="490"/>
      <c r="D601" s="499"/>
      <c r="I601" s="490"/>
    </row>
    <row r="602" spans="1:9">
      <c r="A602" s="490"/>
      <c r="B602" s="485" t="s">
        <v>2770</v>
      </c>
      <c r="D602" s="1319" t="s">
        <v>1069</v>
      </c>
      <c r="E602" s="1319"/>
      <c r="F602" s="1319"/>
      <c r="I602" s="490"/>
    </row>
    <row r="603" spans="1:9">
      <c r="A603" s="490"/>
      <c r="B603" s="490"/>
      <c r="D603" s="1319"/>
      <c r="E603" s="1319"/>
      <c r="F603" s="1319"/>
      <c r="I603" s="490"/>
    </row>
    <row r="604" spans="1:9" ht="14.25">
      <c r="A604" s="484"/>
      <c r="B604" s="484"/>
      <c r="D604" s="499"/>
      <c r="I604" s="490"/>
    </row>
    <row r="605" spans="1:9">
      <c r="A605" s="1314" t="s">
        <v>1055</v>
      </c>
      <c r="B605" s="1314"/>
      <c r="C605" s="1314"/>
      <c r="D605" s="1314"/>
      <c r="E605" s="1314"/>
      <c r="F605" s="1314"/>
      <c r="G605" s="1314"/>
      <c r="H605" s="1028"/>
      <c r="I605" s="1153"/>
    </row>
    <row r="606" spans="1:9">
      <c r="I606" s="490"/>
    </row>
    <row r="607" spans="1:9">
      <c r="D607" s="1315" t="s">
        <v>1107</v>
      </c>
      <c r="E607" s="1315"/>
      <c r="F607" s="1315"/>
      <c r="I607" s="490"/>
    </row>
    <row r="608" spans="1:9">
      <c r="D608" s="1287" t="s">
        <v>1108</v>
      </c>
      <c r="E608" s="1287"/>
      <c r="F608" s="1287"/>
      <c r="I608" s="490"/>
    </row>
    <row r="609" spans="1:9">
      <c r="D609" s="444"/>
      <c r="I609" s="490"/>
    </row>
    <row r="610" spans="1:9" ht="14.25" customHeight="1">
      <c r="A610" s="484"/>
      <c r="B610" s="485" t="s">
        <v>2768</v>
      </c>
      <c r="D610" s="1320" t="s">
        <v>1908</v>
      </c>
      <c r="E610" s="1320"/>
      <c r="F610" s="1320"/>
      <c r="I610" s="490"/>
    </row>
    <row r="611" spans="1:9">
      <c r="D611" s="1320"/>
      <c r="E611" s="1320"/>
      <c r="F611" s="1320"/>
      <c r="I611" s="490"/>
    </row>
    <row r="612" spans="1:9">
      <c r="D612" s="385"/>
      <c r="E612" s="1036" t="s">
        <v>1909</v>
      </c>
      <c r="F612" s="385"/>
      <c r="I612" s="490"/>
    </row>
    <row r="613" spans="1:9">
      <c r="I613" s="490"/>
    </row>
    <row r="614" spans="1:9">
      <c r="A614" s="1314" t="s">
        <v>1056</v>
      </c>
      <c r="B614" s="1314"/>
      <c r="C614" s="1314"/>
      <c r="D614" s="1314"/>
      <c r="E614" s="1314"/>
      <c r="F614" s="1314"/>
      <c r="G614" s="1314"/>
      <c r="H614" s="1028"/>
      <c r="I614" s="1153"/>
    </row>
    <row r="615" spans="1:9">
      <c r="A615" s="446"/>
      <c r="B615" s="446"/>
      <c r="I615" s="490"/>
    </row>
    <row r="616" spans="1:9">
      <c r="A616" s="482"/>
      <c r="B616" s="482"/>
      <c r="C616" s="482"/>
      <c r="D616" s="1304" t="s">
        <v>1109</v>
      </c>
      <c r="E616" s="1304"/>
      <c r="F616" s="1304"/>
      <c r="I616" s="490"/>
    </row>
    <row r="617" spans="1:9">
      <c r="A617" s="482"/>
      <c r="B617" s="482"/>
      <c r="C617" s="482"/>
      <c r="D617" s="1304"/>
      <c r="E617" s="1304"/>
      <c r="F617" s="1304"/>
      <c r="I617" s="490"/>
    </row>
    <row r="618" spans="1:9">
      <c r="C618" s="483"/>
      <c r="D618" s="1287" t="s">
        <v>1110</v>
      </c>
      <c r="E618" s="1287"/>
      <c r="F618" s="1287"/>
      <c r="I618" s="490"/>
    </row>
    <row r="619" spans="1:9">
      <c r="C619" s="483"/>
      <c r="D619" s="444"/>
      <c r="E619" s="444"/>
      <c r="F619" s="444"/>
      <c r="I619" s="490"/>
    </row>
    <row r="620" spans="1:9" ht="12.75" customHeight="1">
      <c r="A620" s="490"/>
      <c r="B620" s="485" t="s">
        <v>2768</v>
      </c>
      <c r="D620" s="1313" t="s">
        <v>1111</v>
      </c>
      <c r="E620" s="1313"/>
      <c r="F620" s="1313"/>
      <c r="I620" s="490"/>
    </row>
    <row r="621" spans="1:9">
      <c r="D621" s="1313"/>
      <c r="E621" s="1313"/>
      <c r="F621" s="1313"/>
      <c r="I621" s="490"/>
    </row>
    <row r="622" spans="1:9">
      <c r="I622" s="490"/>
    </row>
    <row r="623" spans="1:9">
      <c r="B623" s="485" t="s">
        <v>2768</v>
      </c>
      <c r="D623" s="1313" t="s">
        <v>1112</v>
      </c>
      <c r="E623" s="1313"/>
      <c r="F623" s="1313"/>
      <c r="I623" s="490"/>
    </row>
    <row r="624" spans="1:9">
      <c r="C624" s="500"/>
      <c r="D624" s="1313"/>
      <c r="E624" s="1313"/>
      <c r="F624" s="1313"/>
      <c r="I624" s="490"/>
    </row>
    <row r="625" spans="1:9">
      <c r="C625" s="500"/>
      <c r="I625" s="490"/>
    </row>
    <row r="626" spans="1:9">
      <c r="B626" s="485" t="s">
        <v>2770</v>
      </c>
      <c r="C626" s="500"/>
      <c r="D626" s="1313" t="s">
        <v>1113</v>
      </c>
      <c r="E626" s="1313"/>
      <c r="F626" s="1313"/>
      <c r="I626" s="490"/>
    </row>
    <row r="627" spans="1:9">
      <c r="C627" s="500"/>
      <c r="D627" s="1313"/>
      <c r="E627" s="1313"/>
      <c r="F627" s="1313"/>
      <c r="I627" s="500"/>
    </row>
    <row r="628" spans="1:9">
      <c r="C628" s="500"/>
      <c r="I628" s="490"/>
    </row>
    <row r="629" spans="1:9">
      <c r="A629" s="1314" t="s">
        <v>1057</v>
      </c>
      <c r="B629" s="1314"/>
      <c r="C629" s="1314"/>
      <c r="D629" s="1314"/>
      <c r="E629" s="1314"/>
      <c r="F629" s="1314"/>
      <c r="G629" s="1314"/>
      <c r="H629" s="1028"/>
      <c r="I629" s="1153"/>
    </row>
    <row r="630" spans="1:9">
      <c r="A630" s="482"/>
      <c r="B630" s="482"/>
      <c r="C630" s="482"/>
      <c r="I630" s="490"/>
    </row>
    <row r="631" spans="1:9">
      <c r="C631" s="490"/>
      <c r="D631" s="1315" t="s">
        <v>1114</v>
      </c>
      <c r="E631" s="1315"/>
      <c r="F631" s="1315"/>
      <c r="I631" s="490"/>
    </row>
    <row r="632" spans="1:9">
      <c r="A632" s="490"/>
      <c r="B632" s="490"/>
      <c r="D632" s="404"/>
      <c r="I632" s="490"/>
    </row>
    <row r="633" spans="1:9" ht="14.25" customHeight="1">
      <c r="A633" s="484"/>
      <c r="B633" s="485" t="s">
        <v>2768</v>
      </c>
      <c r="D633" s="1320" t="s">
        <v>2066</v>
      </c>
      <c r="E633" s="1320"/>
      <c r="F633" s="1320"/>
      <c r="I633" s="490"/>
    </row>
    <row r="634" spans="1:9">
      <c r="D634" s="1320"/>
      <c r="E634" s="1320"/>
      <c r="F634" s="1320"/>
      <c r="I634" s="490"/>
    </row>
    <row r="635" spans="1:9">
      <c r="D635" s="385"/>
      <c r="E635" s="1036" t="s">
        <v>1911</v>
      </c>
      <c r="F635" s="385"/>
      <c r="I635" s="490"/>
    </row>
    <row r="636" spans="1:9">
      <c r="D636" s="1307" t="s">
        <v>1910</v>
      </c>
      <c r="E636" s="1307"/>
      <c r="F636" s="1307"/>
      <c r="I636" s="490"/>
    </row>
    <row r="637" spans="1:9">
      <c r="D637" s="1307"/>
      <c r="E637" s="1307"/>
      <c r="F637" s="1307"/>
      <c r="I637" s="490"/>
    </row>
    <row r="638" spans="1:9">
      <c r="D638" s="1307"/>
      <c r="E638" s="1307"/>
      <c r="F638" s="1307"/>
      <c r="I638" s="490"/>
    </row>
    <row r="639" spans="1:9">
      <c r="D639" s="445"/>
      <c r="E639" s="445"/>
      <c r="F639" s="445"/>
      <c r="I639" s="490"/>
    </row>
    <row r="640" spans="1:9" ht="14.25">
      <c r="A640" s="484"/>
      <c r="B640" s="485" t="s">
        <v>2770</v>
      </c>
      <c r="D640" s="1307" t="s">
        <v>1115</v>
      </c>
      <c r="E640" s="1307"/>
      <c r="F640" s="1307"/>
      <c r="I640" s="490"/>
    </row>
    <row r="641" spans="1:9">
      <c r="A641" s="487"/>
      <c r="B641" s="487"/>
      <c r="C641" s="487"/>
      <c r="D641" s="1307"/>
      <c r="E641" s="1307"/>
      <c r="F641" s="1307"/>
      <c r="I641" s="490"/>
    </row>
    <row r="642" spans="1:9">
      <c r="A642" s="487"/>
      <c r="B642" s="487"/>
      <c r="C642" s="487"/>
      <c r="D642" s="446"/>
      <c r="E642" s="446"/>
      <c r="F642" s="446"/>
      <c r="I642" s="490"/>
    </row>
    <row r="643" spans="1:9" ht="14.25">
      <c r="A643" s="484"/>
      <c r="B643" s="485" t="s">
        <v>2770</v>
      </c>
      <c r="C643" s="487"/>
      <c r="D643" s="1307" t="s">
        <v>1225</v>
      </c>
      <c r="E643" s="1307"/>
      <c r="F643" s="1307"/>
      <c r="I643" s="490"/>
    </row>
    <row r="644" spans="1:9" ht="14.25">
      <c r="A644" s="484"/>
      <c r="B644" s="484"/>
      <c r="C644" s="487"/>
      <c r="D644" s="1307"/>
      <c r="E644" s="1307"/>
      <c r="F644" s="1307"/>
      <c r="I644" s="490"/>
    </row>
    <row r="645" spans="1:9" ht="14.25">
      <c r="A645" s="484"/>
      <c r="B645" s="484"/>
      <c r="C645" s="487"/>
      <c r="D645" s="1307"/>
      <c r="E645" s="1307"/>
      <c r="F645" s="1307"/>
      <c r="I645" s="490"/>
    </row>
    <row r="646" spans="1:9">
      <c r="A646" s="487"/>
      <c r="B646" s="485" t="s">
        <v>2770</v>
      </c>
      <c r="C646" s="487"/>
      <c r="D646" s="1305" t="s">
        <v>1116</v>
      </c>
      <c r="E646" s="1305"/>
      <c r="F646" s="1305"/>
      <c r="I646" s="490"/>
    </row>
    <row r="647" spans="1:9">
      <c r="A647" s="487"/>
      <c r="B647" s="487"/>
      <c r="C647" s="487"/>
      <c r="D647" s="446"/>
      <c r="E647" s="446"/>
      <c r="F647" s="446"/>
      <c r="I647" s="490"/>
    </row>
    <row r="648" spans="1:9">
      <c r="A648" s="1314" t="s">
        <v>1058</v>
      </c>
      <c r="B648" s="1314"/>
      <c r="C648" s="1314"/>
      <c r="D648" s="1314"/>
      <c r="E648" s="1314"/>
      <c r="F648" s="1314"/>
      <c r="G648" s="1314"/>
      <c r="H648" s="1028"/>
      <c r="I648" s="1153"/>
    </row>
    <row r="649" spans="1:9">
      <c r="A649" s="446"/>
      <c r="B649" s="446"/>
      <c r="C649" s="487"/>
      <c r="D649" s="446"/>
      <c r="E649" s="446"/>
      <c r="F649" s="446"/>
      <c r="I649" s="490"/>
    </row>
    <row r="650" spans="1:9">
      <c r="C650" s="482"/>
      <c r="D650" s="1315" t="s">
        <v>1146</v>
      </c>
      <c r="E650" s="1315"/>
      <c r="F650" s="1315"/>
      <c r="I650" s="490"/>
    </row>
    <row r="651" spans="1:9">
      <c r="A651" s="483"/>
      <c r="B651" s="483"/>
      <c r="C651" s="483"/>
      <c r="D651" s="1305" t="s">
        <v>1147</v>
      </c>
      <c r="E651" s="1305"/>
      <c r="F651" s="1305"/>
      <c r="I651" s="490"/>
    </row>
    <row r="652" spans="1:9">
      <c r="A652" s="483"/>
      <c r="B652" s="483"/>
      <c r="C652" s="483"/>
      <c r="D652" s="446"/>
      <c r="E652" s="446"/>
      <c r="F652" s="446"/>
      <c r="I652" s="490"/>
    </row>
    <row r="653" spans="1:9" ht="12.75" customHeight="1">
      <c r="B653" s="485" t="s">
        <v>2768</v>
      </c>
      <c r="C653" s="487"/>
      <c r="D653" s="1307" t="s">
        <v>1281</v>
      </c>
      <c r="E653" s="1307"/>
      <c r="F653" s="1307"/>
      <c r="I653" s="490"/>
    </row>
    <row r="654" spans="1:9">
      <c r="D654" s="1307"/>
      <c r="E654" s="1307"/>
      <c r="F654" s="1307"/>
      <c r="I654" s="490"/>
    </row>
    <row r="655" spans="1:9">
      <c r="D655" s="1307"/>
      <c r="E655" s="1307"/>
      <c r="F655" s="1307"/>
      <c r="I655" s="490"/>
    </row>
    <row r="656" spans="1:9">
      <c r="D656" s="1307"/>
      <c r="E656" s="1307"/>
      <c r="F656" s="1307"/>
      <c r="I656" s="490"/>
    </row>
    <row r="657" spans="1:9" ht="14.45" customHeight="1">
      <c r="A657" s="484"/>
      <c r="B657" s="484"/>
      <c r="C657" s="487"/>
      <c r="D657" s="385"/>
      <c r="E657" s="385"/>
      <c r="F657" s="385"/>
      <c r="I657" s="490"/>
    </row>
    <row r="658" spans="1:9" ht="12.75" customHeight="1">
      <c r="A658" s="483"/>
      <c r="B658" s="485" t="s">
        <v>2768</v>
      </c>
      <c r="C658" s="487"/>
      <c r="D658" s="1307" t="s">
        <v>1283</v>
      </c>
      <c r="E658" s="1307"/>
      <c r="F658" s="1307"/>
      <c r="I658" s="490"/>
    </row>
    <row r="659" spans="1:9" ht="14.25">
      <c r="A659" s="483"/>
      <c r="B659" s="484"/>
      <c r="C659" s="487"/>
      <c r="D659" s="1307"/>
      <c r="E659" s="1307"/>
      <c r="F659" s="1307"/>
      <c r="I659" s="490"/>
    </row>
    <row r="660" spans="1:9" ht="14.25">
      <c r="A660" s="483"/>
      <c r="B660" s="484"/>
      <c r="C660" s="487"/>
      <c r="D660" s="1307"/>
      <c r="E660" s="1307"/>
      <c r="F660" s="1307"/>
      <c r="I660" s="490"/>
    </row>
    <row r="661" spans="1:9" ht="14.25">
      <c r="A661" s="483"/>
      <c r="B661" s="484"/>
      <c r="C661" s="487"/>
      <c r="D661" s="1307"/>
      <c r="E661" s="1307"/>
      <c r="F661" s="1307"/>
      <c r="I661" s="490"/>
    </row>
    <row r="662" spans="1:9" ht="14.25">
      <c r="A662" s="483"/>
      <c r="B662" s="484"/>
      <c r="C662" s="487"/>
      <c r="D662" s="1307"/>
      <c r="E662" s="1307"/>
      <c r="F662" s="1307"/>
      <c r="I662" s="490"/>
    </row>
    <row r="663" spans="1:9" ht="14.25" customHeight="1">
      <c r="A663" s="483"/>
      <c r="B663" s="484"/>
      <c r="C663" s="487"/>
      <c r="F663" s="386"/>
      <c r="I663" s="490"/>
    </row>
    <row r="664" spans="1:9" ht="12.75" customHeight="1">
      <c r="A664" s="483"/>
      <c r="B664" s="485" t="s">
        <v>2768</v>
      </c>
      <c r="C664" s="487"/>
      <c r="D664" s="1307" t="s">
        <v>1282</v>
      </c>
      <c r="E664" s="1307"/>
      <c r="F664" s="1307"/>
      <c r="I664" s="490"/>
    </row>
    <row r="665" spans="1:9" ht="14.25">
      <c r="A665" s="483"/>
      <c r="B665" s="484"/>
      <c r="C665" s="487"/>
      <c r="D665" s="1307"/>
      <c r="E665" s="1307"/>
      <c r="F665" s="1307"/>
      <c r="I665" s="490"/>
    </row>
    <row r="666" spans="1:9" ht="14.25">
      <c r="A666" s="484"/>
      <c r="B666" s="484"/>
      <c r="C666" s="487"/>
      <c r="D666" s="1307"/>
      <c r="E666" s="1307"/>
      <c r="F666" s="1307"/>
      <c r="I666" s="490"/>
    </row>
    <row r="667" spans="1:9" ht="14.25">
      <c r="A667" s="484"/>
      <c r="B667" s="484"/>
      <c r="C667" s="487"/>
      <c r="D667" s="1307"/>
      <c r="E667" s="1307"/>
      <c r="F667" s="1307"/>
      <c r="I667" s="490"/>
    </row>
    <row r="668" spans="1:9" ht="14.25">
      <c r="A668" s="484"/>
      <c r="B668" s="484"/>
      <c r="C668" s="487"/>
      <c r="D668" s="445"/>
      <c r="E668" s="445"/>
      <c r="F668" s="445"/>
      <c r="I668" s="490"/>
    </row>
    <row r="669" spans="1:9" ht="12.75" customHeight="1">
      <c r="A669" s="483"/>
      <c r="B669" s="485" t="s">
        <v>2770</v>
      </c>
      <c r="C669" s="487"/>
      <c r="D669" s="1307" t="s">
        <v>2067</v>
      </c>
      <c r="E669" s="1307"/>
      <c r="F669" s="1307"/>
      <c r="I669" s="490"/>
    </row>
    <row r="670" spans="1:9" ht="12.75" customHeight="1">
      <c r="A670" s="483"/>
      <c r="B670" s="484"/>
      <c r="C670" s="487"/>
      <c r="D670" s="1307"/>
      <c r="E670" s="1307"/>
      <c r="F670" s="1307"/>
      <c r="I670" s="490"/>
    </row>
    <row r="671" spans="1:9" ht="12.75" customHeight="1">
      <c r="A671" s="483"/>
      <c r="B671" s="484"/>
      <c r="C671" s="487"/>
      <c r="D671" s="1307"/>
      <c r="E671" s="1307"/>
      <c r="F671" s="1307"/>
      <c r="I671" s="490"/>
    </row>
    <row r="672" spans="1:9" ht="12.75" customHeight="1">
      <c r="A672" s="483"/>
      <c r="B672" s="484"/>
      <c r="C672" s="487"/>
      <c r="D672" s="1307"/>
      <c r="E672" s="1307"/>
      <c r="F672" s="1307"/>
      <c r="I672" s="490"/>
    </row>
    <row r="673" spans="1:11" ht="12.75" customHeight="1">
      <c r="A673" s="483"/>
      <c r="B673" s="484"/>
      <c r="C673" s="487"/>
      <c r="D673" s="1307"/>
      <c r="E673" s="1307"/>
      <c r="F673" s="1307"/>
      <c r="I673" s="490"/>
    </row>
    <row r="674" spans="1:11" ht="12.75" customHeight="1">
      <c r="A674" s="483"/>
      <c r="B674" s="484"/>
      <c r="C674" s="487"/>
      <c r="D674" s="1307"/>
      <c r="E674" s="1307"/>
      <c r="F674" s="1307"/>
      <c r="I674" s="490"/>
    </row>
    <row r="675" spans="1:11" ht="12.75" customHeight="1">
      <c r="A675" s="483"/>
      <c r="B675" s="484"/>
      <c r="C675" s="487"/>
      <c r="D675" s="1307"/>
      <c r="E675" s="1307"/>
      <c r="F675" s="1307"/>
      <c r="I675" s="490"/>
    </row>
    <row r="676" spans="1:11" ht="12.75" customHeight="1">
      <c r="A676" s="483"/>
      <c r="B676" s="484"/>
      <c r="C676" s="487"/>
      <c r="D676" s="1307"/>
      <c r="E676" s="1307"/>
      <c r="F676" s="1307"/>
      <c r="I676" s="490"/>
    </row>
    <row r="677" spans="1:11" ht="12.75" customHeight="1">
      <c r="A677" s="483"/>
      <c r="B677" s="484"/>
      <c r="C677" s="487"/>
      <c r="D677" s="1307"/>
      <c r="E677" s="1307"/>
      <c r="F677" s="1307"/>
      <c r="I677" s="490"/>
    </row>
    <row r="678" spans="1:11">
      <c r="A678" s="487"/>
      <c r="B678" s="487"/>
      <c r="C678" s="487"/>
      <c r="D678" s="446"/>
      <c r="E678" s="446"/>
      <c r="F678" s="446"/>
      <c r="I678" s="490"/>
    </row>
    <row r="679" spans="1:11">
      <c r="A679" s="1314" t="s">
        <v>1059</v>
      </c>
      <c r="B679" s="1314"/>
      <c r="C679" s="1314"/>
      <c r="D679" s="1314"/>
      <c r="E679" s="1314"/>
      <c r="F679" s="1314"/>
      <c r="G679" s="1314"/>
      <c r="H679" s="1030"/>
      <c r="I679" s="1157"/>
      <c r="J679" s="501"/>
      <c r="K679" s="501"/>
    </row>
    <row r="680" spans="1:11">
      <c r="A680" s="448"/>
      <c r="B680" s="448"/>
      <c r="C680" s="448"/>
      <c r="D680" s="448"/>
      <c r="E680" s="448"/>
      <c r="F680" s="448"/>
      <c r="G680" s="448"/>
      <c r="H680" s="501"/>
      <c r="I680" s="483"/>
      <c r="J680" s="501"/>
      <c r="K680" s="501"/>
    </row>
    <row r="681" spans="1:11">
      <c r="C681" s="482"/>
      <c r="D681" s="1315" t="s">
        <v>99</v>
      </c>
      <c r="E681" s="1315"/>
      <c r="F681" s="1315"/>
      <c r="H681" s="501"/>
      <c r="I681" s="483"/>
      <c r="J681" s="501"/>
      <c r="K681" s="501"/>
    </row>
    <row r="682" spans="1:11">
      <c r="A682" s="482"/>
      <c r="B682" s="482"/>
      <c r="C682" s="482"/>
      <c r="D682" s="1315" t="s">
        <v>123</v>
      </c>
      <c r="E682" s="1315"/>
      <c r="F682" s="1315"/>
      <c r="H682" s="501"/>
      <c r="I682" s="483"/>
      <c r="J682" s="501"/>
      <c r="K682" s="501"/>
    </row>
    <row r="683" spans="1:11">
      <c r="A683" s="483"/>
      <c r="B683" s="483"/>
      <c r="C683" s="483"/>
      <c r="D683" s="1305" t="s">
        <v>1076</v>
      </c>
      <c r="E683" s="1305"/>
      <c r="F683" s="1305"/>
      <c r="H683" s="501"/>
      <c r="I683" s="483"/>
      <c r="J683" s="501"/>
      <c r="K683" s="501"/>
    </row>
    <row r="684" spans="1:11">
      <c r="A684" s="483"/>
      <c r="B684" s="483"/>
      <c r="C684" s="483"/>
      <c r="H684" s="501"/>
      <c r="I684" s="483"/>
      <c r="J684" s="501"/>
      <c r="K684" s="501"/>
    </row>
    <row r="685" spans="1:11" ht="14.25">
      <c r="A685" s="484"/>
      <c r="B685" s="485" t="s">
        <v>2769</v>
      </c>
      <c r="C685" s="483"/>
      <c r="D685" s="1305" t="s">
        <v>885</v>
      </c>
      <c r="E685" s="1305"/>
      <c r="F685" s="1305"/>
      <c r="H685" s="501"/>
      <c r="I685" s="483"/>
      <c r="J685" s="501"/>
      <c r="K685" s="501"/>
    </row>
    <row r="686" spans="1:11">
      <c r="A686" s="483"/>
      <c r="B686" s="483"/>
      <c r="C686" s="483"/>
      <c r="D686" s="1305" t="s">
        <v>894</v>
      </c>
      <c r="E686" s="1305"/>
      <c r="F686" s="1305"/>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2770</v>
      </c>
      <c r="C690" s="483"/>
      <c r="D690" s="1307" t="s">
        <v>2068</v>
      </c>
      <c r="E690" s="1307"/>
      <c r="F690" s="1307"/>
      <c r="H690" s="501"/>
      <c r="I690" s="483"/>
      <c r="J690" s="501"/>
      <c r="K690" s="501"/>
    </row>
    <row r="691" spans="1:11">
      <c r="A691" s="490"/>
      <c r="B691" s="490"/>
      <c r="C691" s="483"/>
      <c r="D691" s="1307"/>
      <c r="E691" s="1307"/>
      <c r="F691" s="1307"/>
      <c r="H691" s="501"/>
      <c r="I691" s="483"/>
      <c r="J691" s="501"/>
      <c r="K691" s="501"/>
    </row>
    <row r="692" spans="1:11">
      <c r="A692" s="483"/>
      <c r="B692" s="483"/>
      <c r="C692" s="483"/>
      <c r="D692" s="1307"/>
      <c r="E692" s="1307"/>
      <c r="F692" s="1307"/>
      <c r="H692" s="501"/>
      <c r="I692" s="483"/>
      <c r="J692" s="501"/>
      <c r="K692" s="501"/>
    </row>
    <row r="693" spans="1:11">
      <c r="A693" s="483"/>
      <c r="B693" s="483"/>
      <c r="C693" s="483"/>
      <c r="H693" s="501"/>
      <c r="J693" s="501"/>
      <c r="K693" s="501"/>
    </row>
    <row r="694" spans="1:11" ht="14.25">
      <c r="A694" s="484"/>
      <c r="B694" s="485" t="s">
        <v>2768</v>
      </c>
      <c r="C694" s="483"/>
      <c r="D694" s="1305" t="s">
        <v>917</v>
      </c>
      <c r="E694" s="1305"/>
      <c r="F694" s="1305"/>
      <c r="H694" s="501"/>
      <c r="I694" s="483"/>
      <c r="J694" s="501"/>
      <c r="K694" s="501"/>
    </row>
    <row r="695" spans="1:11" ht="14.25">
      <c r="A695" s="484"/>
      <c r="B695" s="484"/>
      <c r="C695" s="483"/>
      <c r="D695" s="1305" t="s">
        <v>894</v>
      </c>
      <c r="E695" s="1305"/>
      <c r="F695" s="1305"/>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2770</v>
      </c>
      <c r="C698" s="483"/>
      <c r="D698" s="1305" t="s">
        <v>2470</v>
      </c>
      <c r="E698" s="1305"/>
      <c r="F698" s="1305"/>
      <c r="H698" s="501"/>
      <c r="I698" s="483"/>
      <c r="J698" s="501"/>
      <c r="K698" s="501"/>
    </row>
    <row r="699" spans="1:11" ht="14.25">
      <c r="A699" s="484"/>
      <c r="B699" s="484"/>
      <c r="C699" s="483"/>
      <c r="D699" s="1305" t="s">
        <v>894</v>
      </c>
      <c r="E699" s="1305"/>
      <c r="F699" s="1305"/>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2768</v>
      </c>
      <c r="C702" s="483"/>
      <c r="D702" s="1307" t="s">
        <v>2245</v>
      </c>
      <c r="E702" s="1307"/>
      <c r="F702" s="1307"/>
      <c r="H702" s="501"/>
      <c r="I702" s="483"/>
      <c r="J702" s="501"/>
      <c r="K702" s="501"/>
    </row>
    <row r="703" spans="1:11">
      <c r="A703" s="483"/>
      <c r="B703" s="483"/>
      <c r="C703" s="483"/>
      <c r="D703" s="1307"/>
      <c r="E703" s="1307"/>
      <c r="F703" s="1307"/>
      <c r="H703" s="501"/>
      <c r="I703" s="483"/>
      <c r="J703" s="501"/>
      <c r="K703" s="501"/>
    </row>
    <row r="704" spans="1:11">
      <c r="A704" s="483"/>
      <c r="B704" s="483"/>
      <c r="C704" s="483"/>
      <c r="D704" s="1307"/>
      <c r="E704" s="1307"/>
      <c r="F704" s="1307"/>
      <c r="H704" s="501"/>
      <c r="I704" s="483"/>
      <c r="J704" s="501"/>
      <c r="K704" s="501"/>
    </row>
    <row r="705" spans="1:11">
      <c r="A705" s="483"/>
      <c r="B705" s="483"/>
      <c r="C705" s="483"/>
      <c r="D705" s="1307"/>
      <c r="E705" s="1307"/>
      <c r="F705" s="1307"/>
      <c r="H705" s="501"/>
      <c r="I705" s="483"/>
      <c r="J705" s="501"/>
      <c r="K705" s="501"/>
    </row>
    <row r="706" spans="1:11">
      <c r="A706" s="483"/>
      <c r="B706" s="483"/>
      <c r="C706" s="483"/>
      <c r="D706" s="1307"/>
      <c r="E706" s="1307"/>
      <c r="F706" s="1307"/>
      <c r="H706" s="501"/>
      <c r="I706" s="483"/>
      <c r="J706" s="501"/>
      <c r="K706" s="501"/>
    </row>
    <row r="707" spans="1:11">
      <c r="A707" s="483"/>
      <c r="B707" s="483"/>
      <c r="C707" s="483"/>
      <c r="D707" s="1307"/>
      <c r="E707" s="1307"/>
      <c r="F707" s="1307"/>
      <c r="H707" s="501"/>
      <c r="I707" s="483"/>
      <c r="J707" s="501"/>
      <c r="K707" s="501"/>
    </row>
    <row r="708" spans="1:11">
      <c r="A708" s="483"/>
      <c r="B708" s="483"/>
      <c r="C708" s="483"/>
      <c r="D708" s="445"/>
      <c r="E708" s="445"/>
      <c r="F708" s="445"/>
      <c r="H708" s="501"/>
      <c r="I708" s="483"/>
      <c r="J708" s="501"/>
      <c r="K708" s="501"/>
    </row>
    <row r="709" spans="1:11">
      <c r="A709" s="483"/>
      <c r="B709" s="485" t="s">
        <v>2768</v>
      </c>
      <c r="C709" s="483"/>
      <c r="D709" s="1307" t="s">
        <v>1201</v>
      </c>
      <c r="E709" s="1307"/>
      <c r="F709" s="1307"/>
      <c r="H709" s="501"/>
      <c r="I709" s="483"/>
      <c r="J709" s="501"/>
      <c r="K709" s="501"/>
    </row>
    <row r="710" spans="1:11">
      <c r="A710" s="483"/>
      <c r="B710" s="483"/>
      <c r="C710" s="483"/>
      <c r="D710" s="1307"/>
      <c r="E710" s="1307"/>
      <c r="F710" s="1307"/>
      <c r="H710" s="501"/>
      <c r="I710" s="483"/>
      <c r="J710" s="501"/>
      <c r="K710" s="501"/>
    </row>
    <row r="711" spans="1:11">
      <c r="A711" s="483"/>
      <c r="B711" s="483"/>
      <c r="C711" s="483"/>
      <c r="D711" s="445"/>
      <c r="E711" s="445"/>
      <c r="F711" s="445"/>
      <c r="H711" s="501"/>
      <c r="I711" s="483"/>
      <c r="J711" s="501"/>
      <c r="K711" s="501"/>
    </row>
    <row r="712" spans="1:11" ht="14.25">
      <c r="A712" s="484"/>
      <c r="B712" s="485" t="s">
        <v>2770</v>
      </c>
      <c r="C712" s="483"/>
      <c r="D712" s="1307" t="s">
        <v>1077</v>
      </c>
      <c r="E712" s="1307"/>
      <c r="F712" s="1307"/>
      <c r="H712" s="501"/>
      <c r="I712" s="483"/>
      <c r="J712" s="501"/>
      <c r="K712" s="501"/>
    </row>
    <row r="713" spans="1:11">
      <c r="A713" s="483"/>
      <c r="B713" s="483"/>
      <c r="C713" s="483"/>
      <c r="D713" s="1307"/>
      <c r="E713" s="1307"/>
      <c r="F713" s="1307"/>
      <c r="H713" s="501"/>
      <c r="I713" s="483"/>
      <c r="J713" s="501"/>
      <c r="K713" s="501"/>
    </row>
    <row r="714" spans="1:11">
      <c r="A714" s="483"/>
      <c r="B714" s="483"/>
      <c r="C714" s="483"/>
      <c r="D714" s="1307"/>
      <c r="E714" s="1307"/>
      <c r="F714" s="1307"/>
      <c r="H714" s="501"/>
      <c r="I714" s="483"/>
      <c r="J714" s="501"/>
      <c r="K714" s="501"/>
    </row>
    <row r="715" spans="1:11" ht="15" customHeight="1">
      <c r="A715" s="483"/>
      <c r="B715" s="483"/>
      <c r="C715" s="483"/>
      <c r="D715" s="1307"/>
      <c r="E715" s="1307"/>
      <c r="F715" s="1307"/>
      <c r="H715" s="501"/>
      <c r="I715" s="483"/>
      <c r="J715" s="501"/>
      <c r="K715" s="501"/>
    </row>
    <row r="716" spans="1:11" ht="15" customHeight="1">
      <c r="A716" s="483"/>
      <c r="B716" s="483"/>
      <c r="C716" s="483"/>
      <c r="D716" s="1307"/>
      <c r="E716" s="1307"/>
      <c r="F716" s="1307"/>
      <c r="H716" s="501"/>
      <c r="I716" s="483"/>
      <c r="J716" s="501"/>
      <c r="K716" s="501"/>
    </row>
    <row r="717" spans="1:11">
      <c r="A717" s="483"/>
      <c r="B717" s="483"/>
      <c r="C717" s="483"/>
      <c r="D717" s="1307"/>
      <c r="E717" s="1307"/>
      <c r="F717" s="1307"/>
      <c r="H717" s="501"/>
      <c r="I717" s="483"/>
      <c r="J717" s="501"/>
      <c r="K717" s="501"/>
    </row>
    <row r="718" spans="1:11">
      <c r="A718" s="483"/>
      <c r="B718" s="483"/>
      <c r="C718" s="483"/>
      <c r="D718" s="1307"/>
      <c r="E718" s="1307"/>
      <c r="F718" s="1307"/>
      <c r="H718" s="501"/>
      <c r="I718" s="483"/>
      <c r="J718" s="501"/>
      <c r="K718" s="501"/>
    </row>
    <row r="719" spans="1:11">
      <c r="A719" s="483"/>
      <c r="B719" s="483"/>
      <c r="C719" s="483"/>
      <c r="D719" s="1307"/>
      <c r="E719" s="1307"/>
      <c r="F719" s="1307"/>
      <c r="H719" s="501"/>
      <c r="I719" s="483"/>
      <c r="J719" s="501"/>
      <c r="K719" s="501"/>
    </row>
    <row r="720" spans="1:11" ht="15" customHeight="1">
      <c r="A720" s="483"/>
      <c r="B720" s="483"/>
      <c r="C720" s="483"/>
      <c r="D720" s="1307"/>
      <c r="E720" s="1307"/>
      <c r="F720" s="1307"/>
      <c r="H720" s="501"/>
      <c r="I720" s="483"/>
      <c r="J720" s="501"/>
      <c r="K720" s="501"/>
    </row>
    <row r="721" spans="1:11">
      <c r="A721" s="483"/>
      <c r="B721" s="483"/>
      <c r="C721" s="483"/>
      <c r="D721" s="1307"/>
      <c r="E721" s="1307"/>
      <c r="F721" s="1307"/>
      <c r="H721" s="501"/>
      <c r="I721" s="483"/>
      <c r="J721" s="501"/>
      <c r="K721" s="501"/>
    </row>
    <row r="722" spans="1:11">
      <c r="A722" s="483"/>
      <c r="B722" s="483"/>
      <c r="C722" s="483"/>
      <c r="D722" s="1307"/>
      <c r="E722" s="1307"/>
      <c r="F722" s="1307"/>
      <c r="H722" s="501"/>
      <c r="I722" s="483"/>
      <c r="J722" s="501"/>
      <c r="K722" s="501"/>
    </row>
    <row r="723" spans="1:11">
      <c r="A723" s="483"/>
      <c r="B723" s="483"/>
      <c r="C723" s="483"/>
      <c r="D723" s="1307"/>
      <c r="E723" s="1307"/>
      <c r="F723" s="1307"/>
      <c r="H723" s="501"/>
      <c r="I723" s="483"/>
      <c r="J723" s="501"/>
      <c r="K723" s="501"/>
    </row>
    <row r="724" spans="1:11">
      <c r="A724" s="483"/>
      <c r="B724" s="483"/>
      <c r="C724" s="483"/>
      <c r="D724" s="1307"/>
      <c r="E724" s="1307"/>
      <c r="F724" s="1307"/>
      <c r="H724" s="501"/>
      <c r="I724" s="483"/>
      <c r="J724" s="501"/>
      <c r="K724" s="501"/>
    </row>
    <row r="725" spans="1:11">
      <c r="A725" s="483"/>
      <c r="B725" s="485" t="s">
        <v>2770</v>
      </c>
      <c r="C725" s="483"/>
      <c r="D725" s="1307" t="s">
        <v>2463</v>
      </c>
      <c r="E725" s="1307"/>
      <c r="F725" s="1307"/>
      <c r="H725" s="501"/>
      <c r="I725" s="483"/>
      <c r="J725" s="501"/>
      <c r="K725" s="501"/>
    </row>
    <row r="726" spans="1:11">
      <c r="A726" s="483"/>
      <c r="B726" s="483"/>
      <c r="C726" s="483"/>
      <c r="D726" s="1307"/>
      <c r="E726" s="1307"/>
      <c r="F726" s="1307"/>
      <c r="H726" s="501"/>
      <c r="I726" s="483"/>
      <c r="J726" s="501"/>
      <c r="K726" s="501"/>
    </row>
    <row r="727" spans="1:11">
      <c r="A727" s="483"/>
      <c r="B727" s="483"/>
      <c r="C727" s="483"/>
      <c r="D727" s="1307"/>
      <c r="E727" s="1307"/>
      <c r="F727" s="1307"/>
      <c r="H727" s="501"/>
      <c r="I727" s="483"/>
      <c r="J727" s="501"/>
      <c r="K727" s="501"/>
    </row>
    <row r="728" spans="1:11">
      <c r="A728" s="483"/>
      <c r="B728" s="483"/>
      <c r="C728" s="483"/>
      <c r="D728" s="445"/>
      <c r="E728" s="445"/>
      <c r="F728" s="445"/>
      <c r="H728" s="501"/>
      <c r="I728" s="483"/>
      <c r="J728" s="501"/>
      <c r="K728" s="501"/>
    </row>
    <row r="729" spans="1:11">
      <c r="A729" s="483"/>
      <c r="B729" s="485" t="s">
        <v>2770</v>
      </c>
      <c r="C729" s="483"/>
      <c r="D729" s="1307" t="s">
        <v>2462</v>
      </c>
      <c r="E729" s="1307"/>
      <c r="F729" s="1307"/>
      <c r="H729" s="501"/>
      <c r="I729" s="483"/>
      <c r="J729" s="501"/>
      <c r="K729" s="501"/>
    </row>
    <row r="730" spans="1:11">
      <c r="A730" s="483"/>
      <c r="B730" s="483"/>
      <c r="C730" s="483"/>
      <c r="D730" s="1307"/>
      <c r="E730" s="1307"/>
      <c r="F730" s="1307"/>
      <c r="H730" s="501"/>
      <c r="I730" s="483"/>
      <c r="J730" s="501"/>
      <c r="K730" s="501"/>
    </row>
    <row r="731" spans="1:11">
      <c r="A731" s="483"/>
      <c r="B731" s="483"/>
      <c r="C731" s="483"/>
      <c r="D731" s="1307"/>
      <c r="E731" s="1307"/>
      <c r="F731" s="1307"/>
      <c r="H731" s="501"/>
      <c r="I731" s="483"/>
      <c r="J731" s="501"/>
      <c r="K731" s="501"/>
    </row>
    <row r="732" spans="1:11">
      <c r="A732" s="483"/>
      <c r="B732" s="483"/>
      <c r="C732" s="483"/>
      <c r="H732" s="501"/>
      <c r="I732" s="483"/>
      <c r="J732" s="501"/>
      <c r="K732" s="501"/>
    </row>
    <row r="733" spans="1:11">
      <c r="A733" s="483"/>
      <c r="B733" s="485" t="s">
        <v>2770</v>
      </c>
      <c r="C733" s="483"/>
      <c r="D733" s="1307" t="s">
        <v>2461</v>
      </c>
      <c r="E733" s="1307"/>
      <c r="F733" s="1307"/>
      <c r="H733" s="501"/>
      <c r="I733" s="483"/>
      <c r="J733" s="501"/>
      <c r="K733" s="501"/>
    </row>
    <row r="734" spans="1:11">
      <c r="A734" s="483"/>
      <c r="B734" s="483"/>
      <c r="C734" s="483"/>
      <c r="D734" s="1307"/>
      <c r="E734" s="1307"/>
      <c r="F734" s="1307"/>
      <c r="H734" s="501"/>
      <c r="I734" s="483"/>
      <c r="J734" s="501"/>
      <c r="K734" s="501"/>
    </row>
    <row r="735" spans="1:11">
      <c r="A735" s="483"/>
      <c r="B735" s="483"/>
      <c r="C735" s="483"/>
      <c r="D735" s="1307"/>
      <c r="E735" s="1307"/>
      <c r="F735" s="1307"/>
      <c r="H735" s="501"/>
      <c r="I735" s="483"/>
      <c r="J735" s="501"/>
      <c r="K735" s="501"/>
    </row>
    <row r="736" spans="1:11">
      <c r="A736" s="483"/>
      <c r="B736" s="483"/>
      <c r="C736" s="483"/>
      <c r="D736" s="1307"/>
      <c r="E736" s="1307"/>
      <c r="F736" s="1307"/>
      <c r="H736" s="501"/>
      <c r="I736" s="483"/>
      <c r="J736" s="501"/>
      <c r="K736" s="501"/>
    </row>
    <row r="737" spans="1:11">
      <c r="A737" s="483"/>
      <c r="B737" s="483"/>
      <c r="C737" s="483"/>
      <c r="H737" s="501"/>
      <c r="I737" s="483"/>
      <c r="J737" s="501"/>
      <c r="K737" s="501"/>
    </row>
    <row r="738" spans="1:11" ht="14.25">
      <c r="A738" s="484"/>
      <c r="B738" s="485" t="s">
        <v>2770</v>
      </c>
      <c r="C738" s="483"/>
      <c r="D738" s="1307" t="s">
        <v>1078</v>
      </c>
      <c r="E738" s="1307"/>
      <c r="F738" s="1307"/>
      <c r="H738" s="501"/>
      <c r="I738" s="483"/>
      <c r="J738" s="501"/>
      <c r="K738" s="501"/>
    </row>
    <row r="739" spans="1:11">
      <c r="A739" s="483"/>
      <c r="B739" s="483"/>
      <c r="C739" s="483"/>
      <c r="D739" s="1307"/>
      <c r="E739" s="1307"/>
      <c r="F739" s="1307"/>
      <c r="H739" s="501"/>
      <c r="I739" s="483"/>
      <c r="J739" s="501"/>
      <c r="K739" s="501"/>
    </row>
    <row r="740" spans="1:11">
      <c r="A740" s="483"/>
      <c r="B740" s="483"/>
      <c r="C740" s="483"/>
      <c r="D740" s="1307"/>
      <c r="E740" s="1307"/>
      <c r="F740" s="1307"/>
      <c r="H740" s="501"/>
      <c r="I740" s="483"/>
      <c r="J740" s="501"/>
      <c r="K740" s="501"/>
    </row>
    <row r="741" spans="1:11">
      <c r="A741" s="483"/>
      <c r="B741" s="483"/>
      <c r="C741" s="483"/>
      <c r="D741" s="1307"/>
      <c r="E741" s="1307"/>
      <c r="F741" s="1307"/>
      <c r="H741" s="501"/>
      <c r="I741" s="483"/>
      <c r="J741" s="501"/>
      <c r="K741" s="501"/>
    </row>
    <row r="742" spans="1:11">
      <c r="A742" s="483"/>
      <c r="B742" s="483"/>
      <c r="C742" s="483"/>
      <c r="D742" s="1307"/>
      <c r="E742" s="1307"/>
      <c r="F742" s="1307"/>
      <c r="H742" s="501"/>
      <c r="I742" s="483"/>
      <c r="J742" s="501"/>
      <c r="K742" s="501"/>
    </row>
    <row r="743" spans="1:11">
      <c r="A743" s="483"/>
      <c r="B743" s="483"/>
      <c r="C743" s="483"/>
      <c r="D743" s="492"/>
      <c r="H743" s="501"/>
      <c r="I743" s="483"/>
      <c r="J743" s="501"/>
      <c r="K743" s="501"/>
    </row>
    <row r="744" spans="1:11" ht="14.25">
      <c r="A744" s="484"/>
      <c r="B744" s="485" t="s">
        <v>2770</v>
      </c>
      <c r="C744" s="483"/>
      <c r="D744" s="1307" t="s">
        <v>2146</v>
      </c>
      <c r="E744" s="1307"/>
      <c r="F744" s="1307"/>
      <c r="H744" s="501"/>
      <c r="I744" s="483"/>
      <c r="J744" s="501"/>
      <c r="K744" s="501"/>
    </row>
    <row r="745" spans="1:11">
      <c r="A745" s="483"/>
      <c r="B745" s="483"/>
      <c r="C745" s="483"/>
      <c r="D745" s="1307"/>
      <c r="E745" s="1307"/>
      <c r="F745" s="1307"/>
      <c r="H745" s="501"/>
      <c r="I745" s="483"/>
      <c r="J745" s="501"/>
      <c r="K745" s="501"/>
    </row>
    <row r="746" spans="1:11">
      <c r="A746" s="483"/>
      <c r="B746" s="483"/>
      <c r="C746" s="483"/>
      <c r="D746" s="1307"/>
      <c r="E746" s="1307"/>
      <c r="F746" s="1307"/>
      <c r="H746" s="501"/>
      <c r="I746" s="483"/>
      <c r="J746" s="501"/>
      <c r="K746" s="501"/>
    </row>
    <row r="747" spans="1:11">
      <c r="A747" s="483"/>
      <c r="B747" s="483"/>
      <c r="C747" s="483"/>
      <c r="D747" s="1307"/>
      <c r="E747" s="1307"/>
      <c r="F747" s="1307"/>
      <c r="H747" s="501"/>
      <c r="I747" s="483"/>
      <c r="J747" s="501"/>
      <c r="K747" s="501"/>
    </row>
    <row r="748" spans="1:11">
      <c r="A748" s="483"/>
      <c r="B748" s="483"/>
      <c r="C748" s="483"/>
      <c r="D748" s="1307"/>
      <c r="E748" s="1307"/>
      <c r="F748" s="1307"/>
      <c r="H748" s="501"/>
      <c r="I748" s="483"/>
      <c r="J748" s="501"/>
      <c r="K748" s="501"/>
    </row>
    <row r="749" spans="1:11">
      <c r="A749" s="483"/>
      <c r="B749" s="483"/>
      <c r="C749" s="483"/>
      <c r="D749" s="1307"/>
      <c r="E749" s="1307"/>
      <c r="F749" s="1307"/>
      <c r="H749" s="501"/>
      <c r="I749" s="483"/>
      <c r="J749" s="501"/>
      <c r="K749" s="501"/>
    </row>
    <row r="750" spans="1:11">
      <c r="A750" s="483"/>
      <c r="B750" s="483"/>
      <c r="C750" s="483"/>
      <c r="D750" s="1307"/>
      <c r="E750" s="1307"/>
      <c r="F750" s="1307"/>
      <c r="H750" s="501"/>
      <c r="I750" s="483"/>
      <c r="J750" s="501"/>
      <c r="K750" s="501"/>
    </row>
    <row r="751" spans="1:11">
      <c r="A751" s="483"/>
      <c r="B751" s="483"/>
      <c r="C751" s="483"/>
      <c r="D751" s="1308" t="s">
        <v>2075</v>
      </c>
      <c r="E751" s="1308"/>
      <c r="F751" s="1308"/>
      <c r="H751" s="501"/>
      <c r="I751" s="483"/>
      <c r="J751" s="501"/>
      <c r="K751" s="501"/>
    </row>
    <row r="752" spans="1:11">
      <c r="A752" s="483"/>
      <c r="B752" s="483"/>
      <c r="C752" s="483"/>
      <c r="D752" s="341"/>
      <c r="H752" s="501"/>
      <c r="I752" s="483"/>
      <c r="J752" s="501"/>
      <c r="K752" s="501"/>
    </row>
    <row r="753" spans="1:11">
      <c r="A753" s="1306" t="s">
        <v>1060</v>
      </c>
      <c r="B753" s="1306"/>
      <c r="C753" s="1306"/>
      <c r="D753" s="1306"/>
      <c r="E753" s="1306"/>
      <c r="F753" s="1306"/>
      <c r="G753" s="1306"/>
      <c r="H753" s="1030"/>
      <c r="I753" s="1157"/>
      <c r="J753" s="501"/>
      <c r="K753" s="501"/>
    </row>
    <row r="754" spans="1:11">
      <c r="A754" s="483"/>
      <c r="B754" s="483"/>
      <c r="C754" s="483"/>
      <c r="D754" s="492"/>
      <c r="G754" s="501"/>
      <c r="H754" s="501"/>
      <c r="I754" s="483"/>
      <c r="J754" s="501"/>
      <c r="K754" s="501"/>
    </row>
    <row r="755" spans="1:11" ht="13.7" customHeight="1">
      <c r="C755" s="483"/>
      <c r="D755" s="1323" t="s">
        <v>1070</v>
      </c>
      <c r="E755" s="1323"/>
      <c r="F755" s="1323"/>
      <c r="G755" s="501"/>
      <c r="H755" s="501"/>
      <c r="I755" s="483"/>
      <c r="J755" s="501"/>
      <c r="K755" s="501"/>
    </row>
    <row r="756" spans="1:11">
      <c r="A756" s="483"/>
      <c r="B756" s="483"/>
      <c r="C756" s="483"/>
      <c r="D756" s="1309" t="s">
        <v>1071</v>
      </c>
      <c r="E756" s="1309"/>
      <c r="F756" s="1309"/>
      <c r="G756" s="501"/>
      <c r="H756" s="501"/>
      <c r="I756" s="483"/>
      <c r="J756" s="501"/>
      <c r="K756" s="501"/>
    </row>
    <row r="757" spans="1:11">
      <c r="A757" s="483"/>
      <c r="B757" s="483"/>
      <c r="C757" s="483"/>
      <c r="G757" s="501"/>
      <c r="H757" s="501"/>
      <c r="I757" s="483"/>
      <c r="J757" s="501"/>
      <c r="K757" s="501"/>
    </row>
    <row r="758" spans="1:11" ht="14.25">
      <c r="A758" s="484"/>
      <c r="B758" s="485" t="s">
        <v>2768</v>
      </c>
      <c r="D758" s="1307" t="s">
        <v>1072</v>
      </c>
      <c r="E758" s="1307"/>
      <c r="F758" s="1307"/>
      <c r="G758" s="501"/>
      <c r="H758" s="501"/>
      <c r="I758" s="483"/>
      <c r="J758" s="501"/>
      <c r="K758" s="501"/>
    </row>
    <row r="759" spans="1:11" ht="10.5" customHeight="1">
      <c r="D759" s="1307"/>
      <c r="E759" s="1307"/>
      <c r="F759" s="1307"/>
      <c r="G759" s="501"/>
      <c r="H759" s="501"/>
      <c r="I759" s="483"/>
      <c r="J759" s="501"/>
      <c r="K759" s="501"/>
    </row>
    <row r="760" spans="1:11">
      <c r="D760" s="1307"/>
      <c r="E760" s="1307"/>
      <c r="F760" s="1307"/>
      <c r="G760" s="501"/>
      <c r="H760" s="501"/>
      <c r="I760" s="483"/>
      <c r="J760" s="501"/>
      <c r="K760" s="501"/>
    </row>
    <row r="761" spans="1:11">
      <c r="D761" s="1307"/>
      <c r="E761" s="1307"/>
      <c r="F761" s="1307"/>
      <c r="G761" s="501"/>
      <c r="H761" s="501"/>
      <c r="I761" s="483"/>
      <c r="J761" s="501"/>
      <c r="K761" s="501"/>
    </row>
    <row r="762" spans="1:11">
      <c r="D762" s="1307"/>
      <c r="E762" s="1307"/>
      <c r="F762" s="1307"/>
      <c r="G762" s="501"/>
      <c r="H762" s="501"/>
      <c r="I762" s="483"/>
      <c r="J762" s="501"/>
      <c r="K762" s="501"/>
    </row>
    <row r="763" spans="1:11" ht="15.6" customHeight="1">
      <c r="D763" s="1307"/>
      <c r="E763" s="1307"/>
      <c r="F763" s="1307"/>
      <c r="G763" s="501"/>
      <c r="H763" s="501"/>
      <c r="I763" s="483"/>
      <c r="J763" s="501"/>
      <c r="K763" s="501"/>
    </row>
    <row r="764" spans="1:11">
      <c r="D764" s="499"/>
      <c r="E764" s="446"/>
      <c r="F764" s="446"/>
      <c r="G764" s="501"/>
      <c r="H764" s="501"/>
      <c r="I764" s="483"/>
      <c r="J764" s="501"/>
      <c r="K764" s="501"/>
    </row>
    <row r="765" spans="1:11" s="505" customFormat="1" ht="14.25">
      <c r="A765" s="503"/>
      <c r="B765" s="485" t="s">
        <v>2768</v>
      </c>
      <c r="C765" s="504"/>
      <c r="D765" s="1307" t="s">
        <v>1241</v>
      </c>
      <c r="E765" s="1307"/>
      <c r="F765" s="1307"/>
      <c r="I765" s="1158"/>
    </row>
    <row r="766" spans="1:11" s="505" customFormat="1">
      <c r="A766" s="504"/>
      <c r="B766" s="504"/>
      <c r="C766" s="504"/>
      <c r="D766" s="1307"/>
      <c r="E766" s="1307"/>
      <c r="F766" s="1307"/>
      <c r="I766" s="1158"/>
    </row>
    <row r="767" spans="1:11" s="505" customFormat="1">
      <c r="A767" s="504"/>
      <c r="B767" s="504"/>
      <c r="C767" s="504"/>
      <c r="D767" s="1307"/>
      <c r="E767" s="1307"/>
      <c r="F767" s="1307"/>
      <c r="I767" s="1158"/>
    </row>
    <row r="768" spans="1:11" s="505" customFormat="1">
      <c r="A768" s="504"/>
      <c r="B768" s="504"/>
      <c r="C768" s="504"/>
      <c r="D768" s="1307"/>
      <c r="E768" s="1307"/>
      <c r="F768" s="1307"/>
      <c r="I768" s="1158"/>
    </row>
    <row r="769" spans="1:11" s="505" customFormat="1">
      <c r="A769" s="504"/>
      <c r="B769" s="504"/>
      <c r="C769" s="504"/>
      <c r="D769" s="499"/>
      <c r="I769" s="1158"/>
    </row>
    <row r="770" spans="1:11" s="505" customFormat="1" ht="14.25">
      <c r="A770" s="484"/>
      <c r="B770" s="485" t="s">
        <v>2770</v>
      </c>
      <c r="C770" s="504"/>
      <c r="D770" s="1313" t="s">
        <v>1242</v>
      </c>
      <c r="E770" s="1313"/>
      <c r="F770" s="1313"/>
      <c r="I770" s="1158"/>
    </row>
    <row r="771" spans="1:11" s="505" customFormat="1">
      <c r="A771" s="504"/>
      <c r="B771" s="504"/>
      <c r="C771" s="504"/>
      <c r="D771" s="1313"/>
      <c r="E771" s="1313"/>
      <c r="F771" s="1313"/>
      <c r="I771" s="1158"/>
    </row>
    <row r="772" spans="1:11" s="505" customFormat="1">
      <c r="A772" s="504"/>
      <c r="B772" s="504"/>
      <c r="C772" s="504"/>
      <c r="D772" s="1313"/>
      <c r="E772" s="1313"/>
      <c r="F772" s="1313"/>
      <c r="I772" s="1158"/>
    </row>
    <row r="773" spans="1:11">
      <c r="D773" s="499"/>
      <c r="E773" s="446"/>
      <c r="F773" s="446"/>
      <c r="G773" s="501"/>
      <c r="H773" s="501"/>
      <c r="I773" s="483"/>
      <c r="J773" s="501"/>
      <c r="K773" s="501"/>
    </row>
    <row r="774" spans="1:11" ht="14.25">
      <c r="A774" s="484"/>
      <c r="B774" s="485" t="s">
        <v>2770</v>
      </c>
      <c r="D774" s="1307" t="s">
        <v>1198</v>
      </c>
      <c r="E774" s="1307"/>
      <c r="F774" s="1307"/>
      <c r="G774" s="501"/>
      <c r="H774" s="501"/>
      <c r="I774" s="483"/>
      <c r="J774" s="501"/>
      <c r="K774" s="501"/>
    </row>
    <row r="775" spans="1:11">
      <c r="D775" s="1307"/>
      <c r="E775" s="1307"/>
      <c r="F775" s="1307"/>
      <c r="G775" s="501"/>
      <c r="H775" s="501"/>
      <c r="I775" s="483"/>
      <c r="J775" s="501"/>
      <c r="K775" s="501"/>
    </row>
    <row r="776" spans="1:11">
      <c r="D776" s="445"/>
      <c r="E776" s="445"/>
      <c r="F776" s="445"/>
      <c r="G776" s="501"/>
      <c r="H776" s="501"/>
      <c r="I776" s="483"/>
      <c r="J776" s="501"/>
      <c r="K776" s="501"/>
    </row>
    <row r="777" spans="1:11">
      <c r="B777" s="485" t="s">
        <v>2770</v>
      </c>
      <c r="D777" s="1307" t="s">
        <v>1215</v>
      </c>
      <c r="E777" s="1307"/>
      <c r="F777" s="1307"/>
      <c r="G777" s="501"/>
      <c r="H777" s="501"/>
      <c r="I777" s="483"/>
      <c r="J777" s="501"/>
      <c r="K777" s="501"/>
    </row>
    <row r="778" spans="1:11">
      <c r="D778" s="1307"/>
      <c r="E778" s="1307"/>
      <c r="F778" s="1307"/>
      <c r="G778" s="501"/>
      <c r="H778" s="501"/>
      <c r="I778" s="483"/>
      <c r="J778" s="501"/>
      <c r="K778" s="501"/>
    </row>
    <row r="779" spans="1:11">
      <c r="D779" s="1307"/>
      <c r="E779" s="1307"/>
      <c r="F779" s="1307"/>
      <c r="G779" s="501"/>
      <c r="H779" s="501"/>
      <c r="I779" s="483"/>
      <c r="J779" s="501"/>
      <c r="K779" s="501"/>
    </row>
    <row r="780" spans="1:11">
      <c r="D780" s="445"/>
      <c r="E780" s="445"/>
      <c r="F780" s="445"/>
      <c r="G780" s="501"/>
      <c r="H780" s="501"/>
      <c r="I780" s="483"/>
      <c r="J780" s="501"/>
      <c r="K780" s="501"/>
    </row>
    <row r="781" spans="1:11">
      <c r="A781" s="1322" t="s">
        <v>1801</v>
      </c>
      <c r="B781" s="1322"/>
      <c r="C781" s="1322"/>
      <c r="D781" s="1322"/>
      <c r="E781" s="1322"/>
      <c r="F781" s="1322"/>
      <c r="G781" s="1322"/>
      <c r="H781" s="1028"/>
      <c r="I781" s="1153"/>
    </row>
    <row r="782" spans="1:11">
      <c r="A782" s="57"/>
      <c r="B782" s="57"/>
      <c r="C782" s="354"/>
      <c r="D782" s="3"/>
      <c r="E782" s="3"/>
      <c r="F782" s="3"/>
      <c r="G782" s="3"/>
      <c r="I782" s="490"/>
    </row>
    <row r="783" spans="1:11">
      <c r="A783" s="57"/>
      <c r="B783" s="57"/>
      <c r="C783" s="354"/>
      <c r="D783" s="1321" t="s">
        <v>1855</v>
      </c>
      <c r="E783" s="1321"/>
      <c r="F783" s="1321"/>
      <c r="G783" s="3"/>
      <c r="I783" s="490"/>
    </row>
    <row r="784" spans="1:11">
      <c r="A784" s="57"/>
      <c r="B784" s="57"/>
      <c r="C784" s="354"/>
      <c r="D784" s="1324" t="s">
        <v>1755</v>
      </c>
      <c r="E784" s="1324"/>
      <c r="F784" s="1324"/>
      <c r="G784" s="3"/>
      <c r="I784" s="490"/>
    </row>
    <row r="785" spans="1:9">
      <c r="A785" s="57"/>
      <c r="B785" s="57"/>
      <c r="C785" s="354"/>
      <c r="D785" s="447"/>
      <c r="E785" s="447"/>
      <c r="F785" s="447"/>
      <c r="G785" s="3"/>
      <c r="I785" s="490"/>
    </row>
    <row r="786" spans="1:9">
      <c r="A786" s="57"/>
      <c r="B786" s="485" t="s">
        <v>2769</v>
      </c>
      <c r="C786" s="354"/>
      <c r="D786" s="1300" t="s">
        <v>1756</v>
      </c>
      <c r="E786" s="1300"/>
      <c r="F786" s="1300"/>
      <c r="G786" s="3"/>
      <c r="I786" s="483"/>
    </row>
    <row r="787" spans="1:9">
      <c r="A787" s="57"/>
      <c r="B787" s="57"/>
      <c r="C787" s="354"/>
      <c r="D787" s="1300"/>
      <c r="E787" s="1300"/>
      <c r="F787" s="1300"/>
      <c r="G787" s="3"/>
      <c r="I787" s="490"/>
    </row>
    <row r="788" spans="1:9">
      <c r="A788" s="174"/>
      <c r="B788" s="174"/>
      <c r="C788" s="174"/>
      <c r="D788" s="1300"/>
      <c r="E788" s="1300"/>
      <c r="F788" s="1300"/>
      <c r="G788" s="118"/>
      <c r="I788" s="490"/>
    </row>
    <row r="789" spans="1:9">
      <c r="A789" s="354"/>
      <c r="B789" s="354"/>
      <c r="C789" s="354"/>
      <c r="D789" s="173"/>
      <c r="E789" s="3"/>
      <c r="F789" s="3"/>
      <c r="G789" s="3"/>
      <c r="I789" s="490"/>
    </row>
    <row r="790" spans="1:9">
      <c r="A790" s="172"/>
      <c r="B790" s="485" t="s">
        <v>2770</v>
      </c>
      <c r="C790" s="172"/>
      <c r="D790" s="1300" t="s">
        <v>1757</v>
      </c>
      <c r="E790" s="1300"/>
      <c r="F790" s="1300"/>
      <c r="G790" s="3"/>
      <c r="I790" s="483"/>
    </row>
    <row r="791" spans="1:9">
      <c r="A791" s="172"/>
      <c r="B791" s="172"/>
      <c r="C791" s="172"/>
      <c r="D791" s="1300"/>
      <c r="E791" s="1300"/>
      <c r="F791" s="1300"/>
      <c r="G791" s="3"/>
      <c r="I791" s="490"/>
    </row>
    <row r="792" spans="1:9">
      <c r="A792" s="172"/>
      <c r="B792" s="172"/>
      <c r="C792" s="172"/>
      <c r="D792" s="1300"/>
      <c r="E792" s="1300"/>
      <c r="F792" s="1300"/>
      <c r="G792" s="3"/>
      <c r="I792" s="490"/>
    </row>
    <row r="793" spans="1:9">
      <c r="A793" s="174"/>
      <c r="B793" s="174"/>
      <c r="C793" s="174"/>
      <c r="D793" s="3"/>
      <c r="E793" s="988"/>
      <c r="F793" s="988"/>
      <c r="G793" s="988"/>
      <c r="I793" s="490"/>
    </row>
    <row r="794" spans="1:9" ht="14.25">
      <c r="A794" s="175"/>
      <c r="B794" s="485" t="s">
        <v>2770</v>
      </c>
      <c r="C794" s="989"/>
      <c r="D794" s="1300" t="s">
        <v>1758</v>
      </c>
      <c r="E794" s="1300"/>
      <c r="F794" s="1300"/>
      <c r="G794" s="988"/>
      <c r="I794" s="483"/>
    </row>
    <row r="795" spans="1:9" ht="14.25">
      <c r="A795" s="175"/>
      <c r="B795" s="175"/>
      <c r="C795" s="989"/>
      <c r="D795" s="1300"/>
      <c r="E795" s="1300"/>
      <c r="F795" s="1300"/>
      <c r="G795" s="988"/>
      <c r="I795" s="490"/>
    </row>
    <row r="796" spans="1:9" ht="14.25">
      <c r="A796" s="175"/>
      <c r="B796" s="175"/>
      <c r="C796" s="989"/>
      <c r="D796" s="1300"/>
      <c r="E796" s="1300"/>
      <c r="F796" s="1300"/>
      <c r="G796" s="988"/>
      <c r="I796" s="490"/>
    </row>
    <row r="797" spans="1:9" ht="14.25">
      <c r="A797" s="175"/>
      <c r="B797" s="175"/>
      <c r="C797" s="989"/>
      <c r="D797" s="118"/>
      <c r="E797" s="3"/>
      <c r="F797" s="3"/>
      <c r="G797" s="988"/>
      <c r="I797" s="490"/>
    </row>
    <row r="798" spans="1:9" ht="14.25">
      <c r="A798" s="175"/>
      <c r="B798" s="485" t="s">
        <v>2770</v>
      </c>
      <c r="C798" s="989"/>
      <c r="D798" s="1300" t="s">
        <v>1759</v>
      </c>
      <c r="E798" s="1300"/>
      <c r="F798" s="1300"/>
      <c r="G798" s="988"/>
      <c r="I798" s="483"/>
    </row>
    <row r="799" spans="1:9" ht="14.25">
      <c r="A799" s="175"/>
      <c r="B799" s="175"/>
      <c r="C799" s="989"/>
      <c r="D799" s="1300"/>
      <c r="E799" s="1300"/>
      <c r="F799" s="1300"/>
      <c r="G799" s="988"/>
      <c r="I799" s="490"/>
    </row>
    <row r="800" spans="1:9" ht="14.25">
      <c r="A800" s="175"/>
      <c r="B800" s="175"/>
      <c r="C800" s="989"/>
      <c r="D800" s="1300"/>
      <c r="E800" s="1300"/>
      <c r="F800" s="1300"/>
      <c r="G800" s="988"/>
      <c r="I800" s="490"/>
    </row>
    <row r="801" spans="1:9" ht="14.25">
      <c r="A801" s="175"/>
      <c r="B801" s="175"/>
      <c r="C801" s="989"/>
      <c r="D801" s="1300"/>
      <c r="E801" s="1300"/>
      <c r="F801" s="1300"/>
      <c r="G801" s="988"/>
      <c r="I801" s="490"/>
    </row>
    <row r="802" spans="1:9" ht="14.25">
      <c r="A802" s="175"/>
      <c r="B802" s="175"/>
      <c r="C802" s="989"/>
      <c r="D802" s="1300"/>
      <c r="E802" s="1300"/>
      <c r="F802" s="1300"/>
      <c r="G802" s="988"/>
      <c r="I802" s="490"/>
    </row>
    <row r="803" spans="1:9" ht="14.25">
      <c r="A803" s="175"/>
      <c r="B803" s="175"/>
      <c r="C803" s="989"/>
      <c r="D803" s="1300"/>
      <c r="E803" s="1300"/>
      <c r="F803" s="1300"/>
      <c r="G803" s="988"/>
      <c r="I803" s="490"/>
    </row>
    <row r="804" spans="1:9" ht="14.25">
      <c r="A804" s="175"/>
      <c r="B804" s="175"/>
      <c r="C804" s="989"/>
      <c r="D804" s="1300" t="s">
        <v>1802</v>
      </c>
      <c r="E804" s="1300"/>
      <c r="F804" s="1300"/>
      <c r="G804" s="988"/>
      <c r="I804" s="490"/>
    </row>
    <row r="805" spans="1:9" ht="14.25">
      <c r="A805" s="175"/>
      <c r="B805" s="175"/>
      <c r="C805" s="989"/>
      <c r="D805" s="1300"/>
      <c r="E805" s="1300"/>
      <c r="F805" s="1300"/>
      <c r="G805" s="988"/>
      <c r="I805" s="490"/>
    </row>
    <row r="806" spans="1:9" ht="14.25">
      <c r="A806" s="175"/>
      <c r="B806" s="175"/>
      <c r="C806" s="989"/>
      <c r="D806" s="1300"/>
      <c r="E806" s="1300"/>
      <c r="F806" s="1300"/>
      <c r="G806" s="988"/>
      <c r="I806" s="490"/>
    </row>
    <row r="807" spans="1:9" ht="14.25">
      <c r="A807" s="175"/>
      <c r="B807" s="354"/>
      <c r="C807" s="989"/>
      <c r="D807" s="990"/>
      <c r="E807" s="990"/>
      <c r="F807" s="990"/>
      <c r="G807" s="988"/>
      <c r="I807" s="490"/>
    </row>
    <row r="808" spans="1:9" ht="14.25">
      <c r="A808" s="175"/>
      <c r="B808" s="485" t="s">
        <v>2770</v>
      </c>
      <c r="C808" s="989"/>
      <c r="D808" s="1300" t="s">
        <v>1760</v>
      </c>
      <c r="E808" s="1300"/>
      <c r="F808" s="1300"/>
      <c r="G808" s="988"/>
      <c r="I808" s="483"/>
    </row>
    <row r="809" spans="1:9" ht="14.25">
      <c r="A809" s="175"/>
      <c r="B809" s="175"/>
      <c r="C809" s="989"/>
      <c r="D809" s="1300"/>
      <c r="E809" s="1300"/>
      <c r="F809" s="1300"/>
      <c r="G809" s="988"/>
      <c r="I809" s="490"/>
    </row>
    <row r="810" spans="1:9" ht="14.25">
      <c r="A810" s="175"/>
      <c r="B810" s="175"/>
      <c r="C810" s="989"/>
      <c r="D810" s="1300"/>
      <c r="E810" s="1300"/>
      <c r="F810" s="1300"/>
      <c r="G810" s="988"/>
      <c r="I810" s="490"/>
    </row>
    <row r="811" spans="1:9" ht="14.25">
      <c r="A811" s="175"/>
      <c r="B811" s="175"/>
      <c r="C811" s="989"/>
      <c r="D811" s="1300"/>
      <c r="E811" s="1300"/>
      <c r="F811" s="1300"/>
      <c r="G811" s="988"/>
      <c r="I811" s="490"/>
    </row>
    <row r="812" spans="1:9" ht="14.25">
      <c r="A812" s="175"/>
      <c r="B812" s="175"/>
      <c r="C812" s="989"/>
      <c r="D812" s="1300"/>
      <c r="E812" s="1300"/>
      <c r="F812" s="1300"/>
      <c r="G812" s="988"/>
      <c r="I812" s="490"/>
    </row>
    <row r="813" spans="1:9" ht="14.25">
      <c r="A813" s="175"/>
      <c r="B813" s="175"/>
      <c r="C813" s="989"/>
      <c r="D813" s="1300"/>
      <c r="E813" s="1300"/>
      <c r="F813" s="1300"/>
      <c r="G813" s="988"/>
      <c r="I813" s="490"/>
    </row>
    <row r="814" spans="1:9" ht="14.25">
      <c r="A814" s="175"/>
      <c r="B814" s="175"/>
      <c r="C814" s="989"/>
      <c r="D814" s="982"/>
      <c r="E814" s="982"/>
      <c r="F814" s="982"/>
      <c r="G814" s="988"/>
      <c r="I814" s="490"/>
    </row>
    <row r="815" spans="1:9" ht="14.25">
      <c r="A815" s="175"/>
      <c r="B815" s="485" t="s">
        <v>2770</v>
      </c>
      <c r="C815" s="989"/>
      <c r="D815" s="1300" t="s">
        <v>1761</v>
      </c>
      <c r="E815" s="1300"/>
      <c r="F815" s="1300"/>
      <c r="G815" s="988"/>
      <c r="I815" s="483"/>
    </row>
    <row r="816" spans="1:9" ht="14.25">
      <c r="A816" s="175"/>
      <c r="B816" s="175"/>
      <c r="C816" s="989"/>
      <c r="D816" s="1300"/>
      <c r="E816" s="1300"/>
      <c r="F816" s="1300"/>
      <c r="G816" s="988"/>
      <c r="I816" s="490"/>
    </row>
    <row r="817" spans="1:9" ht="14.25">
      <c r="A817" s="175"/>
      <c r="B817" s="175"/>
      <c r="C817" s="989"/>
      <c r="D817" s="1300"/>
      <c r="E817" s="1300"/>
      <c r="F817" s="1300"/>
      <c r="G817" s="988"/>
      <c r="I817" s="490"/>
    </row>
    <row r="818" spans="1:9" ht="14.25">
      <c r="A818" s="175"/>
      <c r="B818" s="175"/>
      <c r="C818" s="989"/>
      <c r="D818" s="1300"/>
      <c r="E818" s="1300"/>
      <c r="F818" s="1300"/>
      <c r="G818" s="988"/>
      <c r="I818" s="490"/>
    </row>
    <row r="819" spans="1:9" ht="14.25">
      <c r="A819" s="175"/>
      <c r="B819" s="175"/>
      <c r="C819" s="989"/>
      <c r="D819" s="1300"/>
      <c r="E819" s="1300"/>
      <c r="F819" s="1300"/>
      <c r="G819" s="988"/>
      <c r="I819" s="490"/>
    </row>
    <row r="820" spans="1:9" ht="14.25">
      <c r="A820" s="175"/>
      <c r="B820" s="175"/>
      <c r="C820" s="989"/>
      <c r="D820" s="1300"/>
      <c r="E820" s="1300"/>
      <c r="F820" s="1300"/>
      <c r="G820" s="988"/>
      <c r="I820" s="490"/>
    </row>
    <row r="821" spans="1:9" ht="14.25">
      <c r="A821" s="175"/>
      <c r="B821" s="175"/>
      <c r="C821" s="989"/>
      <c r="D821" s="982"/>
      <c r="E821" s="982"/>
      <c r="F821" s="982"/>
      <c r="G821" s="988"/>
      <c r="I821" s="490"/>
    </row>
    <row r="822" spans="1:9" ht="14.25">
      <c r="A822" s="175"/>
      <c r="B822" s="485" t="s">
        <v>2770</v>
      </c>
      <c r="C822" s="989"/>
      <c r="D822" s="1295" t="s">
        <v>1762</v>
      </c>
      <c r="E822" s="1295"/>
      <c r="F822" s="1295"/>
      <c r="G822" s="988"/>
      <c r="I822" s="483"/>
    </row>
    <row r="823" spans="1:9" ht="14.25">
      <c r="A823" s="175"/>
      <c r="B823" s="175"/>
      <c r="C823" s="989"/>
      <c r="D823" s="1295"/>
      <c r="E823" s="1295"/>
      <c r="F823" s="1295"/>
      <c r="G823" s="988"/>
      <c r="I823" s="490"/>
    </row>
    <row r="824" spans="1:9">
      <c r="A824" s="13"/>
      <c r="B824" s="13"/>
      <c r="C824" s="989"/>
      <c r="D824" s="1295"/>
      <c r="E824" s="1295"/>
      <c r="F824" s="1295"/>
      <c r="G824" s="988"/>
      <c r="I824" s="490"/>
    </row>
    <row r="825" spans="1:9" ht="14.25">
      <c r="A825" s="175"/>
      <c r="B825" s="13"/>
      <c r="C825" s="989"/>
      <c r="D825" s="1295"/>
      <c r="E825" s="1295"/>
      <c r="F825" s="1295"/>
      <c r="G825" s="988"/>
      <c r="I825" s="490"/>
    </row>
    <row r="826" spans="1:9" ht="12.75" customHeight="1">
      <c r="A826" s="175"/>
      <c r="B826" s="13"/>
      <c r="C826" s="989"/>
      <c r="D826" s="1295"/>
      <c r="E826" s="1295"/>
      <c r="F826" s="1295"/>
      <c r="G826" s="988"/>
      <c r="I826" s="490"/>
    </row>
    <row r="827" spans="1:9" ht="12.75" customHeight="1">
      <c r="A827" s="175"/>
      <c r="B827" s="13"/>
      <c r="C827" s="989"/>
      <c r="D827" s="1295"/>
      <c r="E827" s="1295"/>
      <c r="F827" s="1295"/>
      <c r="G827" s="988"/>
      <c r="I827" s="490"/>
    </row>
    <row r="828" spans="1:9" ht="12.75" customHeight="1">
      <c r="A828" s="13"/>
      <c r="B828" s="13"/>
      <c r="C828" s="989"/>
      <c r="D828" s="988"/>
      <c r="E828" s="3"/>
      <c r="F828" s="3"/>
      <c r="G828" s="988"/>
      <c r="I828" s="490"/>
    </row>
    <row r="829" spans="1:9" ht="12.75" customHeight="1">
      <c r="A829" s="1291" t="s">
        <v>1763</v>
      </c>
      <c r="B829" s="1291"/>
      <c r="C829" s="1291"/>
      <c r="D829" s="1291"/>
      <c r="E829" s="1291"/>
      <c r="F829" s="1291"/>
      <c r="G829" s="1291"/>
      <c r="H829" s="1028"/>
      <c r="I829" s="1153"/>
    </row>
    <row r="830" spans="1:9" ht="12.75" customHeight="1">
      <c r="A830" s="172"/>
      <c r="B830" s="172"/>
      <c r="C830" s="989"/>
      <c r="D830" s="988"/>
      <c r="E830" s="988"/>
      <c r="F830" s="988"/>
      <c r="G830" s="988"/>
      <c r="I830" s="490"/>
    </row>
    <row r="831" spans="1:9" ht="12.75" customHeight="1">
      <c r="A831" s="175"/>
      <c r="B831" s="175"/>
      <c r="C831" s="354"/>
      <c r="D831" s="1311" t="s">
        <v>1803</v>
      </c>
      <c r="E831" s="1311"/>
      <c r="F831" s="1311"/>
      <c r="G831" s="3"/>
      <c r="I831" s="490"/>
    </row>
    <row r="832" spans="1:9" ht="14.25" customHeight="1">
      <c r="A832" s="175"/>
      <c r="B832" s="175"/>
      <c r="C832" s="354"/>
      <c r="D832" s="1268" t="s">
        <v>1764</v>
      </c>
      <c r="E832" s="1268"/>
      <c r="F832" s="1268"/>
      <c r="G832" s="3"/>
      <c r="I832" s="490"/>
    </row>
    <row r="833" spans="1:9" ht="12.75" customHeight="1">
      <c r="A833" s="175"/>
      <c r="B833" s="175"/>
      <c r="C833" s="354"/>
      <c r="D833" s="441"/>
      <c r="E833" s="441"/>
      <c r="F833" s="441"/>
      <c r="G833" s="3"/>
      <c r="I833" s="490"/>
    </row>
    <row r="834" spans="1:9" ht="12.75" customHeight="1">
      <c r="A834" s="354"/>
      <c r="B834" s="485" t="s">
        <v>2768</v>
      </c>
      <c r="C834" s="989"/>
      <c r="D834" s="1268" t="s">
        <v>1765</v>
      </c>
      <c r="E834" s="1268"/>
      <c r="F834" s="1268"/>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2" t="s">
        <v>2076</v>
      </c>
      <c r="E837" s="1312"/>
      <c r="F837" s="1312"/>
      <c r="G837" s="3"/>
      <c r="I837" s="490"/>
    </row>
    <row r="838" spans="1:9" ht="12.75" hidden="1" customHeight="1">
      <c r="A838" s="13"/>
      <c r="B838" s="13"/>
      <c r="C838" s="989"/>
      <c r="D838" s="1312"/>
      <c r="E838" s="1312"/>
      <c r="F838" s="1312"/>
      <c r="G838" s="3"/>
      <c r="I838" s="490"/>
    </row>
    <row r="839" spans="1:9" ht="12.75" hidden="1" customHeight="1">
      <c r="A839" s="13"/>
      <c r="B839" s="13"/>
      <c r="C839" s="989"/>
      <c r="D839" s="1312"/>
      <c r="E839" s="1312"/>
      <c r="F839" s="1312"/>
      <c r="G839" s="3"/>
      <c r="I839" s="490"/>
    </row>
    <row r="840" spans="1:9" ht="12.75" hidden="1" customHeight="1">
      <c r="A840" s="13"/>
      <c r="B840" s="13"/>
      <c r="C840" s="989"/>
      <c r="D840" s="1312"/>
      <c r="E840" s="1312"/>
      <c r="F840" s="1312"/>
      <c r="G840" s="3"/>
      <c r="I840" s="490"/>
    </row>
    <row r="841" spans="1:9" ht="12.75" hidden="1" customHeight="1">
      <c r="A841" s="13"/>
      <c r="B841" s="13"/>
      <c r="C841" s="989"/>
      <c r="D841" s="1312"/>
      <c r="E841" s="1312"/>
      <c r="F841" s="1312"/>
      <c r="G841" s="3"/>
      <c r="I841" s="490"/>
    </row>
    <row r="842" spans="1:9" ht="12.75" hidden="1" customHeight="1">
      <c r="A842" s="13"/>
      <c r="B842" s="13"/>
      <c r="C842" s="989"/>
      <c r="D842" s="1312"/>
      <c r="E842" s="1312"/>
      <c r="F842" s="1312"/>
      <c r="G842" s="3"/>
      <c r="I842" s="490"/>
    </row>
    <row r="843" spans="1:9" ht="12.75" hidden="1" customHeight="1">
      <c r="A843" s="13"/>
      <c r="B843" s="13"/>
      <c r="C843" s="989"/>
      <c r="D843" s="1312"/>
      <c r="E843" s="1312"/>
      <c r="F843" s="1312"/>
      <c r="G843" s="3"/>
      <c r="I843" s="490"/>
    </row>
    <row r="844" spans="1:9" ht="12.75" hidden="1" customHeight="1">
      <c r="A844" s="13"/>
      <c r="B844" s="13"/>
      <c r="C844" s="989"/>
      <c r="D844" s="1312"/>
      <c r="E844" s="1312"/>
      <c r="F844" s="1312"/>
      <c r="G844" s="3"/>
      <c r="I844" s="490"/>
    </row>
    <row r="845" spans="1:9" ht="12.75" hidden="1" customHeight="1">
      <c r="A845" s="13"/>
      <c r="B845" s="13"/>
      <c r="C845" s="989"/>
      <c r="D845" s="1312"/>
      <c r="E845" s="1312"/>
      <c r="F845" s="1312"/>
      <c r="G845" s="3"/>
      <c r="I845" s="490"/>
    </row>
    <row r="846" spans="1:9" ht="12.75" hidden="1" customHeight="1">
      <c r="A846" s="13"/>
      <c r="B846" s="13"/>
      <c r="C846" s="989"/>
      <c r="D846" s="1312"/>
      <c r="E846" s="1312"/>
      <c r="F846" s="1312"/>
      <c r="G846" s="3"/>
      <c r="I846" s="490"/>
    </row>
    <row r="847" spans="1:9" ht="12.75" hidden="1" customHeight="1">
      <c r="A847" s="13"/>
      <c r="B847" s="13"/>
      <c r="C847" s="989"/>
      <c r="D847" s="991"/>
      <c r="E847" s="3"/>
      <c r="F847" s="3"/>
      <c r="G847" s="3"/>
      <c r="I847" s="490"/>
    </row>
    <row r="848" spans="1:9" ht="12.75" customHeight="1">
      <c r="A848" s="175"/>
      <c r="B848" s="485" t="s">
        <v>2769</v>
      </c>
      <c r="C848" s="989"/>
      <c r="D848" s="1268" t="s">
        <v>1766</v>
      </c>
      <c r="E848" s="1268"/>
      <c r="F848" s="1268"/>
      <c r="G848" s="3"/>
      <c r="I848" s="490" t="s">
        <v>1883</v>
      </c>
    </row>
    <row r="849" spans="1:9" ht="12.75" customHeight="1">
      <c r="A849" s="175"/>
      <c r="B849" s="175"/>
      <c r="C849" s="989"/>
      <c r="D849" s="1268"/>
      <c r="E849" s="1268"/>
      <c r="F849" s="1268"/>
      <c r="G849" s="3"/>
      <c r="I849" s="490"/>
    </row>
    <row r="850" spans="1:9" ht="12.75" customHeight="1">
      <c r="A850" s="175"/>
      <c r="B850" s="175"/>
      <c r="C850" s="989"/>
      <c r="D850" s="1268"/>
      <c r="E850" s="1268"/>
      <c r="F850" s="1268"/>
      <c r="G850" s="3"/>
      <c r="I850" s="490"/>
    </row>
    <row r="851" spans="1:9" ht="12.75" customHeight="1">
      <c r="A851" s="175"/>
      <c r="B851" s="175"/>
      <c r="C851" s="989"/>
      <c r="D851" s="118"/>
      <c r="E851" s="3"/>
      <c r="F851" s="3"/>
      <c r="G851" s="3"/>
      <c r="I851" s="490"/>
    </row>
    <row r="852" spans="1:9" ht="12.75" customHeight="1">
      <c r="A852" s="992"/>
      <c r="B852" s="485" t="s">
        <v>2770</v>
      </c>
      <c r="C852" s="989"/>
      <c r="D852" s="1311" t="s">
        <v>1767</v>
      </c>
      <c r="E852" s="1311"/>
      <c r="F852" s="1311"/>
      <c r="G852" s="3"/>
      <c r="I852" s="490"/>
    </row>
    <row r="853" spans="1:9" ht="12.75" customHeight="1">
      <c r="A853" s="354"/>
      <c r="B853" s="992"/>
      <c r="C853" s="989"/>
      <c r="D853" s="1311"/>
      <c r="E853" s="1311"/>
      <c r="F853" s="1311"/>
      <c r="G853" s="3"/>
      <c r="I853" s="490"/>
    </row>
    <row r="854" spans="1:9" ht="12.75" customHeight="1">
      <c r="A854" s="175"/>
      <c r="B854" s="354"/>
      <c r="C854" s="989"/>
      <c r="D854" s="1268" t="s">
        <v>2069</v>
      </c>
      <c r="E854" s="1268"/>
      <c r="F854" s="1268"/>
      <c r="G854" s="3"/>
      <c r="I854" s="490"/>
    </row>
    <row r="855" spans="1:9" ht="12.75" customHeight="1">
      <c r="A855" s="175"/>
      <c r="B855" s="175"/>
      <c r="C855" s="989"/>
      <c r="D855" s="1268"/>
      <c r="E855" s="1268"/>
      <c r="F855" s="1268"/>
      <c r="G855" s="3"/>
      <c r="I855" s="490"/>
    </row>
    <row r="856" spans="1:9" ht="12.75" customHeight="1">
      <c r="A856" s="175"/>
      <c r="B856" s="175"/>
      <c r="C856" s="989"/>
      <c r="D856" s="1268"/>
      <c r="E856" s="1268"/>
      <c r="F856" s="1268"/>
      <c r="G856" s="3"/>
      <c r="I856" s="490"/>
    </row>
    <row r="857" spans="1:9" ht="12.75" customHeight="1">
      <c r="A857" s="175"/>
      <c r="B857" s="175"/>
      <c r="C857" s="989"/>
      <c r="D857" s="1268"/>
      <c r="E857" s="1268"/>
      <c r="F857" s="1268"/>
      <c r="G857" s="3"/>
      <c r="I857" s="490"/>
    </row>
    <row r="858" spans="1:9" ht="12.75" customHeight="1">
      <c r="A858" s="175"/>
      <c r="B858" s="175"/>
      <c r="C858" s="989"/>
      <c r="D858" s="1268"/>
      <c r="E858" s="1268"/>
      <c r="F858" s="1268"/>
      <c r="G858" s="3"/>
      <c r="I858" s="490"/>
    </row>
    <row r="859" spans="1:9" ht="12.75" customHeight="1">
      <c r="A859" s="175"/>
      <c r="B859" s="175"/>
      <c r="C859" s="989"/>
      <c r="D859" s="1268"/>
      <c r="E859" s="1268"/>
      <c r="F859" s="1268"/>
      <c r="G859" s="3"/>
      <c r="I859" s="490"/>
    </row>
    <row r="860" spans="1:9" ht="12.75" customHeight="1">
      <c r="A860" s="175"/>
      <c r="B860" s="175"/>
      <c r="C860" s="989"/>
      <c r="D860" s="118"/>
      <c r="E860" s="3"/>
      <c r="F860" s="3"/>
      <c r="G860" s="3"/>
      <c r="I860" s="490"/>
    </row>
    <row r="861" spans="1:9" ht="12.75" customHeight="1">
      <c r="A861" s="175"/>
      <c r="B861" s="485" t="s">
        <v>2770</v>
      </c>
      <c r="C861" s="989"/>
      <c r="D861" s="1268" t="s">
        <v>1768</v>
      </c>
      <c r="E861" s="1268"/>
      <c r="F861" s="1268"/>
      <c r="G861" s="3"/>
      <c r="I861" s="490" t="s">
        <v>1881</v>
      </c>
    </row>
    <row r="862" spans="1:9" ht="12.75" customHeight="1">
      <c r="A862" s="175"/>
      <c r="B862" s="175"/>
      <c r="C862" s="989"/>
      <c r="D862" s="1268" t="s">
        <v>1769</v>
      </c>
      <c r="E862" s="1268"/>
      <c r="F862" s="1268"/>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2770</v>
      </c>
      <c r="C865" s="989"/>
      <c r="D865" s="1268" t="s">
        <v>1770</v>
      </c>
      <c r="E865" s="1268"/>
      <c r="F865" s="1268"/>
      <c r="G865" s="3"/>
      <c r="I865" s="490" t="s">
        <v>1884</v>
      </c>
    </row>
    <row r="866" spans="1:9" ht="12.75" customHeight="1">
      <c r="A866" s="175"/>
      <c r="B866" s="175"/>
      <c r="C866" s="989"/>
      <c r="D866" s="1268"/>
      <c r="E866" s="1268"/>
      <c r="F866" s="1268"/>
      <c r="G866" s="3"/>
      <c r="I866" s="490"/>
    </row>
    <row r="867" spans="1:9" ht="12.75" customHeight="1">
      <c r="A867" s="175"/>
      <c r="B867" s="175"/>
      <c r="C867" s="989"/>
      <c r="D867" s="1268"/>
      <c r="E867" s="1268"/>
      <c r="F867" s="1268"/>
      <c r="G867" s="3"/>
      <c r="I867" s="490"/>
    </row>
    <row r="868" spans="1:9" ht="12.75" customHeight="1">
      <c r="A868" s="175"/>
      <c r="B868" s="175"/>
      <c r="C868" s="989"/>
      <c r="D868" s="1268"/>
      <c r="E868" s="1268"/>
      <c r="F868" s="1268"/>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01" t="s">
        <v>1804</v>
      </c>
      <c r="E872" s="1301"/>
      <c r="F872" s="1301"/>
      <c r="G872" s="988"/>
      <c r="I872" s="490"/>
    </row>
    <row r="873" spans="1:9" ht="12.75" customHeight="1">
      <c r="A873" s="354"/>
      <c r="B873" s="354"/>
      <c r="C873" s="174"/>
      <c r="D873" s="1310" t="s">
        <v>1772</v>
      </c>
      <c r="E873" s="1310"/>
      <c r="F873" s="1310"/>
      <c r="G873" s="988"/>
      <c r="I873" s="490"/>
    </row>
    <row r="874" spans="1:9" ht="12.75" customHeight="1">
      <c r="A874" s="354"/>
      <c r="B874" s="354"/>
      <c r="C874" s="174"/>
      <c r="D874" s="995"/>
      <c r="E874" s="995"/>
      <c r="F874" s="995"/>
      <c r="G874" s="988"/>
      <c r="I874" s="490"/>
    </row>
    <row r="875" spans="1:9" ht="12.75" customHeight="1">
      <c r="A875" s="175"/>
      <c r="B875" s="485" t="s">
        <v>2768</v>
      </c>
      <c r="C875" s="354"/>
      <c r="D875" s="1294" t="s">
        <v>1773</v>
      </c>
      <c r="E875" s="1294"/>
      <c r="F875" s="1294"/>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2768</v>
      </c>
      <c r="C878" s="354"/>
      <c r="D878" s="1268" t="s">
        <v>1774</v>
      </c>
      <c r="E878" s="1317"/>
      <c r="F878" s="1317"/>
      <c r="G878" s="3"/>
      <c r="I878" s="490" t="s">
        <v>1884</v>
      </c>
    </row>
    <row r="879" spans="1:9" ht="12.75" customHeight="1">
      <c r="A879" s="354"/>
      <c r="B879" s="354"/>
      <c r="C879" s="354"/>
      <c r="D879" s="1317"/>
      <c r="E879" s="1317"/>
      <c r="F879" s="1317"/>
      <c r="G879" s="3"/>
      <c r="I879" s="490"/>
    </row>
    <row r="880" spans="1:9" ht="12.75" customHeight="1">
      <c r="A880" s="354"/>
      <c r="B880" s="354"/>
      <c r="C880" s="354"/>
      <c r="D880" s="118"/>
      <c r="E880" s="3"/>
      <c r="F880" s="3"/>
      <c r="G880" s="3"/>
      <c r="I880" s="490"/>
    </row>
    <row r="881" spans="1:9" ht="12.75" customHeight="1">
      <c r="A881" s="354"/>
      <c r="B881" s="485" t="s">
        <v>2770</v>
      </c>
      <c r="C881" s="354"/>
      <c r="D881" s="1318" t="s">
        <v>1775</v>
      </c>
      <c r="E881" s="1318"/>
      <c r="F881" s="1318"/>
      <c r="G881" s="988"/>
      <c r="I881" s="490"/>
    </row>
    <row r="882" spans="1:9" ht="12.75" customHeight="1">
      <c r="A882" s="354"/>
      <c r="B882" s="996"/>
      <c r="C882" s="354"/>
      <c r="D882" s="1318"/>
      <c r="E882" s="1318"/>
      <c r="F882" s="1318"/>
      <c r="G882" s="988"/>
      <c r="I882" s="490"/>
    </row>
    <row r="883" spans="1:9" ht="12.75" customHeight="1">
      <c r="A883" s="175"/>
      <c r="B883"/>
      <c r="C883" s="354"/>
      <c r="D883" s="1268" t="s">
        <v>2069</v>
      </c>
      <c r="E883" s="1268"/>
      <c r="F883" s="1268"/>
      <c r="G883" s="988"/>
      <c r="I883" s="490"/>
    </row>
    <row r="884" spans="1:9" ht="12.75" customHeight="1">
      <c r="A884" s="175"/>
      <c r="B884" s="175"/>
      <c r="C884" s="354"/>
      <c r="D884" s="1268"/>
      <c r="E884" s="1268"/>
      <c r="F884" s="1268"/>
      <c r="G884" s="988"/>
      <c r="I884" s="490"/>
    </row>
    <row r="885" spans="1:9" ht="12.75" customHeight="1">
      <c r="A885" s="175"/>
      <c r="B885" s="175"/>
      <c r="C885" s="354"/>
      <c r="D885" s="1268"/>
      <c r="E885" s="1268"/>
      <c r="F885" s="1268"/>
      <c r="G885" s="988"/>
      <c r="I885" s="490"/>
    </row>
    <row r="886" spans="1:9" ht="12.75" customHeight="1">
      <c r="A886" s="175"/>
      <c r="B886" s="175"/>
      <c r="C886" s="354"/>
      <c r="D886" s="1268"/>
      <c r="E886" s="1268"/>
      <c r="F886" s="1268"/>
      <c r="G886" s="988"/>
      <c r="I886" s="490"/>
    </row>
    <row r="887" spans="1:9" ht="12.75" customHeight="1">
      <c r="A887" s="175"/>
      <c r="B887" s="175"/>
      <c r="C887" s="354"/>
      <c r="D887" s="1268"/>
      <c r="E887" s="1268"/>
      <c r="F887" s="1268"/>
      <c r="G887" s="988"/>
      <c r="I887" s="490"/>
    </row>
    <row r="888" spans="1:9" ht="12.75" customHeight="1">
      <c r="A888" s="175"/>
      <c r="B888" s="175"/>
      <c r="C888" s="354"/>
      <c r="D888" s="1268"/>
      <c r="E888" s="1268"/>
      <c r="F888" s="1268"/>
      <c r="G888" s="988"/>
      <c r="I888" s="490"/>
    </row>
    <row r="889" spans="1:9" ht="12.75" customHeight="1">
      <c r="A889" s="175"/>
      <c r="B889" s="175"/>
      <c r="C889" s="354"/>
      <c r="D889" s="118"/>
      <c r="E889" s="988"/>
      <c r="F889" s="988"/>
      <c r="G889" s="988"/>
      <c r="I889" s="490"/>
    </row>
    <row r="890" spans="1:9" ht="12.75" customHeight="1">
      <c r="A890" s="175"/>
      <c r="B890" s="485" t="s">
        <v>2770</v>
      </c>
      <c r="C890" s="354"/>
      <c r="D890" s="1293" t="s">
        <v>1768</v>
      </c>
      <c r="E890" s="1293"/>
      <c r="F890" s="1293"/>
      <c r="G890" s="988"/>
      <c r="I890" s="490"/>
    </row>
    <row r="891" spans="1:9" ht="12.75" customHeight="1">
      <c r="A891" s="175"/>
      <c r="B891" s="175"/>
      <c r="C891" s="354"/>
      <c r="D891" s="1293" t="s">
        <v>1769</v>
      </c>
      <c r="E891" s="1293"/>
      <c r="F891" s="1293"/>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2770</v>
      </c>
      <c r="C894" s="354"/>
      <c r="D894" s="1268" t="s">
        <v>1770</v>
      </c>
      <c r="E894" s="1268"/>
      <c r="F894" s="1268"/>
      <c r="G894" s="988"/>
      <c r="I894" s="490"/>
    </row>
    <row r="895" spans="1:9" ht="12.75" customHeight="1">
      <c r="A895" s="175"/>
      <c r="B895" s="175"/>
      <c r="C895" s="354"/>
      <c r="D895" s="1268"/>
      <c r="E895" s="1268"/>
      <c r="F895" s="1268"/>
      <c r="G895" s="988"/>
      <c r="I895" s="490"/>
    </row>
    <row r="896" spans="1:9" ht="12.75" customHeight="1">
      <c r="A896" s="175"/>
      <c r="B896" s="175"/>
      <c r="C896" s="354"/>
      <c r="D896" s="1268"/>
      <c r="E896" s="1268"/>
      <c r="F896" s="1268"/>
      <c r="G896" s="988"/>
      <c r="I896" s="490"/>
    </row>
    <row r="897" spans="1:9" ht="12.75" customHeight="1">
      <c r="A897" s="175"/>
      <c r="B897" s="175"/>
      <c r="C897" s="354"/>
      <c r="D897" s="1268"/>
      <c r="E897" s="1268"/>
      <c r="F897" s="1268"/>
      <c r="G897" s="988"/>
      <c r="I897" s="490"/>
    </row>
    <row r="898" spans="1:9" ht="12.75" customHeight="1">
      <c r="A898" s="118"/>
      <c r="B898" s="118"/>
      <c r="C898" s="989"/>
      <c r="D898" s="988"/>
      <c r="E898" s="988"/>
      <c r="F898" s="988"/>
      <c r="G898" s="988"/>
      <c r="I898" s="490"/>
    </row>
    <row r="899" spans="1:9" ht="12.75" customHeight="1">
      <c r="A899" s="1291" t="s">
        <v>1805</v>
      </c>
      <c r="B899" s="1291"/>
      <c r="C899" s="1291"/>
      <c r="D899" s="1291"/>
      <c r="E899" s="1291"/>
      <c r="F899" s="1291"/>
      <c r="G899" s="1291"/>
      <c r="H899" s="1028"/>
      <c r="I899" s="1153"/>
    </row>
    <row r="900" spans="1:9" ht="12.75" customHeight="1">
      <c r="A900" s="57"/>
      <c r="B900" s="57"/>
      <c r="C900" s="57"/>
      <c r="D900" s="57"/>
      <c r="E900" s="57"/>
      <c r="F900" s="57"/>
      <c r="G900" s="57"/>
      <c r="I900" s="490"/>
    </row>
    <row r="901" spans="1:9" ht="12.75" customHeight="1">
      <c r="A901" s="57"/>
      <c r="B901" s="57"/>
      <c r="C901" s="57"/>
      <c r="D901" s="1289" t="s">
        <v>1811</v>
      </c>
      <c r="E901" s="1289"/>
      <c r="F901" s="1289"/>
      <c r="G901" s="57"/>
      <c r="I901" s="490"/>
    </row>
    <row r="902" spans="1:9" ht="12.75" customHeight="1">
      <c r="A902" s="57"/>
      <c r="B902" s="57"/>
      <c r="C902" s="57"/>
      <c r="D902" s="981"/>
      <c r="E902" s="981"/>
      <c r="F902" s="981"/>
      <c r="G902" s="57"/>
      <c r="I902" s="490"/>
    </row>
    <row r="903" spans="1:9" ht="12.75" customHeight="1">
      <c r="A903" s="57"/>
      <c r="B903" s="485" t="s">
        <v>2769</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9" t="s">
        <v>1806</v>
      </c>
      <c r="E905" s="1289"/>
      <c r="F905" s="1289"/>
      <c r="G905" s="988"/>
      <c r="I905" s="490"/>
    </row>
    <row r="906" spans="1:9" ht="12.75" customHeight="1">
      <c r="A906" s="172"/>
      <c r="B906" s="172"/>
      <c r="C906" s="172"/>
      <c r="D906" s="1294" t="s">
        <v>1776</v>
      </c>
      <c r="E906" s="1294"/>
      <c r="F906" s="1294"/>
      <c r="G906" s="988"/>
      <c r="I906" s="490"/>
    </row>
    <row r="907" spans="1:9" ht="12.75" customHeight="1">
      <c r="A907" s="989"/>
      <c r="B907" s="989"/>
      <c r="C907" s="989"/>
      <c r="D907" s="2"/>
      <c r="E907" s="988"/>
      <c r="F907" s="988"/>
      <c r="G907" s="988"/>
      <c r="I907" s="490"/>
    </row>
    <row r="908" spans="1:9" ht="12.75" customHeight="1">
      <c r="A908" s="175"/>
      <c r="B908" s="485" t="s">
        <v>2769</v>
      </c>
      <c r="C908" s="354"/>
      <c r="D908" s="1268" t="s">
        <v>1780</v>
      </c>
      <c r="E908" s="1268"/>
      <c r="F908" s="1268"/>
      <c r="G908" s="3"/>
      <c r="I908" s="490"/>
    </row>
    <row r="909" spans="1:9" ht="12.75" customHeight="1">
      <c r="A909" s="354"/>
      <c r="B909" s="354"/>
      <c r="C909" s="354"/>
      <c r="D909" s="1268"/>
      <c r="E909" s="1268"/>
      <c r="F909" s="1268"/>
      <c r="G909" s="3"/>
      <c r="I909" s="490"/>
    </row>
    <row r="910" spans="1:9" ht="12.75" customHeight="1">
      <c r="A910" s="172"/>
      <c r="B910" s="172"/>
      <c r="C910" s="172"/>
      <c r="D910" s="1268" t="s">
        <v>1779</v>
      </c>
      <c r="E910" s="1268"/>
      <c r="F910" s="1268"/>
      <c r="G910" s="988"/>
      <c r="I910" s="490"/>
    </row>
    <row r="911" spans="1:9" ht="12.75" customHeight="1">
      <c r="A911" s="172"/>
      <c r="B911" s="172"/>
      <c r="C911" s="172"/>
      <c r="D911" s="1268"/>
      <c r="E911" s="1268"/>
      <c r="F911" s="1268"/>
      <c r="G911" s="988"/>
      <c r="I911" s="490"/>
    </row>
    <row r="912" spans="1:9" ht="12.75" customHeight="1">
      <c r="A912" s="172"/>
      <c r="B912" s="172"/>
      <c r="C912" s="172"/>
      <c r="D912" s="3"/>
      <c r="E912" s="3"/>
      <c r="F912" s="988"/>
      <c r="G912" s="988"/>
      <c r="I912" s="490"/>
    </row>
    <row r="913" spans="1:9" ht="12.75" customHeight="1">
      <c r="A913" s="175"/>
      <c r="B913" s="485" t="s">
        <v>2769</v>
      </c>
      <c r="C913" s="174"/>
      <c r="D913" s="1279" t="s">
        <v>1777</v>
      </c>
      <c r="E913" s="1279"/>
      <c r="F913" s="1279"/>
      <c r="G913" s="988"/>
      <c r="I913" s="490"/>
    </row>
    <row r="914" spans="1:9" ht="12.75" customHeight="1">
      <c r="A914" s="175"/>
      <c r="B914" s="175"/>
      <c r="C914" s="174"/>
      <c r="D914" s="1279"/>
      <c r="E914" s="1279"/>
      <c r="F914" s="1279"/>
      <c r="G914" s="988"/>
      <c r="I914" s="490"/>
    </row>
    <row r="915" spans="1:9" ht="12.75" customHeight="1">
      <c r="A915" s="175"/>
      <c r="B915" s="175"/>
      <c r="C915" s="174"/>
      <c r="D915" s="1279"/>
      <c r="E915" s="1279"/>
      <c r="F915" s="1279"/>
      <c r="G915" s="988"/>
      <c r="I915" s="490"/>
    </row>
    <row r="916" spans="1:9" ht="12.75" customHeight="1">
      <c r="A916" s="175"/>
      <c r="B916" s="175"/>
      <c r="C916" s="174"/>
      <c r="D916" s="1279"/>
      <c r="E916" s="1279"/>
      <c r="F916" s="1279"/>
      <c r="G916" s="988"/>
      <c r="I916" s="490"/>
    </row>
    <row r="917" spans="1:9" ht="12.75" customHeight="1">
      <c r="A917" s="175"/>
      <c r="B917" s="175"/>
      <c r="C917" s="174"/>
      <c r="D917" s="1279"/>
      <c r="E917" s="1279"/>
      <c r="F917" s="1279"/>
      <c r="G917" s="988"/>
      <c r="I917" s="490"/>
    </row>
    <row r="918" spans="1:9" ht="12.75" customHeight="1">
      <c r="A918" s="174"/>
      <c r="B918" s="174"/>
      <c r="C918" s="174"/>
      <c r="D918" s="1279"/>
      <c r="E918" s="1279"/>
      <c r="F918" s="1279"/>
      <c r="G918" s="988"/>
      <c r="I918" s="490"/>
    </row>
    <row r="919" spans="1:9" ht="12.75" customHeight="1">
      <c r="A919" s="174"/>
      <c r="B919" s="174"/>
      <c r="C919" s="174"/>
      <c r="D919" s="1279"/>
      <c r="E919" s="1279"/>
      <c r="F919" s="1279"/>
      <c r="G919" s="988"/>
      <c r="I919" s="490"/>
    </row>
    <row r="920" spans="1:9" ht="12.75" customHeight="1">
      <c r="A920" s="174"/>
      <c r="B920" s="174"/>
      <c r="C920" s="174"/>
      <c r="D920" s="1279"/>
      <c r="E920" s="1279"/>
      <c r="F920" s="1279"/>
      <c r="G920" s="988"/>
      <c r="I920" s="490"/>
    </row>
    <row r="921" spans="1:9" ht="12.75" customHeight="1">
      <c r="A921" s="174"/>
      <c r="B921" s="174"/>
      <c r="C921" s="174"/>
      <c r="D921" s="335"/>
      <c r="E921" s="335"/>
      <c r="F921" s="335"/>
      <c r="G921" s="988"/>
      <c r="I921" s="490"/>
    </row>
    <row r="922" spans="1:9" ht="12.75" customHeight="1">
      <c r="A922" s="989"/>
      <c r="B922" s="485" t="s">
        <v>2770</v>
      </c>
      <c r="C922" s="989"/>
      <c r="D922" s="1268" t="s">
        <v>1781</v>
      </c>
      <c r="E922" s="1268"/>
      <c r="F922" s="1268"/>
      <c r="G922" s="988"/>
      <c r="I922" s="490"/>
    </row>
    <row r="923" spans="1:9" ht="12.75" customHeight="1">
      <c r="A923" s="989"/>
      <c r="B923" s="989"/>
      <c r="C923" s="989"/>
      <c r="D923" s="1268"/>
      <c r="E923" s="1268"/>
      <c r="F923" s="1268"/>
      <c r="G923" s="988"/>
      <c r="I923" s="490"/>
    </row>
    <row r="924" spans="1:9" ht="12.75" customHeight="1">
      <c r="A924" s="989"/>
      <c r="B924" s="989"/>
      <c r="C924" s="989"/>
      <c r="D924" s="988"/>
      <c r="E924" s="988"/>
      <c r="F924" s="988"/>
      <c r="G924" s="988"/>
      <c r="I924" s="490"/>
    </row>
    <row r="925" spans="1:9" ht="12.75" customHeight="1">
      <c r="A925" s="989"/>
      <c r="B925" s="485" t="s">
        <v>2770</v>
      </c>
      <c r="C925" s="989"/>
      <c r="D925" s="1295" t="s">
        <v>1782</v>
      </c>
      <c r="E925" s="1295"/>
      <c r="F925" s="1295"/>
      <c r="G925" s="988"/>
      <c r="I925" s="490"/>
    </row>
    <row r="926" spans="1:9" ht="12.75" customHeight="1">
      <c r="A926" s="989"/>
      <c r="B926" s="989"/>
      <c r="C926" s="989"/>
      <c r="D926" s="1295"/>
      <c r="E926" s="1295"/>
      <c r="F926" s="1295"/>
      <c r="G926" s="988"/>
      <c r="I926" s="490"/>
    </row>
    <row r="927" spans="1:9" ht="12.75" customHeight="1">
      <c r="A927" s="989"/>
      <c r="B927" s="989"/>
      <c r="C927" s="989"/>
      <c r="D927" s="1295"/>
      <c r="E927" s="1295"/>
      <c r="F927" s="1295"/>
      <c r="G927" s="988"/>
      <c r="I927" s="490"/>
    </row>
    <row r="928" spans="1:9" ht="12.75" customHeight="1">
      <c r="A928" s="989"/>
      <c r="B928" s="989"/>
      <c r="C928" s="989"/>
      <c r="D928" s="1295"/>
      <c r="E928" s="1295"/>
      <c r="F928" s="1295"/>
      <c r="G928" s="988"/>
      <c r="I928" s="490"/>
    </row>
    <row r="929" spans="1:9" ht="12.75" customHeight="1">
      <c r="A929" s="989"/>
      <c r="B929" s="989"/>
      <c r="C929" s="989"/>
      <c r="D929" s="118"/>
      <c r="E929" s="988"/>
      <c r="F929" s="988"/>
      <c r="G929" s="988"/>
      <c r="I929" s="490"/>
    </row>
    <row r="930" spans="1:9" ht="12.75" customHeight="1">
      <c r="A930" s="989"/>
      <c r="B930" s="485" t="s">
        <v>2770</v>
      </c>
      <c r="C930" s="989"/>
      <c r="D930" s="1294" t="s">
        <v>2070</v>
      </c>
      <c r="E930" s="1294"/>
      <c r="F930" s="1294"/>
      <c r="G930" s="988"/>
      <c r="I930" s="490"/>
    </row>
    <row r="931" spans="1:9" ht="12.75" customHeight="1">
      <c r="A931" s="989"/>
      <c r="B931" s="989"/>
      <c r="C931" s="989"/>
      <c r="D931" s="118"/>
      <c r="E931" s="988"/>
      <c r="F931" s="988"/>
      <c r="G931" s="988"/>
      <c r="I931" s="490"/>
    </row>
    <row r="932" spans="1:9" ht="12.75" customHeight="1">
      <c r="A932" s="989"/>
      <c r="B932" s="485" t="s">
        <v>2770</v>
      </c>
      <c r="C932" s="989"/>
      <c r="D932" s="1294" t="s">
        <v>2071</v>
      </c>
      <c r="E932" s="1294"/>
      <c r="F932" s="1294"/>
      <c r="G932" s="988"/>
      <c r="I932" s="490"/>
    </row>
    <row r="933" spans="1:9" ht="12.75" customHeight="1">
      <c r="A933" s="174"/>
      <c r="B933" s="174"/>
      <c r="C933" s="174"/>
      <c r="D933" s="2"/>
      <c r="E933" s="3"/>
      <c r="F933" s="988"/>
      <c r="G933" s="988"/>
      <c r="I933" s="490"/>
    </row>
    <row r="934" spans="1:9" ht="12.75" customHeight="1">
      <c r="A934" s="997"/>
      <c r="B934" s="485" t="s">
        <v>2769</v>
      </c>
      <c r="C934" s="998"/>
      <c r="D934" s="1279" t="s">
        <v>1778</v>
      </c>
      <c r="E934" s="1279"/>
      <c r="F934" s="1279"/>
      <c r="G934" s="999"/>
      <c r="I934" s="490"/>
    </row>
    <row r="935" spans="1:9" ht="12.75" customHeight="1">
      <c r="A935" s="997"/>
      <c r="B935" s="997"/>
      <c r="C935" s="998"/>
      <c r="D935" s="1279"/>
      <c r="E935" s="1279"/>
      <c r="F935" s="1279"/>
      <c r="G935" s="999"/>
      <c r="I935" s="490"/>
    </row>
    <row r="936" spans="1:9" ht="12.75" customHeight="1">
      <c r="A936" s="997"/>
      <c r="B936" s="997"/>
      <c r="C936" s="998"/>
      <c r="D936" s="1279"/>
      <c r="E936" s="1279"/>
      <c r="F936" s="1279"/>
      <c r="G936" s="999"/>
      <c r="I936" s="490"/>
    </row>
    <row r="937" spans="1:9" ht="12.75" customHeight="1">
      <c r="A937" s="997"/>
      <c r="B937" s="997"/>
      <c r="C937" s="998"/>
      <c r="D937" s="1279"/>
      <c r="E937" s="1279"/>
      <c r="F937" s="1279"/>
      <c r="G937" s="999"/>
      <c r="I937" s="490"/>
    </row>
    <row r="938" spans="1:9" ht="12.75" customHeight="1">
      <c r="A938" s="997"/>
      <c r="B938" s="997"/>
      <c r="C938" s="998"/>
      <c r="D938" s="1279"/>
      <c r="E938" s="1279"/>
      <c r="F938" s="1279"/>
      <c r="G938" s="999"/>
      <c r="I938" s="490"/>
    </row>
    <row r="939" spans="1:9" ht="12.75" customHeight="1">
      <c r="A939" s="997"/>
      <c r="B939" s="997"/>
      <c r="C939" s="998"/>
      <c r="D939" s="1279"/>
      <c r="E939" s="1279"/>
      <c r="F939" s="1279"/>
      <c r="G939" s="999"/>
      <c r="I939" s="490"/>
    </row>
    <row r="940" spans="1:9" ht="12.75" customHeight="1">
      <c r="A940" s="997"/>
      <c r="B940" s="997"/>
      <c r="C940" s="998"/>
      <c r="D940" s="1279"/>
      <c r="E940" s="1279"/>
      <c r="F940" s="1279"/>
      <c r="G940" s="999"/>
      <c r="I940" s="490"/>
    </row>
    <row r="941" spans="1:9" ht="12.75" customHeight="1">
      <c r="A941" s="997"/>
      <c r="B941" s="997"/>
      <c r="C941" s="998"/>
      <c r="D941" s="1279"/>
      <c r="E941" s="1279"/>
      <c r="F941" s="1279"/>
      <c r="G941" s="999"/>
      <c r="I941" s="490"/>
    </row>
    <row r="942" spans="1:9" ht="12.75" customHeight="1">
      <c r="A942" s="997"/>
      <c r="B942" s="997"/>
      <c r="C942" s="998"/>
      <c r="D942" s="1279"/>
      <c r="E942" s="1279"/>
      <c r="F942" s="1279"/>
      <c r="G942" s="999"/>
      <c r="I942" s="490"/>
    </row>
    <row r="943" spans="1:9" ht="12.75" customHeight="1">
      <c r="A943" s="174"/>
      <c r="B943" s="174"/>
      <c r="C943" s="174"/>
      <c r="D943" s="2"/>
      <c r="E943" s="3"/>
      <c r="F943" s="988"/>
      <c r="G943" s="988"/>
      <c r="I943" s="490"/>
    </row>
    <row r="944" spans="1:9" ht="12.75" customHeight="1">
      <c r="A944" s="175"/>
      <c r="B944" s="485" t="s">
        <v>2769</v>
      </c>
      <c r="C944" s="174"/>
      <c r="D944" s="1303" t="s">
        <v>1887</v>
      </c>
      <c r="E944" s="1303"/>
      <c r="F944" s="1303"/>
      <c r="G944" s="988"/>
      <c r="I944" s="490"/>
    </row>
    <row r="945" spans="1:9" ht="12.75" customHeight="1">
      <c r="A945" s="175"/>
      <c r="B945" s="175"/>
      <c r="C945" s="174"/>
      <c r="D945" s="1303"/>
      <c r="E945" s="1303"/>
      <c r="F945" s="1303"/>
      <c r="G945" s="988"/>
      <c r="I945" s="490"/>
    </row>
    <row r="946" spans="1:9" ht="12.75" customHeight="1">
      <c r="A946" s="175"/>
      <c r="B946" s="175"/>
      <c r="C946" s="174"/>
      <c r="D946" s="1303"/>
      <c r="E946" s="1303"/>
      <c r="F946" s="1303"/>
      <c r="G946" s="988"/>
      <c r="I946" s="490"/>
    </row>
    <row r="947" spans="1:9" ht="12.75" customHeight="1">
      <c r="A947" s="175"/>
      <c r="B947" s="175"/>
      <c r="C947" s="174"/>
      <c r="D947" s="1303"/>
      <c r="E947" s="1303"/>
      <c r="F947" s="1303"/>
      <c r="G947" s="988"/>
      <c r="I947" s="490"/>
    </row>
    <row r="948" spans="1:9" ht="12.75" customHeight="1">
      <c r="A948" s="175"/>
      <c r="B948" s="175"/>
      <c r="C948" s="174"/>
      <c r="D948" s="1303"/>
      <c r="E948" s="1303"/>
      <c r="F948" s="1303"/>
      <c r="G948" s="988"/>
      <c r="I948" s="490"/>
    </row>
    <row r="949" spans="1:9" ht="12.75" customHeight="1">
      <c r="A949" s="175"/>
      <c r="B949" s="175"/>
      <c r="C949" s="174"/>
      <c r="D949" s="1303"/>
      <c r="E949" s="1303"/>
      <c r="F949" s="1303"/>
      <c r="G949" s="988"/>
      <c r="I949" s="490"/>
    </row>
    <row r="950" spans="1:9" ht="12.75" customHeight="1">
      <c r="A950" s="175"/>
      <c r="B950" s="175"/>
      <c r="C950" s="174"/>
      <c r="D950" s="1303"/>
      <c r="E950" s="1303"/>
      <c r="F950" s="1303"/>
      <c r="G950" s="988"/>
      <c r="I950" s="490"/>
    </row>
    <row r="951" spans="1:9" ht="12.75" customHeight="1">
      <c r="A951" s="175"/>
      <c r="B951" s="175"/>
      <c r="C951" s="174"/>
      <c r="D951" s="1026"/>
      <c r="E951" s="1026"/>
      <c r="F951" s="1026"/>
      <c r="G951" s="988"/>
      <c r="I951" s="490"/>
    </row>
    <row r="952" spans="1:9" ht="12.75" customHeight="1">
      <c r="A952" s="175"/>
      <c r="B952" s="485" t="s">
        <v>2769</v>
      </c>
      <c r="C952" s="174"/>
      <c r="D952" s="1278" t="s">
        <v>2138</v>
      </c>
      <c r="E952" s="1278"/>
      <c r="F952" s="1278"/>
      <c r="G952" s="988"/>
      <c r="I952" s="490"/>
    </row>
    <row r="953" spans="1:9" ht="12.75" customHeight="1">
      <c r="A953" s="175"/>
      <c r="B953" s="175"/>
      <c r="C953" s="174"/>
      <c r="D953" s="1278"/>
      <c r="E953" s="1278"/>
      <c r="F953" s="1278"/>
      <c r="G953" s="988"/>
      <c r="I953" s="490"/>
    </row>
    <row r="954" spans="1:9" ht="12.75" customHeight="1">
      <c r="A954" s="175"/>
      <c r="B954" s="175"/>
      <c r="C954" s="174"/>
      <c r="D954" s="1278"/>
      <c r="E954" s="1278"/>
      <c r="F954" s="1278"/>
      <c r="G954" s="988"/>
      <c r="I954" s="490"/>
    </row>
    <row r="955" spans="1:9" ht="12.75" customHeight="1">
      <c r="A955" s="175"/>
      <c r="B955" s="175"/>
      <c r="C955" s="174"/>
      <c r="D955" s="1278"/>
      <c r="E955" s="1278"/>
      <c r="F955" s="1278"/>
      <c r="G955" s="988"/>
      <c r="I955" s="490"/>
    </row>
    <row r="956" spans="1:9" ht="12.75" customHeight="1">
      <c r="A956" s="175"/>
      <c r="B956" s="175"/>
      <c r="C956" s="174"/>
      <c r="D956" s="1278"/>
      <c r="E956" s="1278"/>
      <c r="F956" s="1278"/>
      <c r="G956" s="988"/>
      <c r="I956" s="490"/>
    </row>
    <row r="957" spans="1:9" ht="12.75" customHeight="1">
      <c r="A957" s="175"/>
      <c r="B957" s="175"/>
      <c r="C957" s="174"/>
      <c r="D957" s="1278"/>
      <c r="E957" s="1278"/>
      <c r="F957" s="1278"/>
      <c r="G957" s="988"/>
      <c r="I957" s="490"/>
    </row>
    <row r="958" spans="1:9" ht="12.75" customHeight="1">
      <c r="A958" s="175"/>
      <c r="B958" s="175"/>
      <c r="C958" s="174"/>
      <c r="D958" s="1026"/>
      <c r="E958" s="1026"/>
      <c r="F958" s="1026"/>
      <c r="G958" s="988"/>
      <c r="I958" s="490"/>
    </row>
    <row r="959" spans="1:9" ht="12.75" customHeight="1">
      <c r="A959" s="989"/>
      <c r="B959" s="485" t="s">
        <v>2770</v>
      </c>
      <c r="C959" s="989"/>
      <c r="D959" s="1295" t="s">
        <v>1783</v>
      </c>
      <c r="E959" s="1295"/>
      <c r="F959" s="1295"/>
      <c r="G959" s="988"/>
      <c r="I959" s="490"/>
    </row>
    <row r="960" spans="1:9" ht="12.75" customHeight="1">
      <c r="A960" s="989"/>
      <c r="B960" s="989"/>
      <c r="C960" s="989"/>
      <c r="D960" s="1295"/>
      <c r="E960" s="1295"/>
      <c r="F960" s="1295"/>
      <c r="G960" s="988"/>
      <c r="I960" s="490"/>
    </row>
    <row r="961" spans="1:9" ht="12.75" customHeight="1">
      <c r="A961" s="989"/>
      <c r="B961" s="989"/>
      <c r="C961" s="989"/>
      <c r="D961" s="1295"/>
      <c r="E961" s="1295"/>
      <c r="F961" s="1295"/>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2770</v>
      </c>
      <c r="C964" s="174"/>
      <c r="D964" s="1279" t="s">
        <v>1886</v>
      </c>
      <c r="E964" s="1279"/>
      <c r="F964" s="1279"/>
      <c r="G964" s="988"/>
      <c r="I964" s="490"/>
    </row>
    <row r="965" spans="1:9" ht="12.75" customHeight="1">
      <c r="A965" s="175"/>
      <c r="B965" s="175"/>
      <c r="C965" s="174"/>
      <c r="D965" s="1279"/>
      <c r="E965" s="1279"/>
      <c r="F965" s="1279"/>
      <c r="G965" s="988"/>
      <c r="I965" s="490"/>
    </row>
    <row r="966" spans="1:9" ht="12.75" customHeight="1">
      <c r="A966" s="175"/>
      <c r="B966" s="175"/>
      <c r="C966" s="174"/>
      <c r="D966" s="1279"/>
      <c r="E966" s="1279"/>
      <c r="F966" s="1279"/>
      <c r="G966" s="988"/>
      <c r="I966" s="490"/>
    </row>
    <row r="967" spans="1:9" ht="12.75" customHeight="1">
      <c r="A967" s="175"/>
      <c r="B967" s="175"/>
      <c r="C967" s="174"/>
      <c r="D967" s="1279"/>
      <c r="E967" s="1279"/>
      <c r="F967" s="1279"/>
      <c r="G967" s="988"/>
      <c r="I967" s="490"/>
    </row>
    <row r="968" spans="1:9" ht="12.75" customHeight="1">
      <c r="A968" s="989"/>
      <c r="B968" s="989"/>
      <c r="C968" s="989"/>
      <c r="D968" s="980"/>
      <c r="E968" s="980"/>
      <c r="F968" s="980"/>
      <c r="G968" s="980"/>
      <c r="I968" s="490"/>
    </row>
    <row r="969" spans="1:9" ht="12.75" customHeight="1">
      <c r="A969" s="354"/>
      <c r="B969" s="354"/>
      <c r="C969" s="354"/>
      <c r="D969" s="1301" t="s">
        <v>1784</v>
      </c>
      <c r="E969" s="1301"/>
      <c r="F969" s="1301"/>
      <c r="G969" s="3"/>
      <c r="I969" s="490"/>
    </row>
    <row r="970" spans="1:9" ht="12.75" customHeight="1">
      <c r="A970" s="175"/>
      <c r="B970" s="485" t="s">
        <v>2770</v>
      </c>
      <c r="C970" s="354"/>
      <c r="D970" s="1294" t="s">
        <v>1807</v>
      </c>
      <c r="E970" s="1294"/>
      <c r="F970" s="1294"/>
      <c r="G970" s="3"/>
      <c r="I970" s="490"/>
    </row>
    <row r="971" spans="1:9" ht="12.75" customHeight="1">
      <c r="A971" s="354"/>
      <c r="B971" s="354"/>
      <c r="C971" s="354"/>
      <c r="D971" s="3"/>
      <c r="E971" s="3"/>
      <c r="F971" s="3"/>
      <c r="G971" s="3"/>
      <c r="I971" s="490"/>
    </row>
    <row r="972" spans="1:9" ht="12.75" customHeight="1">
      <c r="A972" s="354"/>
      <c r="B972" s="354"/>
      <c r="C972" s="354"/>
      <c r="D972" s="1301" t="s">
        <v>1785</v>
      </c>
      <c r="E972" s="1301"/>
      <c r="F972" s="1301"/>
      <c r="G972"/>
      <c r="I972" s="490"/>
    </row>
    <row r="973" spans="1:9" ht="12.75" customHeight="1">
      <c r="A973" s="175"/>
      <c r="B973" s="485" t="s">
        <v>2770</v>
      </c>
      <c r="C973" s="354"/>
      <c r="D973" s="1268" t="s">
        <v>2072</v>
      </c>
      <c r="E973" s="1268"/>
      <c r="F973" s="1268"/>
      <c r="G973"/>
      <c r="I973" s="490"/>
    </row>
    <row r="974" spans="1:9" ht="12.75" customHeight="1">
      <c r="A974" s="175"/>
      <c r="B974" s="175"/>
      <c r="C974" s="354"/>
      <c r="D974" s="1268"/>
      <c r="E974" s="1268"/>
      <c r="F974" s="1268"/>
      <c r="G974"/>
      <c r="I974" s="490"/>
    </row>
    <row r="975" spans="1:9" ht="12.75" customHeight="1">
      <c r="A975" s="175"/>
      <c r="B975" s="175"/>
      <c r="C975" s="354"/>
      <c r="D975" s="1268"/>
      <c r="E975" s="1268"/>
      <c r="F975" s="1268"/>
      <c r="G975"/>
      <c r="I975" s="490"/>
    </row>
    <row r="976" spans="1:9" ht="12.75" customHeight="1">
      <c r="A976" s="175"/>
      <c r="B976" s="175"/>
      <c r="C976" s="354"/>
      <c r="D976" s="1268"/>
      <c r="E976" s="1268"/>
      <c r="F976" s="1268"/>
      <c r="G976"/>
      <c r="I976" s="490"/>
    </row>
    <row r="977" spans="1:9" ht="12.75" customHeight="1">
      <c r="A977" s="175"/>
      <c r="B977" s="175"/>
      <c r="C977" s="354"/>
      <c r="D977" s="1268"/>
      <c r="E977" s="1268"/>
      <c r="F977" s="1268"/>
      <c r="G977"/>
      <c r="I977" s="490"/>
    </row>
    <row r="978" spans="1:9" ht="12.75" customHeight="1">
      <c r="A978" s="175"/>
      <c r="B978" s="175"/>
      <c r="C978" s="354"/>
      <c r="D978" s="1268"/>
      <c r="E978" s="1268"/>
      <c r="F978" s="1268"/>
      <c r="G978"/>
      <c r="I978" s="490"/>
    </row>
    <row r="979" spans="1:9" ht="12.75" customHeight="1">
      <c r="A979" s="175"/>
      <c r="B979" s="175"/>
      <c r="C979" s="354"/>
      <c r="D979" s="1268"/>
      <c r="E979" s="1268"/>
      <c r="F979" s="1268"/>
      <c r="G979"/>
      <c r="I979" s="490"/>
    </row>
    <row r="980" spans="1:9" ht="12.75" customHeight="1">
      <c r="A980" s="175"/>
      <c r="B980" s="175"/>
      <c r="C980" s="354"/>
      <c r="D980" s="1268"/>
      <c r="E980" s="1268"/>
      <c r="F980" s="1268"/>
      <c r="G980"/>
      <c r="I980" s="490"/>
    </row>
    <row r="981" spans="1:9" ht="12.75" customHeight="1">
      <c r="A981" s="175"/>
      <c r="B981" s="175"/>
      <c r="C981" s="354"/>
      <c r="D981" s="1268"/>
      <c r="E981" s="1268"/>
      <c r="F981" s="1268"/>
      <c r="G981"/>
      <c r="I981" s="490"/>
    </row>
    <row r="982" spans="1:9" ht="12.75" customHeight="1">
      <c r="A982" s="175"/>
      <c r="B982" s="175"/>
      <c r="C982" s="354"/>
      <c r="D982" s="1268"/>
      <c r="E982" s="1268"/>
      <c r="F982" s="1268"/>
      <c r="G982"/>
      <c r="I982" s="490"/>
    </row>
    <row r="983" spans="1:9" ht="12.75" customHeight="1">
      <c r="A983" s="175"/>
      <c r="B983" s="175"/>
      <c r="C983" s="354"/>
      <c r="D983" s="1268"/>
      <c r="E983" s="1268"/>
      <c r="F983" s="1268"/>
      <c r="G983"/>
      <c r="I983" s="490"/>
    </row>
    <row r="984" spans="1:9" ht="12.75" customHeight="1">
      <c r="A984" s="175"/>
      <c r="B984" s="175"/>
      <c r="C984" s="354"/>
      <c r="D984" s="1268"/>
      <c r="E984" s="1268"/>
      <c r="F984" s="1268"/>
      <c r="G984"/>
      <c r="I984" s="490"/>
    </row>
    <row r="985" spans="1:9" ht="12.75" customHeight="1">
      <c r="A985" s="175"/>
      <c r="B985" s="175"/>
      <c r="C985" s="354"/>
      <c r="D985" s="1268"/>
      <c r="E985" s="1268"/>
      <c r="F985" s="1268"/>
      <c r="G985"/>
      <c r="I985" s="490"/>
    </row>
    <row r="986" spans="1:9" ht="12.75" customHeight="1">
      <c r="A986" s="175"/>
      <c r="B986" s="175"/>
      <c r="C986" s="354"/>
      <c r="D986" s="1268"/>
      <c r="E986" s="1268"/>
      <c r="F986" s="1268"/>
      <c r="G986"/>
      <c r="I986" s="490"/>
    </row>
    <row r="987" spans="1:9" ht="12.75" customHeight="1">
      <c r="A987" s="175"/>
      <c r="B987" s="175"/>
      <c r="C987" s="354"/>
      <c r="D987" s="1268"/>
      <c r="E987" s="1268"/>
      <c r="F987" s="1268"/>
      <c r="G987" s="3"/>
      <c r="I987" s="490"/>
    </row>
    <row r="988" spans="1:9" ht="12.75" customHeight="1">
      <c r="A988" s="354"/>
      <c r="B988" s="354"/>
      <c r="C988" s="354"/>
      <c r="D988" s="3"/>
      <c r="E988" s="3"/>
      <c r="F988" s="3"/>
      <c r="G988" s="3"/>
      <c r="I988" s="490"/>
    </row>
    <row r="989" spans="1:9" ht="12.75" customHeight="1">
      <c r="A989" s="1291" t="s">
        <v>1786</v>
      </c>
      <c r="B989" s="1291"/>
      <c r="C989" s="1291"/>
      <c r="D989" s="1291"/>
      <c r="E989" s="1291"/>
      <c r="F989" s="1291"/>
      <c r="G989" s="1291"/>
      <c r="H989" s="1028"/>
      <c r="I989" s="1153"/>
    </row>
    <row r="990" spans="1:9" ht="12.75" customHeight="1">
      <c r="A990" s="118"/>
      <c r="B990" s="118"/>
      <c r="C990" s="354"/>
      <c r="D990" s="3"/>
      <c r="E990" s="3"/>
      <c r="F990" s="3"/>
      <c r="G990" s="3"/>
      <c r="I990" s="490"/>
    </row>
    <row r="991" spans="1:9" ht="12.75" customHeight="1">
      <c r="A991" s="354"/>
      <c r="B991" s="354"/>
      <c r="C991" s="989"/>
      <c r="D991" s="1301" t="s">
        <v>1808</v>
      </c>
      <c r="E991" s="1301"/>
      <c r="F991" s="1301"/>
      <c r="G991" s="3"/>
      <c r="I991" s="490"/>
    </row>
    <row r="992" spans="1:9" ht="12.75" customHeight="1">
      <c r="A992" s="172"/>
      <c r="B992" s="172"/>
      <c r="C992" s="172"/>
      <c r="D992" s="1294" t="s">
        <v>1787</v>
      </c>
      <c r="E992" s="1294"/>
      <c r="F992" s="1294"/>
      <c r="G992" s="3"/>
      <c r="I992" s="490"/>
    </row>
    <row r="993" spans="1:9" ht="12.75" customHeight="1">
      <c r="A993" s="172"/>
      <c r="B993" s="172"/>
      <c r="C993" s="172"/>
      <c r="D993" s="3"/>
      <c r="E993" s="3"/>
      <c r="F993" s="988"/>
      <c r="G993"/>
      <c r="I993" s="490"/>
    </row>
    <row r="994" spans="1:9" ht="12.75" customHeight="1">
      <c r="A994" s="354"/>
      <c r="B994" s="485" t="s">
        <v>2769</v>
      </c>
      <c r="C994" s="354"/>
      <c r="D994" s="1302" t="s">
        <v>1916</v>
      </c>
      <c r="E994" s="1302"/>
      <c r="F994" s="1302"/>
      <c r="G994"/>
      <c r="I994" s="490"/>
    </row>
    <row r="995" spans="1:9" ht="12.75" customHeight="1">
      <c r="A995" s="354"/>
      <c r="B995" s="354"/>
      <c r="C995" s="354"/>
      <c r="D995" s="1302"/>
      <c r="E995" s="1302"/>
      <c r="F995" s="1302"/>
      <c r="G995"/>
      <c r="I995" s="490"/>
    </row>
    <row r="996" spans="1:9" ht="12.75" customHeight="1">
      <c r="A996" s="354"/>
      <c r="B996" s="354"/>
      <c r="C996" s="354"/>
      <c r="D996" s="1038"/>
      <c r="E996" s="1036" t="s">
        <v>1917</v>
      </c>
      <c r="F996" s="1038"/>
      <c r="G996"/>
      <c r="I996" s="490"/>
    </row>
    <row r="997" spans="1:9" ht="12.75" customHeight="1">
      <c r="A997" s="354"/>
      <c r="B997" s="354"/>
      <c r="C997" s="354"/>
      <c r="D997" s="1273" t="s">
        <v>1915</v>
      </c>
      <c r="E997" s="1273"/>
      <c r="F997" s="1273"/>
      <c r="G997"/>
      <c r="I997" s="490"/>
    </row>
    <row r="998" spans="1:9" ht="12.75" customHeight="1">
      <c r="A998" s="354"/>
      <c r="B998" s="354"/>
      <c r="C998" s="354"/>
      <c r="D998" s="1273"/>
      <c r="E998" s="1273"/>
      <c r="F998" s="1273"/>
      <c r="G998"/>
      <c r="I998" s="490"/>
    </row>
    <row r="999" spans="1:9" ht="12.75" customHeight="1">
      <c r="A999" s="174"/>
      <c r="B999" s="174"/>
      <c r="C999" s="174"/>
      <c r="D999" s="1273"/>
      <c r="E999" s="1273"/>
      <c r="F999" s="1273"/>
      <c r="G999"/>
      <c r="I999" s="490"/>
    </row>
    <row r="1000" spans="1:9" ht="12.75" customHeight="1">
      <c r="A1000" s="174"/>
      <c r="B1000" s="174"/>
      <c r="C1000" s="174"/>
      <c r="D1000" s="1273"/>
      <c r="E1000" s="1273"/>
      <c r="F1000" s="1273"/>
      <c r="G1000"/>
      <c r="I1000" s="490"/>
    </row>
    <row r="1001" spans="1:9" ht="12.75" customHeight="1">
      <c r="A1001" s="174"/>
      <c r="B1001" s="174"/>
      <c r="C1001" s="174"/>
      <c r="D1001" s="335"/>
      <c r="E1001" s="335"/>
      <c r="F1001" s="335"/>
      <c r="G1001"/>
      <c r="I1001" s="490"/>
    </row>
    <row r="1002" spans="1:9" ht="12.75" customHeight="1">
      <c r="A1002" s="174"/>
      <c r="B1002" s="485" t="s">
        <v>2770</v>
      </c>
      <c r="C1002" s="174"/>
      <c r="D1002" s="1268" t="s">
        <v>1788</v>
      </c>
      <c r="E1002" s="1268"/>
      <c r="F1002" s="1268"/>
      <c r="G1002"/>
      <c r="I1002" s="490"/>
    </row>
    <row r="1003" spans="1:9" ht="12.75" customHeight="1">
      <c r="A1003" s="174"/>
      <c r="B1003" s="174"/>
      <c r="C1003" s="174"/>
      <c r="D1003" s="1268"/>
      <c r="E1003" s="1268"/>
      <c r="F1003" s="1268"/>
      <c r="G1003"/>
      <c r="I1003" s="490"/>
    </row>
    <row r="1004" spans="1:9" ht="12.75" customHeight="1">
      <c r="A1004" s="174"/>
      <c r="B1004" s="174"/>
      <c r="C1004" s="174"/>
      <c r="D1004" s="1268"/>
      <c r="E1004" s="1268"/>
      <c r="F1004" s="1268"/>
      <c r="G1004"/>
      <c r="I1004" s="490"/>
    </row>
    <row r="1005" spans="1:9" ht="12.75" customHeight="1">
      <c r="A1005" s="174"/>
      <c r="B1005" s="174"/>
      <c r="C1005" s="174"/>
      <c r="D1005" s="1268"/>
      <c r="E1005" s="1268"/>
      <c r="F1005" s="1268"/>
      <c r="G1005"/>
      <c r="I1005" s="490"/>
    </row>
    <row r="1006" spans="1:9" ht="12.75" customHeight="1">
      <c r="A1006" s="174"/>
      <c r="B1006" s="174"/>
      <c r="C1006" s="174"/>
      <c r="D1006" s="441"/>
      <c r="E1006" s="441"/>
      <c r="F1006" s="441"/>
      <c r="G1006"/>
      <c r="I1006" s="490"/>
    </row>
    <row r="1007" spans="1:9" ht="12.75" customHeight="1">
      <c r="A1007" s="174"/>
      <c r="B1007" s="485" t="s">
        <v>2770</v>
      </c>
      <c r="C1007" s="174"/>
      <c r="D1007" s="1268" t="s">
        <v>2231</v>
      </c>
      <c r="E1007" s="1268"/>
      <c r="F1007" s="1268"/>
      <c r="G1007"/>
      <c r="I1007" s="490"/>
    </row>
    <row r="1008" spans="1:9" ht="12.75" customHeight="1">
      <c r="A1008" s="174"/>
      <c r="B1008" s="174"/>
      <c r="C1008" s="174"/>
      <c r="D1008" s="1268"/>
      <c r="E1008" s="1268"/>
      <c r="F1008" s="1268"/>
      <c r="G1008"/>
      <c r="I1008" s="490"/>
    </row>
    <row r="1009" spans="1:9" ht="12.75" customHeight="1">
      <c r="A1009" s="174"/>
      <c r="B1009" s="174"/>
      <c r="C1009" s="174"/>
      <c r="D1009" s="441"/>
      <c r="E1009" s="441"/>
      <c r="F1009" s="441"/>
      <c r="G1009"/>
      <c r="I1009" s="490"/>
    </row>
    <row r="1010" spans="1:9" ht="12.75" customHeight="1">
      <c r="A1010" s="175"/>
      <c r="B1010" s="485" t="s">
        <v>2769</v>
      </c>
      <c r="C1010" s="354"/>
      <c r="D1010" s="1294" t="s">
        <v>1789</v>
      </c>
      <c r="E1010" s="1294"/>
      <c r="F1010" s="1294"/>
      <c r="G1010"/>
      <c r="I1010" s="490"/>
    </row>
    <row r="1011" spans="1:9" ht="12.75" customHeight="1">
      <c r="A1011" s="354"/>
      <c r="B1011" s="354"/>
      <c r="C1011" s="354"/>
      <c r="D1011" s="3"/>
      <c r="E1011" s="3"/>
      <c r="F1011" s="3"/>
      <c r="G1011"/>
      <c r="I1011" s="490"/>
    </row>
    <row r="1012" spans="1:9" ht="12.75" customHeight="1">
      <c r="A1012" s="175"/>
      <c r="B1012" s="485" t="s">
        <v>2770</v>
      </c>
      <c r="C1012" s="354"/>
      <c r="D1012" s="1294" t="s">
        <v>1790</v>
      </c>
      <c r="E1012" s="1294"/>
      <c r="F1012" s="1294"/>
      <c r="G1012"/>
      <c r="I1012" s="490"/>
    </row>
    <row r="1013" spans="1:9" ht="12.75" customHeight="1">
      <c r="A1013" s="354"/>
      <c r="B1013" s="354"/>
      <c r="C1013" s="354"/>
      <c r="D1013" s="118"/>
      <c r="E1013" s="3"/>
      <c r="F1013" s="3"/>
      <c r="G1013"/>
      <c r="I1013" s="490"/>
    </row>
    <row r="1014" spans="1:9" ht="12.75" customHeight="1">
      <c r="A1014" s="175"/>
      <c r="B1014" s="485" t="s">
        <v>2769</v>
      </c>
      <c r="C1014" s="354"/>
      <c r="D1014" s="1294" t="s">
        <v>1791</v>
      </c>
      <c r="E1014" s="1294"/>
      <c r="F1014" s="1294"/>
      <c r="G1014"/>
      <c r="I1014" s="490"/>
    </row>
    <row r="1015" spans="1:9" ht="12.75" customHeight="1">
      <c r="A1015" s="354"/>
      <c r="B1015" s="354"/>
      <c r="C1015" s="354"/>
      <c r="D1015" s="118"/>
      <c r="E1015" s="3"/>
      <c r="F1015" s="3"/>
      <c r="G1015"/>
      <c r="I1015" s="490"/>
    </row>
    <row r="1016" spans="1:9" ht="12.75" customHeight="1">
      <c r="A1016" s="175"/>
      <c r="B1016" s="485" t="s">
        <v>2770</v>
      </c>
      <c r="C1016" s="354"/>
      <c r="D1016" s="1268" t="s">
        <v>1792</v>
      </c>
      <c r="E1016" s="1268"/>
      <c r="F1016" s="1268"/>
      <c r="G1016"/>
      <c r="I1016" s="490"/>
    </row>
    <row r="1017" spans="1:9" ht="12.75" customHeight="1">
      <c r="A1017" s="175"/>
      <c r="B1017" s="175"/>
      <c r="C1017" s="354"/>
      <c r="D1017" s="1268"/>
      <c r="E1017" s="1268"/>
      <c r="F1017" s="1268"/>
      <c r="G1017"/>
      <c r="I1017" s="490"/>
    </row>
    <row r="1018" spans="1:9" ht="12.75" customHeight="1">
      <c r="A1018" s="175"/>
      <c r="B1018" s="175"/>
      <c r="C1018" s="354"/>
      <c r="D1018" s="118"/>
      <c r="E1018" s="3"/>
      <c r="F1018" s="3"/>
      <c r="G1018" s="3"/>
      <c r="I1018" s="490"/>
    </row>
    <row r="1019" spans="1:9" ht="12.75" customHeight="1">
      <c r="A1019" s="254"/>
      <c r="B1019" s="485" t="s">
        <v>2770</v>
      </c>
      <c r="C1019" s="1000"/>
      <c r="D1019" s="1300" t="s">
        <v>1793</v>
      </c>
      <c r="E1019" s="1300"/>
      <c r="F1019" s="1300"/>
      <c r="G1019" s="1001"/>
      <c r="I1019" s="490"/>
    </row>
    <row r="1020" spans="1:9" ht="12.75" customHeight="1">
      <c r="A1020" s="1000"/>
      <c r="B1020" s="1000"/>
      <c r="C1020" s="1000"/>
      <c r="D1020" s="1300"/>
      <c r="E1020" s="1300"/>
      <c r="F1020" s="1300"/>
      <c r="G1020" s="1001"/>
      <c r="I1020" s="490"/>
    </row>
    <row r="1021" spans="1:9" ht="12.75" customHeight="1">
      <c r="A1021" s="1000"/>
      <c r="B1021" s="1000"/>
      <c r="C1021" s="1000"/>
      <c r="D1021" s="984"/>
      <c r="E1021" s="1001"/>
      <c r="F1021" s="1001"/>
      <c r="G1021" s="1001"/>
      <c r="I1021" s="490"/>
    </row>
    <row r="1022" spans="1:9" ht="12.75" customHeight="1">
      <c r="A1022" s="254"/>
      <c r="B1022" s="485" t="s">
        <v>2770</v>
      </c>
      <c r="C1022" s="1000"/>
      <c r="D1022" s="1290" t="s">
        <v>1794</v>
      </c>
      <c r="E1022" s="1290"/>
      <c r="F1022" s="1290"/>
      <c r="G1022" s="1001"/>
      <c r="I1022" s="490"/>
    </row>
    <row r="1023" spans="1:9" ht="12.75" customHeight="1">
      <c r="A1023" s="1000"/>
      <c r="B1023" s="1000"/>
      <c r="C1023" s="1000"/>
      <c r="D1023" s="984"/>
      <c r="E1023" s="1001"/>
      <c r="F1023" s="1001"/>
      <c r="G1023" s="1001"/>
      <c r="I1023" s="490"/>
    </row>
    <row r="1024" spans="1:9" ht="12.75" customHeight="1">
      <c r="A1024" s="175"/>
      <c r="B1024" s="485" t="s">
        <v>2770</v>
      </c>
      <c r="C1024" s="354"/>
      <c r="D1024" s="1294" t="s">
        <v>1795</v>
      </c>
      <c r="E1024" s="1294"/>
      <c r="F1024" s="1294"/>
      <c r="G1024" s="3"/>
      <c r="I1024" s="490"/>
    </row>
    <row r="1025" spans="1:9" ht="12.75" customHeight="1">
      <c r="A1025" s="175"/>
      <c r="B1025" s="175"/>
      <c r="C1025" s="354"/>
      <c r="D1025" s="118"/>
      <c r="E1025" s="3"/>
      <c r="F1025" s="3"/>
      <c r="G1025" s="3"/>
      <c r="I1025" s="490"/>
    </row>
    <row r="1026" spans="1:9" ht="12.75" customHeight="1">
      <c r="A1026" s="175"/>
      <c r="B1026" s="485" t="s">
        <v>2770</v>
      </c>
      <c r="C1026" s="354"/>
      <c r="D1026" s="1268" t="s">
        <v>1796</v>
      </c>
      <c r="E1026" s="1268"/>
      <c r="F1026" s="1268"/>
      <c r="G1026" s="3"/>
      <c r="I1026" s="490"/>
    </row>
    <row r="1027" spans="1:9" ht="12.75" customHeight="1">
      <c r="A1027" s="175"/>
      <c r="B1027" s="175"/>
      <c r="C1027" s="354"/>
      <c r="D1027" s="1268"/>
      <c r="E1027" s="1268"/>
      <c r="F1027" s="1268"/>
      <c r="G1027" s="3"/>
      <c r="I1027" s="490"/>
    </row>
    <row r="1028" spans="1:9" ht="12.75" customHeight="1">
      <c r="A1028" s="354"/>
      <c r="B1028" s="354"/>
      <c r="C1028" s="354"/>
      <c r="D1028" s="3"/>
      <c r="E1028" s="3"/>
      <c r="F1028" s="3"/>
      <c r="G1028" s="3"/>
      <c r="I1028" s="490"/>
    </row>
    <row r="1029" spans="1:9" ht="12.75" customHeight="1">
      <c r="A1029" s="1291" t="s">
        <v>1797</v>
      </c>
      <c r="B1029" s="1291"/>
      <c r="C1029" s="1291"/>
      <c r="D1029" s="1291"/>
      <c r="E1029" s="1291"/>
      <c r="F1029" s="1291"/>
      <c r="G1029" s="1291"/>
      <c r="H1029" s="1028"/>
      <c r="I1029" s="1153"/>
    </row>
    <row r="1030" spans="1:9" ht="12.75" customHeight="1">
      <c r="A1030" s="354"/>
      <c r="B1030" s="354"/>
      <c r="C1030" s="354"/>
      <c r="D1030" s="3"/>
      <c r="E1030" s="3"/>
      <c r="F1030" s="3"/>
      <c r="G1030" s="3"/>
      <c r="I1030" s="490"/>
    </row>
    <row r="1031" spans="1:9" ht="12.75" customHeight="1">
      <c r="A1031" s="354"/>
      <c r="B1031" s="354"/>
      <c r="C1031" s="354"/>
      <c r="D1031" s="1289" t="s">
        <v>1798</v>
      </c>
      <c r="E1031" s="1289"/>
      <c r="F1031" s="1289"/>
      <c r="G1031" s="3"/>
      <c r="I1031" s="490"/>
    </row>
    <row r="1032" spans="1:9" ht="12.75" customHeight="1">
      <c r="A1032" s="354"/>
      <c r="B1032" s="354"/>
      <c r="C1032" s="354"/>
      <c r="D1032" s="1290" t="s">
        <v>1799</v>
      </c>
      <c r="E1032" s="1290"/>
      <c r="F1032" s="1290"/>
      <c r="G1032" s="3"/>
      <c r="I1032" s="490"/>
    </row>
    <row r="1033" spans="1:9" ht="12.75" customHeight="1">
      <c r="A1033" s="172"/>
      <c r="B1033" s="172"/>
      <c r="C1033" s="172"/>
      <c r="D1033" s="3"/>
      <c r="E1033" s="3"/>
      <c r="F1033" s="3"/>
      <c r="G1033" s="3"/>
      <c r="I1033" s="490"/>
    </row>
    <row r="1034" spans="1:9" ht="12.75" customHeight="1">
      <c r="A1034" s="175"/>
      <c r="B1034" s="175"/>
      <c r="C1034" s="174"/>
      <c r="D1034" s="1289" t="s">
        <v>1813</v>
      </c>
      <c r="E1034" s="1289"/>
      <c r="F1034" s="1289"/>
      <c r="G1034" s="3"/>
      <c r="I1034" s="490"/>
    </row>
    <row r="1035" spans="1:9" ht="12.75" customHeight="1">
      <c r="A1035" s="354"/>
      <c r="B1035" s="485" t="s">
        <v>2769</v>
      </c>
      <c r="C1035" s="354"/>
      <c r="D1035" s="1290" t="s">
        <v>1271</v>
      </c>
      <c r="E1035" s="1290"/>
      <c r="F1035" s="1290"/>
      <c r="G1035" s="3"/>
      <c r="I1035" s="490"/>
    </row>
    <row r="1036" spans="1:9" ht="12.75" customHeight="1">
      <c r="A1036" s="354"/>
      <c r="B1036" s="175"/>
      <c r="C1036" s="354"/>
      <c r="D1036" s="1290" t="s">
        <v>1800</v>
      </c>
      <c r="E1036" s="1290"/>
      <c r="F1036" s="1290"/>
      <c r="G1036" s="3"/>
      <c r="I1036" s="490"/>
    </row>
    <row r="1037" spans="1:9" ht="12.75" customHeight="1">
      <c r="A1037" s="354"/>
      <c r="B1037" s="354"/>
      <c r="C1037" s="354"/>
      <c r="D1037" s="1290"/>
      <c r="E1037" s="1290"/>
      <c r="F1037" s="1290"/>
      <c r="G1037" s="3"/>
      <c r="I1037" s="490"/>
    </row>
    <row r="1038" spans="1:9" ht="12.75" customHeight="1">
      <c r="A1038" s="1291" t="s">
        <v>1809</v>
      </c>
      <c r="B1038" s="1291"/>
      <c r="C1038" s="1291"/>
      <c r="D1038" s="1291"/>
      <c r="E1038" s="1291"/>
      <c r="F1038" s="1291"/>
      <c r="G1038" s="1291"/>
      <c r="H1038" s="1028"/>
      <c r="I1038" s="1153"/>
    </row>
    <row r="1039" spans="1:9" ht="12.75" customHeight="1">
      <c r="A1039" s="118"/>
      <c r="B1039" s="118"/>
      <c r="C1039" s="354"/>
      <c r="D1039" s="3"/>
      <c r="E1039" s="3"/>
      <c r="F1039" s="3"/>
      <c r="G1039" s="3"/>
      <c r="I1039" s="490"/>
    </row>
    <row r="1040" spans="1:9" ht="12.75" hidden="1" customHeight="1">
      <c r="A1040" s="118"/>
      <c r="B1040" s="402"/>
      <c r="D1040" s="1288" t="s">
        <v>1272</v>
      </c>
      <c r="E1040" s="1288"/>
      <c r="F1040" s="1288"/>
      <c r="G1040" s="3"/>
      <c r="I1040" s="490"/>
    </row>
    <row r="1041" spans="1:9" ht="12.75" hidden="1" customHeight="1">
      <c r="A1041" s="118"/>
      <c r="B1041" s="485" t="s">
        <v>307</v>
      </c>
      <c r="D1041" s="1287" t="s">
        <v>1271</v>
      </c>
      <c r="E1041" s="1287"/>
      <c r="F1041" s="1287"/>
      <c r="G1041" s="3"/>
      <c r="I1041" s="490"/>
    </row>
    <row r="1042" spans="1:9" ht="12.75" hidden="1" customHeight="1">
      <c r="A1042" s="118"/>
      <c r="B1042" s="402"/>
      <c r="D1042" s="1287" t="s">
        <v>1810</v>
      </c>
      <c r="E1042" s="1287"/>
      <c r="F1042" s="1287"/>
      <c r="G1042" s="3"/>
      <c r="I1042" s="490"/>
    </row>
    <row r="1043" spans="1:9" ht="12.75" hidden="1" customHeight="1">
      <c r="A1043" s="118"/>
      <c r="B1043" s="402"/>
      <c r="D1043" s="444"/>
      <c r="E1043" s="444"/>
      <c r="F1043" s="444"/>
      <c r="G1043" s="3"/>
      <c r="I1043" s="490"/>
    </row>
    <row r="1044" spans="1:9" ht="12.75" customHeight="1">
      <c r="A1044" s="118"/>
      <c r="B1044" s="118"/>
      <c r="C1044" s="354"/>
      <c r="D1044" s="1292" t="s">
        <v>1066</v>
      </c>
      <c r="E1044" s="1292"/>
      <c r="F1044" s="1292"/>
      <c r="G1044" s="3"/>
      <c r="I1044" s="490"/>
    </row>
    <row r="1045" spans="1:9" ht="12.75" customHeight="1">
      <c r="A1045" s="319"/>
      <c r="B1045" s="319"/>
      <c r="C1045" s="319"/>
      <c r="D1045" s="1293" t="s">
        <v>2249</v>
      </c>
      <c r="E1045" s="1293"/>
      <c r="F1045" s="1293"/>
      <c r="G1045" s="98"/>
      <c r="I1045" s="490"/>
    </row>
    <row r="1046" spans="1:9" ht="12.75" customHeight="1">
      <c r="A1046" s="175"/>
      <c r="B1046" s="485" t="s">
        <v>2770</v>
      </c>
      <c r="C1046" s="354"/>
      <c r="D1046" s="1293" t="s">
        <v>985</v>
      </c>
      <c r="E1046" s="1293"/>
      <c r="F1046" s="1293"/>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91" t="s">
        <v>1830</v>
      </c>
      <c r="B1049" s="1291"/>
      <c r="C1049" s="1291"/>
      <c r="D1049" s="1291"/>
      <c r="E1049" s="1291"/>
      <c r="F1049" s="1291"/>
      <c r="G1049" s="1291"/>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2770</v>
      </c>
      <c r="C1054" s="402"/>
      <c r="D1054" s="1297" t="s">
        <v>1814</v>
      </c>
      <c r="E1054" s="1297"/>
      <c r="F1054" s="1297"/>
      <c r="I1054" s="490"/>
    </row>
    <row r="1055" spans="1:9">
      <c r="A1055" s="402"/>
      <c r="B1055" s="402"/>
      <c r="C1055" s="402"/>
      <c r="D1055" s="1297"/>
      <c r="E1055" s="1297"/>
      <c r="F1055" s="1297"/>
      <c r="I1055" s="490"/>
    </row>
    <row r="1056" spans="1:9">
      <c r="A1056" s="402"/>
      <c r="B1056" s="402"/>
      <c r="C1056" s="402"/>
      <c r="D1056" s="1297"/>
      <c r="E1056" s="1297"/>
      <c r="F1056" s="1297"/>
      <c r="I1056" s="490"/>
    </row>
    <row r="1057" spans="1:9">
      <c r="A1057" s="402"/>
      <c r="B1057" s="402"/>
      <c r="C1057" s="402"/>
      <c r="D1057" s="1297"/>
      <c r="E1057" s="1297"/>
      <c r="F1057" s="1297"/>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2769</v>
      </c>
      <c r="C1062" s="402"/>
      <c r="D1062" s="402" t="s">
        <v>1812</v>
      </c>
      <c r="I1062" s="490"/>
    </row>
    <row r="1063" spans="1:9">
      <c r="A1063" s="402"/>
      <c r="B1063" s="402"/>
      <c r="C1063" s="402"/>
      <c r="I1063" s="490"/>
    </row>
    <row r="1064" spans="1:9">
      <c r="A1064" s="402"/>
      <c r="B1064" s="485" t="s">
        <v>2770</v>
      </c>
      <c r="C1064" s="402"/>
      <c r="D1064" s="1297" t="s">
        <v>1818</v>
      </c>
      <c r="E1064" s="1297"/>
      <c r="F1064" s="1297"/>
      <c r="I1064" s="490"/>
    </row>
    <row r="1065" spans="1:9">
      <c r="A1065" s="402"/>
      <c r="B1065" s="402"/>
      <c r="C1065" s="402"/>
      <c r="D1065" s="1297"/>
      <c r="E1065" s="1297"/>
      <c r="F1065" s="1297"/>
      <c r="I1065" s="490"/>
    </row>
    <row r="1066" spans="1:9">
      <c r="A1066" s="402"/>
      <c r="B1066" s="402"/>
      <c r="C1066" s="402"/>
      <c r="D1066" s="1297"/>
      <c r="E1066" s="1297"/>
      <c r="F1066" s="1297"/>
      <c r="I1066" s="490"/>
    </row>
    <row r="1067" spans="1:9">
      <c r="A1067" s="402"/>
      <c r="B1067" s="402"/>
      <c r="C1067" s="402"/>
      <c r="D1067" s="1297"/>
      <c r="E1067" s="1297"/>
      <c r="F1067" s="1297"/>
      <c r="I1067" s="490"/>
    </row>
    <row r="1068" spans="1:9">
      <c r="A1068" s="402"/>
      <c r="B1068" s="402"/>
      <c r="C1068" s="402"/>
      <c r="D1068" s="1297"/>
      <c r="E1068" s="1297"/>
      <c r="F1068" s="1297"/>
      <c r="I1068" s="490"/>
    </row>
    <row r="1069" spans="1:9">
      <c r="A1069" s="402"/>
      <c r="B1069" s="402"/>
      <c r="C1069" s="402"/>
      <c r="I1069" s="490"/>
    </row>
    <row r="1070" spa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c r="C1072" s="402"/>
      <c r="I1072" s="490"/>
    </row>
    <row r="1073" spans="1:9">
      <c r="A1073" s="402"/>
      <c r="B1073" s="485" t="s">
        <v>2769</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2770</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2769</v>
      </c>
      <c r="C1079" s="402"/>
      <c r="D1079" s="119" t="s">
        <v>1828</v>
      </c>
      <c r="I1079" s="490"/>
    </row>
    <row r="1080" spans="1:9">
      <c r="A1080" s="402"/>
      <c r="B1080" s="402"/>
      <c r="C1080" s="402"/>
      <c r="D1080" s="1268" t="s">
        <v>1829</v>
      </c>
      <c r="E1080" s="1268"/>
      <c r="F1080" s="1268"/>
      <c r="I1080" s="490"/>
    </row>
    <row r="1081" spans="1:9">
      <c r="A1081" s="402"/>
      <c r="B1081" s="402"/>
      <c r="C1081" s="402"/>
      <c r="D1081" s="1268"/>
      <c r="E1081" s="1268"/>
      <c r="F1081" s="1268"/>
      <c r="I1081" s="490"/>
    </row>
    <row r="1082" spans="1:9">
      <c r="A1082" s="402"/>
      <c r="B1082" s="402"/>
      <c r="C1082" s="402"/>
      <c r="D1082" s="1268"/>
      <c r="E1082" s="1268"/>
      <c r="F1082" s="1268"/>
      <c r="I1082" s="490"/>
    </row>
    <row r="1083" spans="1:9">
      <c r="A1083" s="402"/>
      <c r="B1083" s="402"/>
      <c r="C1083" s="402"/>
      <c r="D1083" s="1268"/>
      <c r="E1083" s="1268"/>
      <c r="F1083" s="1268"/>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2770</v>
      </c>
      <c r="C1087" s="402"/>
      <c r="D1087" s="1296" t="s">
        <v>1821</v>
      </c>
      <c r="E1087" s="1296"/>
      <c r="F1087" s="1296"/>
      <c r="I1087" s="490"/>
    </row>
    <row r="1088" spans="1:9">
      <c r="A1088" s="402"/>
      <c r="B1088" s="402"/>
      <c r="C1088" s="402"/>
      <c r="D1088" s="1296"/>
      <c r="E1088" s="1296"/>
      <c r="F1088" s="1296"/>
      <c r="I1088" s="490"/>
    </row>
    <row r="1089" spans="1:9">
      <c r="A1089" s="402"/>
      <c r="B1089" s="402"/>
      <c r="C1089" s="402"/>
      <c r="D1089" s="1296"/>
      <c r="E1089" s="1296"/>
      <c r="F1089" s="1296"/>
      <c r="I1089" s="490"/>
    </row>
    <row r="1090" spans="1:9">
      <c r="A1090" s="402"/>
      <c r="B1090" s="402"/>
      <c r="C1090" s="402"/>
      <c r="D1090" s="1296"/>
      <c r="E1090" s="1296"/>
      <c r="F1090" s="1296"/>
      <c r="I1090" s="490"/>
    </row>
    <row r="1091" spans="1:9">
      <c r="A1091" s="402"/>
      <c r="B1091" s="402"/>
      <c r="C1091" s="402"/>
      <c r="D1091" s="1296"/>
      <c r="E1091" s="1296"/>
      <c r="F1091" s="1296"/>
      <c r="I1091" s="490"/>
    </row>
    <row r="1092" spans="1:9">
      <c r="A1092" s="402"/>
      <c r="B1092" s="402"/>
      <c r="C1092" s="402"/>
      <c r="D1092" s="527" t="s">
        <v>1826</v>
      </c>
      <c r="I1092" s="490"/>
    </row>
    <row r="1093" spans="1:9">
      <c r="A1093" s="402"/>
      <c r="B1093" s="402"/>
      <c r="C1093" s="402"/>
      <c r="I1093" s="490"/>
    </row>
    <row r="1094" spans="1:9">
      <c r="A1094" s="402"/>
      <c r="B1094" s="485" t="s">
        <v>2770</v>
      </c>
      <c r="C1094" s="402"/>
      <c r="D1094" s="1282" t="s">
        <v>2282</v>
      </c>
      <c r="E1094" s="1282"/>
      <c r="F1094" s="1282"/>
      <c r="I1094" s="490"/>
    </row>
    <row r="1095" spans="1:9">
      <c r="A1095" s="402"/>
      <c r="B1095" s="402"/>
      <c r="C1095" s="402"/>
      <c r="D1095" s="1282"/>
      <c r="E1095" s="1282"/>
      <c r="F1095" s="1282"/>
      <c r="I1095" s="490"/>
    </row>
    <row r="1096" spans="1:9">
      <c r="A1096" s="402"/>
      <c r="B1096" s="402"/>
      <c r="C1096" s="402"/>
      <c r="D1096" s="1282"/>
      <c r="E1096" s="1282"/>
      <c r="F1096" s="1282"/>
      <c r="I1096" s="490"/>
    </row>
    <row r="1097" spans="1:9">
      <c r="A1097" s="402"/>
      <c r="B1097" s="402"/>
      <c r="C1097" s="402"/>
      <c r="I1097" s="490"/>
    </row>
    <row r="1098" spans="1:9">
      <c r="A1098" s="1291" t="s">
        <v>1831</v>
      </c>
      <c r="B1098" s="1291"/>
      <c r="C1098" s="1291"/>
      <c r="D1098" s="1291"/>
      <c r="E1098" s="1291"/>
      <c r="F1098" s="1291"/>
      <c r="G1098" s="1291"/>
      <c r="H1098" s="1028"/>
      <c r="I1098" s="1153"/>
    </row>
    <row r="1099" spans="1:9">
      <c r="A1099" s="402"/>
      <c r="B1099" s="402"/>
      <c r="C1099" s="402"/>
      <c r="I1099" s="490"/>
    </row>
    <row r="1100" spans="1:9">
      <c r="A1100" s="402"/>
      <c r="B1100" s="402"/>
      <c r="C1100" s="402"/>
      <c r="I1100" s="490"/>
    </row>
    <row r="1101" spans="1:9" ht="12.75" customHeight="1">
      <c r="A1101" s="402"/>
      <c r="B1101" s="485" t="s">
        <v>2770</v>
      </c>
      <c r="C1101" s="402"/>
      <c r="D1101" s="1298" t="s">
        <v>1930</v>
      </c>
      <c r="E1101" s="1298"/>
      <c r="F1101" s="1298"/>
      <c r="I1101" s="490"/>
    </row>
    <row r="1102" spans="1:9">
      <c r="A1102" s="402"/>
      <c r="B1102" s="402"/>
      <c r="C1102" s="402"/>
      <c r="D1102" s="1298"/>
      <c r="E1102" s="1298"/>
      <c r="F1102" s="1298"/>
      <c r="I1102" s="490"/>
    </row>
    <row r="1103" spans="1:9">
      <c r="A1103" s="402"/>
      <c r="B1103" s="402"/>
      <c r="C1103" s="402"/>
      <c r="D1103" s="1299" t="s">
        <v>2144</v>
      </c>
      <c r="E1103" s="1268"/>
      <c r="F1103" s="1268"/>
      <c r="I1103" s="490"/>
    </row>
    <row r="1104" spans="1:9">
      <c r="A1104" s="402"/>
      <c r="B1104" s="402"/>
      <c r="C1104" s="402"/>
      <c r="D1104" s="527"/>
      <c r="I1104" s="490"/>
    </row>
    <row r="1105" spans="1:9">
      <c r="A1105" s="402"/>
      <c r="B1105" s="485" t="s">
        <v>2770</v>
      </c>
      <c r="C1105" s="402"/>
      <c r="D1105" s="1296" t="s">
        <v>1832</v>
      </c>
      <c r="E1105" s="1296"/>
      <c r="F1105" s="1296"/>
      <c r="I1105" s="490"/>
    </row>
    <row r="1106" spans="1:9">
      <c r="A1106" s="402"/>
      <c r="B1106" s="402"/>
      <c r="C1106" s="402"/>
      <c r="D1106" s="1296"/>
      <c r="E1106" s="1296"/>
      <c r="F1106" s="1296"/>
      <c r="I1106" s="490"/>
    </row>
    <row r="1107" spans="1:9">
      <c r="A1107" s="402"/>
      <c r="B1107" s="402"/>
      <c r="C1107" s="402"/>
      <c r="D1107" s="527"/>
      <c r="I1107" s="490"/>
    </row>
    <row r="1108" spans="1:9">
      <c r="A1108" s="402"/>
      <c r="B1108" s="485" t="s">
        <v>2770</v>
      </c>
      <c r="C1108" s="402"/>
      <c r="D1108" s="1296" t="s">
        <v>1888</v>
      </c>
      <c r="E1108" s="1296"/>
      <c r="F1108" s="1296"/>
      <c r="I1108" s="490"/>
    </row>
    <row r="1109" spans="1:9">
      <c r="A1109" s="402"/>
      <c r="B1109" s="402"/>
      <c r="C1109" s="402"/>
      <c r="D1109" s="1296"/>
      <c r="E1109" s="1296"/>
      <c r="F1109" s="1296"/>
      <c r="I1109" s="490"/>
    </row>
    <row r="1110" spans="1:9">
      <c r="A1110" s="402"/>
      <c r="B1110" s="402"/>
      <c r="C1110" s="402"/>
      <c r="D1110" s="1296"/>
      <c r="E1110" s="1296"/>
      <c r="F1110" s="1296"/>
      <c r="I1110" s="490"/>
    </row>
    <row r="1111" spans="1:9">
      <c r="A1111" s="402"/>
      <c r="B1111" s="402"/>
      <c r="C1111" s="402"/>
      <c r="D1111" s="1296"/>
      <c r="E1111" s="1296"/>
      <c r="F1111" s="1296"/>
      <c r="I1111" s="490"/>
    </row>
    <row r="1112" spans="1:9">
      <c r="A1112" s="402"/>
      <c r="B1112" s="402"/>
      <c r="C1112" s="402"/>
      <c r="D1112" s="1296"/>
      <c r="E1112" s="1296"/>
      <c r="F1112" s="1296"/>
      <c r="I1112" s="490"/>
    </row>
    <row r="1113" spans="1:9">
      <c r="A1113" s="402"/>
      <c r="B1113" s="402"/>
      <c r="C1113" s="402"/>
      <c r="D1113" s="1296"/>
      <c r="E1113" s="1296"/>
      <c r="F1113" s="1296"/>
      <c r="I1113" s="490"/>
    </row>
    <row r="1114" spans="1:9">
      <c r="A1114" s="402"/>
      <c r="B1114" s="402"/>
      <c r="C1114" s="402"/>
      <c r="D1114" s="527"/>
      <c r="I1114" s="480"/>
    </row>
    <row r="1115" spans="1:9">
      <c r="A1115" s="402"/>
      <c r="B1115" s="485" t="s">
        <v>2770</v>
      </c>
      <c r="C1115" s="402"/>
      <c r="D1115" s="1296" t="s">
        <v>1833</v>
      </c>
      <c r="E1115" s="1296"/>
      <c r="F1115" s="1296"/>
      <c r="I1115" s="490"/>
    </row>
    <row r="1116" spans="1:9">
      <c r="A1116" s="402"/>
      <c r="B1116" s="402"/>
      <c r="C1116" s="402"/>
      <c r="D1116" s="1296"/>
      <c r="E1116" s="1296"/>
      <c r="F1116" s="1296"/>
      <c r="I1116" s="490"/>
    </row>
    <row r="1117" spans="1:9">
      <c r="A1117" s="402"/>
      <c r="B1117" s="402"/>
      <c r="C1117" s="402"/>
      <c r="D1117" s="1296"/>
      <c r="E1117" s="1296"/>
      <c r="F1117" s="1296"/>
      <c r="I1117" s="490"/>
    </row>
    <row r="1118" spans="1:9">
      <c r="A1118" s="402"/>
      <c r="B1118" s="402"/>
      <c r="C1118" s="402"/>
      <c r="D1118" s="527"/>
      <c r="I1118" s="490"/>
    </row>
    <row r="1119" spans="1:9">
      <c r="A1119" s="402"/>
      <c r="B1119" s="485" t="s">
        <v>2770</v>
      </c>
      <c r="C1119" s="402"/>
      <c r="D1119" s="1273" t="s">
        <v>1889</v>
      </c>
      <c r="E1119" s="1273"/>
      <c r="F1119" s="1273"/>
      <c r="I1119" s="490"/>
    </row>
    <row r="1120" spans="1:9">
      <c r="A1120" s="402"/>
      <c r="B1120" s="402"/>
      <c r="C1120" s="402"/>
      <c r="D1120" s="1273"/>
      <c r="E1120" s="1273"/>
      <c r="F1120" s="1273"/>
      <c r="I1120" s="490"/>
    </row>
    <row r="1121" spans="1:9">
      <c r="A1121" s="402"/>
      <c r="B1121" s="402"/>
      <c r="C1121" s="402"/>
      <c r="D1121" s="1273"/>
      <c r="E1121" s="1273"/>
      <c r="F1121" s="1273"/>
      <c r="I1121" s="490"/>
    </row>
    <row r="1122" spans="1:9">
      <c r="A1122" s="402"/>
      <c r="B1122" s="402"/>
      <c r="C1122" s="402"/>
      <c r="D1122" s="980"/>
      <c r="E1122" s="980"/>
      <c r="F1122" s="980"/>
      <c r="I1122" s="490"/>
    </row>
    <row r="1123" spans="1:9" ht="15.75" customHeight="1">
      <c r="A1123" s="402"/>
      <c r="B1123" s="485" t="s">
        <v>2768</v>
      </c>
      <c r="C1123" s="402"/>
      <c r="D1123" s="1268" t="s">
        <v>1890</v>
      </c>
      <c r="E1123" s="1268"/>
      <c r="F1123" s="1268"/>
      <c r="I1123" s="490"/>
    </row>
    <row r="1124" spans="1:9">
      <c r="A1124" s="402"/>
      <c r="B1124" s="402"/>
      <c r="C1124" s="402"/>
      <c r="D1124" s="1268"/>
      <c r="E1124" s="1268"/>
      <c r="F1124" s="1268"/>
      <c r="I1124" s="490"/>
    </row>
    <row r="1125" spans="1:9">
      <c r="A1125" s="402"/>
      <c r="B1125" s="402"/>
      <c r="C1125" s="402"/>
      <c r="D1125" s="1268"/>
      <c r="E1125" s="1268"/>
      <c r="F1125" s="1268"/>
      <c r="I1125" s="490"/>
    </row>
    <row r="1126" spans="1:9">
      <c r="A1126" s="402"/>
      <c r="B1126" s="402"/>
      <c r="C1126" s="402"/>
      <c r="D1126" s="1268"/>
      <c r="E1126" s="1268"/>
      <c r="F1126" s="1268"/>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5"/>
      <c r="H1541" s="1315"/>
      <c r="I1541" s="1315"/>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673" workbookViewId="0">
      <selection activeCell="C409" sqref="C40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Bay Area ((Alameda, Contra Costa, Marin, San Francisco, San Mateo, Santa Clara, and Santa Cruz Counties)</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50</v>
      </c>
    </row>
    <row r="8" spans="1:58" ht="26.25" customHeight="1">
      <c r="A8" s="1403" t="s">
        <v>100</v>
      </c>
      <c r="B8" s="1403"/>
      <c r="C8" s="1403"/>
      <c r="D8" s="1403"/>
      <c r="E8" s="1403"/>
      <c r="F8" s="1403"/>
      <c r="G8" s="1403"/>
      <c r="H8" s="1403"/>
      <c r="I8" s="1403"/>
      <c r="J8" s="1403"/>
      <c r="K8" s="1403"/>
      <c r="L8" s="1403"/>
      <c r="M8" s="1403"/>
      <c r="N8" s="1403"/>
      <c r="O8" s="1403"/>
      <c r="P8" s="1403"/>
      <c r="Q8" s="1403"/>
      <c r="R8" s="1403"/>
      <c r="S8" s="1403"/>
      <c r="T8" s="1403"/>
      <c r="U8" s="1403"/>
      <c r="V8" s="1403"/>
      <c r="W8" s="1403"/>
      <c r="X8" s="1403"/>
      <c r="Y8" s="1403"/>
      <c r="Z8" s="1403"/>
      <c r="AA8" s="1403"/>
      <c r="AB8" s="1403"/>
      <c r="AC8" s="1403"/>
      <c r="AD8" s="1403"/>
      <c r="AE8" s="1403"/>
      <c r="AF8" s="1403"/>
      <c r="AG8" s="1403"/>
      <c r="AH8" s="1403"/>
      <c r="AI8" s="1403"/>
      <c r="AJ8" s="1403"/>
      <c r="AK8" s="1403"/>
      <c r="AL8" s="1403"/>
      <c r="AM8" s="1403"/>
      <c r="AN8" s="1403"/>
      <c r="AO8" s="1403"/>
      <c r="AP8" s="1403"/>
      <c r="AQ8" s="1403"/>
      <c r="AR8" s="1403"/>
      <c r="AS8" s="1403"/>
      <c r="AT8" s="1403"/>
      <c r="AU8" s="898"/>
      <c r="AV8" s="898"/>
      <c r="AW8" s="898"/>
      <c r="AX8" s="898"/>
      <c r="AY8" s="898"/>
      <c r="BD8" s="3" t="s">
        <v>2511</v>
      </c>
      <c r="BE8" s="1249">
        <f>SUMIF($AC$718:$AC$752,"&lt;=35%",$G$718:G$752)-SUM($BE$5:BE7)</f>
        <v>0</v>
      </c>
    </row>
    <row r="9" spans="1:58" ht="12.95" customHeight="1">
      <c r="A9" s="1374" t="s">
        <v>2077</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48" t="s">
        <v>2503</v>
      </c>
      <c r="BE9" s="1249">
        <f>SUMIF($AC$718:$AC$752,"&lt;=40%",$G$718:G$752)-SUM($BE$5:BE8)</f>
        <v>0</v>
      </c>
    </row>
    <row r="10" spans="1:58" ht="12.95" customHeight="1">
      <c r="A10" s="1374" t="s">
        <v>2460</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2512</v>
      </c>
      <c r="BE10" s="1249">
        <f>SUMIF($AC$718:$AC$752,"&lt;=45%",$G$718:G$752)-SUM($BE$5:BE9)</f>
        <v>0</v>
      </c>
    </row>
    <row r="11" spans="1:58" ht="12.95" customHeight="1">
      <c r="A11" s="1374" t="s">
        <v>2606</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47" t="s">
        <v>2504</v>
      </c>
      <c r="BE11" s="1249">
        <f>SUMIF($AC$718:$AC$752,"&lt;=50%",$G$718:G$752)-SUM($BE$5:BE10)</f>
        <v>92</v>
      </c>
    </row>
    <row r="12" spans="1:58" ht="12.95" customHeight="1">
      <c r="A12" s="1404" t="s">
        <v>2611</v>
      </c>
      <c r="B12" s="1404"/>
      <c r="C12" s="1404"/>
      <c r="D12" s="1404"/>
      <c r="E12" s="1404"/>
      <c r="F12" s="1404"/>
      <c r="G12" s="1404"/>
      <c r="H12" s="1404"/>
      <c r="I12" s="1404"/>
      <c r="J12" s="1404"/>
      <c r="K12" s="1404"/>
      <c r="L12" s="1404"/>
      <c r="M12" s="1404"/>
      <c r="N12" s="1404"/>
      <c r="O12" s="1404"/>
      <c r="P12" s="1404"/>
      <c r="Q12" s="1404"/>
      <c r="R12" s="1404"/>
      <c r="S12" s="1404"/>
      <c r="T12" s="1404"/>
      <c r="U12" s="1404"/>
      <c r="V12" s="1404"/>
      <c r="W12" s="1404"/>
      <c r="X12" s="1404"/>
      <c r="Y12" s="1404"/>
      <c r="Z12" s="1404"/>
      <c r="AA12" s="1404"/>
      <c r="AB12" s="1404"/>
      <c r="AC12" s="1404"/>
      <c r="AD12" s="1404"/>
      <c r="AE12" s="1404"/>
      <c r="AF12" s="1404"/>
      <c r="AG12" s="1404"/>
      <c r="AH12" s="1404"/>
      <c r="AI12" s="1404"/>
      <c r="AJ12" s="1404"/>
      <c r="AK12" s="1404"/>
      <c r="AL12" s="1404"/>
      <c r="AM12" s="1404"/>
      <c r="AN12" s="1404"/>
      <c r="AO12" s="1404"/>
      <c r="AP12" s="1404"/>
      <c r="AQ12" s="1404"/>
      <c r="AR12" s="1404"/>
      <c r="AS12" s="1404"/>
      <c r="AT12" s="1404"/>
      <c r="AU12" s="6"/>
      <c r="AV12" s="6"/>
      <c r="AW12" s="6"/>
      <c r="AX12" s="6"/>
      <c r="AY12" s="6"/>
      <c r="BD12" s="3" t="s">
        <v>2513</v>
      </c>
      <c r="BE12" s="1249">
        <f>SUMIF($AC$718:$AC$752,"&lt;=55%",$G$718:G$752)-SUM($BE$5:BE11)</f>
        <v>0</v>
      </c>
    </row>
    <row r="13" spans="1:58" ht="12.95" customHeight="1">
      <c r="A13" s="1266" t="s">
        <v>2078</v>
      </c>
      <c r="B13" s="1266"/>
      <c r="C13" s="1266"/>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1266"/>
      <c r="AM13" s="1266"/>
      <c r="AN13" s="1266"/>
      <c r="AO13" s="1266"/>
      <c r="AP13" s="1266"/>
      <c r="AQ13" s="1266"/>
      <c r="AR13" s="1266"/>
      <c r="AS13" s="1266"/>
      <c r="AT13" s="1266"/>
      <c r="AU13" s="899"/>
      <c r="AV13" s="899"/>
      <c r="AW13" s="899"/>
      <c r="AX13" s="899"/>
      <c r="AY13" s="899"/>
      <c r="BD13" s="1248" t="s">
        <v>2505</v>
      </c>
      <c r="BE13" s="1249">
        <f>SUMIF($AC$718:$AC$752,"&lt;=60%",$G$718:G$752)-SUM($BE$5:BE12)</f>
        <v>51</v>
      </c>
    </row>
    <row r="14" spans="1:58" ht="12.95" customHeight="1">
      <c r="A14" s="1266"/>
      <c r="B14" s="1266"/>
      <c r="C14" s="1266"/>
      <c r="D14" s="1266"/>
      <c r="E14" s="1266"/>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6"/>
      <c r="AR14" s="1266"/>
      <c r="AS14" s="1266"/>
      <c r="AT14" s="1266"/>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412" t="s">
        <v>2706</v>
      </c>
      <c r="I16" s="1413"/>
      <c r="J16" s="1413"/>
      <c r="K16" s="1413"/>
      <c r="L16" s="1413"/>
      <c r="M16" s="1413"/>
      <c r="N16" s="1413"/>
      <c r="O16" s="1413"/>
      <c r="P16" s="1413"/>
      <c r="Q16" s="1413"/>
      <c r="R16" s="1413"/>
      <c r="S16" s="1413"/>
      <c r="T16" s="1413"/>
      <c r="U16" s="1413"/>
      <c r="V16" s="1413"/>
      <c r="W16" s="1413"/>
      <c r="X16" s="1413"/>
      <c r="Y16" s="1413"/>
      <c r="Z16" s="1413"/>
      <c r="AA16" s="1413"/>
      <c r="AB16" s="1413"/>
      <c r="AC16" s="1413"/>
      <c r="AD16" s="1413"/>
      <c r="AE16" s="1413"/>
      <c r="AF16" s="1413"/>
      <c r="AG16" s="1413"/>
      <c r="AH16" s="1413"/>
      <c r="AI16" s="1413"/>
      <c r="AJ16" s="1413"/>
      <c r="BD16" s="1248" t="s">
        <v>656</v>
      </c>
      <c r="BE16" s="1249" t="str">
        <f>Application!H18</f>
        <v>Berryessa TOD</v>
      </c>
    </row>
    <row r="17" spans="1:58" ht="12.95" customHeight="1">
      <c r="BD17" s="1247" t="s">
        <v>2520</v>
      </c>
      <c r="BE17" s="1249">
        <f>Application!AA934</f>
        <v>0</v>
      </c>
    </row>
    <row r="18" spans="1:58" ht="12.95" customHeight="1">
      <c r="A18" s="57" t="s">
        <v>101</v>
      </c>
      <c r="C18" s="4"/>
      <c r="D18" s="4"/>
      <c r="E18" s="4"/>
      <c r="F18" s="4"/>
      <c r="G18" s="4"/>
      <c r="H18" s="1409" t="s">
        <v>2612</v>
      </c>
      <c r="I18" s="1410"/>
      <c r="J18" s="1410"/>
      <c r="K18" s="1410"/>
      <c r="L18" s="1410"/>
      <c r="M18" s="1410"/>
      <c r="N18" s="1410"/>
      <c r="O18" s="1410"/>
      <c r="P18" s="1410"/>
      <c r="Q18" s="1410"/>
      <c r="R18" s="1410"/>
      <c r="S18" s="1410"/>
      <c r="T18" s="1410"/>
      <c r="U18" s="1410"/>
      <c r="V18" s="1410"/>
      <c r="W18" s="1410"/>
      <c r="X18" s="1410"/>
      <c r="Y18" s="1410"/>
      <c r="Z18" s="1410"/>
      <c r="AA18" s="1410"/>
      <c r="AB18" s="1410"/>
      <c r="AC18" s="1410"/>
      <c r="AD18" s="1410"/>
      <c r="AE18" s="1410"/>
      <c r="AF18" s="1410"/>
      <c r="AG18" s="1410"/>
      <c r="AH18" s="1410"/>
      <c r="AI18" s="1410"/>
      <c r="AJ18" s="1410"/>
      <c r="BD18" s="1248" t="s">
        <v>2521</v>
      </c>
      <c r="BE18" s="1249">
        <f>'CalHFA Addendum'!N11</f>
        <v>0</v>
      </c>
    </row>
    <row r="19" spans="1:58" ht="12.95" customHeight="1">
      <c r="BD19" s="1247" t="s">
        <v>2522</v>
      </c>
      <c r="BE19" s="1249">
        <f>Application!M26</f>
        <v>5698379</v>
      </c>
    </row>
    <row r="20" spans="1:58" ht="12.95" customHeight="1">
      <c r="A20" s="1405" t="s">
        <v>873</v>
      </c>
      <c r="B20" s="1405"/>
      <c r="C20" s="1405"/>
      <c r="D20" s="1405"/>
      <c r="E20" s="1405"/>
      <c r="F20" s="1405"/>
      <c r="G20" s="1405"/>
      <c r="H20" s="1405"/>
      <c r="I20" s="1405"/>
      <c r="J20" s="1405"/>
      <c r="K20" s="1405"/>
      <c r="L20" s="1405"/>
      <c r="M20" s="1405"/>
      <c r="N20" s="1405"/>
      <c r="O20" s="1405"/>
      <c r="P20" s="1405"/>
      <c r="Q20" s="1405"/>
      <c r="R20" s="1405"/>
      <c r="S20" s="1405"/>
      <c r="T20" s="1405"/>
      <c r="U20" s="1405"/>
      <c r="V20" s="1405"/>
      <c r="W20" s="1405"/>
      <c r="X20" s="1405"/>
      <c r="Y20" s="1405"/>
      <c r="Z20" s="1405"/>
      <c r="AA20" s="1405"/>
      <c r="AB20" s="1405"/>
      <c r="AC20" s="1405"/>
      <c r="AD20" s="1405"/>
      <c r="AE20" s="1405"/>
      <c r="AF20" s="1405"/>
      <c r="AG20" s="1405"/>
      <c r="AH20" s="1405"/>
      <c r="AI20" s="1405"/>
      <c r="AJ20" s="1405"/>
      <c r="AK20" s="1405"/>
      <c r="AL20" s="1405"/>
      <c r="AM20" s="1405"/>
      <c r="AN20" s="1405"/>
      <c r="AO20" s="1405"/>
      <c r="AP20" s="1405"/>
      <c r="AQ20" s="1405"/>
      <c r="AR20" s="1405"/>
      <c r="AS20" s="1405"/>
      <c r="AT20" s="1405"/>
      <c r="AU20" s="900"/>
      <c r="AV20" s="900"/>
      <c r="AW20" s="900"/>
      <c r="AX20" s="900"/>
      <c r="AY20" s="900"/>
      <c r="BD20" s="1248" t="s">
        <v>2523</v>
      </c>
      <c r="BE20" s="1249">
        <f>Application!M27</f>
        <v>0</v>
      </c>
    </row>
    <row r="21" spans="1:58" ht="12.95" customHeight="1">
      <c r="A21" s="1414" t="s">
        <v>1009</v>
      </c>
      <c r="B21" s="1414"/>
      <c r="C21" s="1414"/>
      <c r="D21" s="1414"/>
      <c r="E21" s="1414"/>
      <c r="F21" s="1414"/>
      <c r="G21" s="1414"/>
      <c r="H21" s="1414"/>
      <c r="I21" s="1414"/>
      <c r="J21" s="1414"/>
      <c r="K21" s="1414"/>
      <c r="L21" s="1414"/>
      <c r="M21" s="1414"/>
      <c r="N21" s="1414"/>
      <c r="O21" s="1414"/>
      <c r="P21" s="1414"/>
      <c r="Q21" s="1414"/>
      <c r="R21" s="1414"/>
      <c r="S21" s="1414"/>
      <c r="T21" s="1414"/>
      <c r="U21" s="1414"/>
      <c r="V21" s="1414"/>
      <c r="W21" s="1414"/>
      <c r="X21" s="1414"/>
      <c r="Y21" s="1414"/>
      <c r="Z21" s="1414"/>
      <c r="AA21" s="1414"/>
      <c r="AB21" s="1414"/>
      <c r="AC21" s="1414"/>
      <c r="AD21" s="1414"/>
      <c r="AE21" s="1414"/>
      <c r="AF21" s="1414"/>
      <c r="AG21" s="1414"/>
      <c r="AH21" s="1414"/>
      <c r="AI21" s="1414"/>
      <c r="AJ21" s="1414"/>
      <c r="AK21" s="1414"/>
      <c r="AL21" s="1414"/>
      <c r="AM21" s="901"/>
      <c r="AN21" s="901"/>
      <c r="AO21" s="901"/>
      <c r="AP21" s="901"/>
      <c r="AQ21" s="901"/>
      <c r="AR21" s="901"/>
      <c r="AS21" s="901"/>
      <c r="AT21" s="901"/>
      <c r="AU21" s="901"/>
      <c r="AV21" s="901"/>
      <c r="AW21" s="901"/>
      <c r="AX21" s="901"/>
      <c r="AY21" s="901"/>
      <c r="BD21" s="1247" t="s">
        <v>2524</v>
      </c>
      <c r="BE21" s="1249">
        <f>Application!AM554</f>
        <v>82584672</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162592874</v>
      </c>
      <c r="BF22" s="3" t="s">
        <v>2597</v>
      </c>
    </row>
    <row r="23" spans="1:58" ht="12.95" customHeight="1">
      <c r="A23" s="1298" t="s">
        <v>2147</v>
      </c>
      <c r="B23" s="1298"/>
      <c r="C23" s="1298"/>
      <c r="D23" s="1298"/>
      <c r="E23" s="1298"/>
      <c r="F23" s="1298"/>
      <c r="G23" s="1298"/>
      <c r="H23" s="1298"/>
      <c r="I23" s="1298"/>
      <c r="J23" s="1298"/>
      <c r="K23" s="1298"/>
      <c r="L23" s="1298"/>
      <c r="M23" s="1298"/>
      <c r="N23" s="1298"/>
      <c r="O23" s="1298"/>
      <c r="P23" s="1298"/>
      <c r="Q23" s="1298"/>
      <c r="R23" s="1298"/>
      <c r="S23" s="1298"/>
      <c r="T23" s="1298"/>
      <c r="U23" s="1298"/>
      <c r="V23" s="1298"/>
      <c r="W23" s="1298"/>
      <c r="X23" s="1298"/>
      <c r="Y23" s="1298"/>
      <c r="Z23" s="1298"/>
      <c r="AA23" s="1298"/>
      <c r="AB23" s="1298"/>
      <c r="AC23" s="1298"/>
      <c r="AD23" s="1298"/>
      <c r="AE23" s="1298"/>
      <c r="AF23" s="1298"/>
      <c r="AG23" s="1298"/>
      <c r="AH23" s="1298"/>
      <c r="AI23" s="1298"/>
      <c r="AJ23" s="1298"/>
      <c r="AK23" s="1298"/>
      <c r="AL23" s="1298"/>
      <c r="AM23" s="1298"/>
      <c r="AN23" s="1298"/>
      <c r="AO23" s="1298"/>
      <c r="AP23" s="1298"/>
      <c r="AQ23" s="1298"/>
      <c r="AR23" s="1298"/>
      <c r="AS23" s="1298"/>
      <c r="AT23" s="1298"/>
      <c r="AU23" s="18"/>
      <c r="AV23" s="18"/>
      <c r="AW23" s="18"/>
      <c r="AX23" s="18"/>
      <c r="AY23" s="18"/>
      <c r="AZ23" s="18"/>
      <c r="BD23" s="1247" t="s">
        <v>2525</v>
      </c>
      <c r="BE23" s="1249">
        <f>'Sources and Uses Budget'!B4</f>
        <v>0</v>
      </c>
    </row>
    <row r="24" spans="1:58" ht="12.95" customHeight="1">
      <c r="A24" s="1298"/>
      <c r="B24" s="1298"/>
      <c r="C24" s="1298"/>
      <c r="D24" s="1298"/>
      <c r="E24" s="1298"/>
      <c r="F24" s="1298"/>
      <c r="G24" s="1298"/>
      <c r="H24" s="1298"/>
      <c r="I24" s="1298"/>
      <c r="J24" s="1298"/>
      <c r="K24" s="1298"/>
      <c r="L24" s="1298"/>
      <c r="M24" s="1298"/>
      <c r="N24" s="1298"/>
      <c r="O24" s="1298"/>
      <c r="P24" s="1298"/>
      <c r="Q24" s="1298"/>
      <c r="R24" s="1298"/>
      <c r="S24" s="1298"/>
      <c r="T24" s="1298"/>
      <c r="U24" s="1298"/>
      <c r="V24" s="1298"/>
      <c r="W24" s="1298"/>
      <c r="X24" s="1298"/>
      <c r="Y24" s="1298"/>
      <c r="Z24" s="1298"/>
      <c r="AA24" s="1298"/>
      <c r="AB24" s="1298"/>
      <c r="AC24" s="1298"/>
      <c r="AD24" s="1298"/>
      <c r="AE24" s="1298"/>
      <c r="AF24" s="1298"/>
      <c r="AG24" s="1298"/>
      <c r="AH24" s="1298"/>
      <c r="AI24" s="1298"/>
      <c r="AJ24" s="1298"/>
      <c r="AK24" s="1298"/>
      <c r="AL24" s="1298"/>
      <c r="AM24" s="1298"/>
      <c r="AN24" s="1298"/>
      <c r="AO24" s="1298"/>
      <c r="AP24" s="1298"/>
      <c r="AQ24" s="1298"/>
      <c r="AR24" s="1298"/>
      <c r="AS24" s="1298"/>
      <c r="AT24" s="1298"/>
      <c r="AU24" s="18"/>
      <c r="AV24" s="18"/>
      <c r="AW24" s="18"/>
      <c r="AX24" s="18"/>
      <c r="AY24" s="18"/>
      <c r="AZ24" s="18"/>
      <c r="BD24" s="1248" t="s">
        <v>2526</v>
      </c>
      <c r="BE24" s="1249">
        <f>Application!AG450</f>
        <v>211819</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411">
        <f>'Basis &amp; Credits'!AB56</f>
        <v>5698379</v>
      </c>
      <c r="N26" s="1411"/>
      <c r="O26" s="1411"/>
      <c r="P26" s="1411"/>
      <c r="Q26" s="1411"/>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66">
        <f>'Basis &amp; Credits'!AB78</f>
        <v>0</v>
      </c>
      <c r="N27" s="1366"/>
      <c r="O27" s="1366"/>
      <c r="P27" s="1366"/>
      <c r="Q27" s="1366"/>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406" t="s">
        <v>2148</v>
      </c>
      <c r="B29" s="1406"/>
      <c r="C29" s="1406"/>
      <c r="D29" s="1406"/>
      <c r="E29" s="1406"/>
      <c r="F29" s="1406"/>
      <c r="G29" s="1406"/>
      <c r="H29" s="1406"/>
      <c r="I29" s="1406"/>
      <c r="J29" s="1406"/>
      <c r="K29" s="1406"/>
      <c r="L29" s="1406"/>
      <c r="M29" s="1406"/>
      <c r="N29" s="1406"/>
      <c r="O29" s="1406"/>
      <c r="P29" s="1406"/>
      <c r="Q29" s="1406"/>
      <c r="R29" s="1406"/>
      <c r="S29" s="1406"/>
      <c r="T29" s="1406"/>
      <c r="U29" s="1406"/>
      <c r="V29" s="1406"/>
      <c r="W29" s="1406"/>
      <c r="X29" s="1406"/>
      <c r="Y29" s="1406"/>
      <c r="Z29" s="1406"/>
      <c r="AA29" s="1406"/>
      <c r="AB29" s="1406"/>
      <c r="AC29" s="1406"/>
      <c r="AD29" s="1406"/>
      <c r="AE29" s="1406"/>
      <c r="AF29" s="1406"/>
      <c r="AG29" s="1406"/>
      <c r="AH29" s="1406"/>
      <c r="AI29" s="1406"/>
      <c r="AJ29" s="1406"/>
      <c r="AK29" s="1406"/>
      <c r="AL29" s="1406"/>
      <c r="AM29" s="1406"/>
      <c r="AN29" s="1406"/>
      <c r="AO29" s="1406"/>
      <c r="AP29" s="1406"/>
      <c r="AQ29" s="1406"/>
      <c r="AR29" s="1406"/>
      <c r="AS29" s="1406"/>
      <c r="AT29" s="1406"/>
      <c r="BD29" s="1247" t="s">
        <v>2529</v>
      </c>
      <c r="BE29" s="1249" t="b">
        <f>Application!M358="Yes"</f>
        <v>0</v>
      </c>
    </row>
    <row r="30" spans="1:58" ht="12.95" customHeight="1">
      <c r="A30" s="1406"/>
      <c r="B30" s="1406"/>
      <c r="C30" s="1406"/>
      <c r="D30" s="1406"/>
      <c r="E30" s="1406"/>
      <c r="F30" s="1406"/>
      <c r="G30" s="1406"/>
      <c r="H30" s="1406"/>
      <c r="I30" s="1406"/>
      <c r="J30" s="1406"/>
      <c r="K30" s="1406"/>
      <c r="L30" s="1406"/>
      <c r="M30" s="1406"/>
      <c r="N30" s="1406"/>
      <c r="O30" s="1406"/>
      <c r="P30" s="1406"/>
      <c r="Q30" s="1406"/>
      <c r="R30" s="1406"/>
      <c r="S30" s="1406"/>
      <c r="T30" s="1406"/>
      <c r="U30" s="1406"/>
      <c r="V30" s="1406"/>
      <c r="W30" s="1406"/>
      <c r="X30" s="1406"/>
      <c r="Y30" s="1406"/>
      <c r="Z30" s="1406"/>
      <c r="AA30" s="1406"/>
      <c r="AB30" s="1406"/>
      <c r="AC30" s="1406"/>
      <c r="AD30" s="1406"/>
      <c r="AE30" s="1406"/>
      <c r="AF30" s="1406"/>
      <c r="AG30" s="1406"/>
      <c r="AH30" s="1406"/>
      <c r="AI30" s="1406"/>
      <c r="AJ30" s="1406"/>
      <c r="AK30" s="1406"/>
      <c r="AL30" s="1406"/>
      <c r="AM30" s="1406"/>
      <c r="AN30" s="1406"/>
      <c r="AO30" s="1406"/>
      <c r="AP30" s="1406"/>
      <c r="AQ30" s="1406"/>
      <c r="AR30" s="1406"/>
      <c r="AS30" s="1406"/>
      <c r="AT30" s="1406"/>
      <c r="AZ30" s="20"/>
      <c r="BD30" s="1248" t="s">
        <v>28</v>
      </c>
      <c r="BE30" s="1249" t="b">
        <f>Application!AJ355="Yes"</f>
        <v>0</v>
      </c>
    </row>
    <row r="31" spans="1:58" ht="12.95" customHeight="1">
      <c r="A31" s="1406"/>
      <c r="B31" s="1406"/>
      <c r="C31" s="1406"/>
      <c r="D31" s="1406"/>
      <c r="E31" s="1406"/>
      <c r="F31" s="1406"/>
      <c r="G31" s="1406"/>
      <c r="H31" s="1406"/>
      <c r="I31" s="1406"/>
      <c r="J31" s="1406"/>
      <c r="K31" s="1406"/>
      <c r="L31" s="1406"/>
      <c r="M31" s="1406"/>
      <c r="N31" s="1406"/>
      <c r="O31" s="1406"/>
      <c r="P31" s="1406"/>
      <c r="Q31" s="1406"/>
      <c r="R31" s="1406"/>
      <c r="S31" s="1406"/>
      <c r="T31" s="1406"/>
      <c r="U31" s="1406"/>
      <c r="V31" s="1406"/>
      <c r="W31" s="1406"/>
      <c r="X31" s="1406"/>
      <c r="Y31" s="1406"/>
      <c r="Z31" s="1406"/>
      <c r="AA31" s="1406"/>
      <c r="AB31" s="1406"/>
      <c r="AC31" s="1406"/>
      <c r="AD31" s="1406"/>
      <c r="AE31" s="1406"/>
      <c r="AF31" s="1406"/>
      <c r="AG31" s="1406"/>
      <c r="AH31" s="1406"/>
      <c r="AI31" s="1406"/>
      <c r="AJ31" s="1406"/>
      <c r="AK31" s="1406"/>
      <c r="AL31" s="1406"/>
      <c r="AM31" s="1406"/>
      <c r="AN31" s="1406"/>
      <c r="AO31" s="1406"/>
      <c r="AP31" s="1406"/>
      <c r="AQ31" s="1406"/>
      <c r="AR31" s="1406"/>
      <c r="AS31" s="1406"/>
      <c r="AT31" s="1406"/>
      <c r="AU31" s="20"/>
      <c r="AV31" s="20"/>
      <c r="AW31" s="20"/>
      <c r="AX31" s="20"/>
      <c r="AY31" s="20"/>
      <c r="AZ31" s="20"/>
      <c r="BD31" s="1247" t="s">
        <v>2530</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49</v>
      </c>
    </row>
    <row r="33" spans="1:57" ht="12.95" customHeight="1">
      <c r="A33" s="519" t="s">
        <v>1278</v>
      </c>
      <c r="C33" s="519"/>
      <c r="D33" s="519"/>
      <c r="E33" s="519"/>
      <c r="F33" s="519"/>
      <c r="G33" s="519"/>
      <c r="H33" s="519"/>
      <c r="I33" s="519"/>
      <c r="J33" s="519"/>
      <c r="K33" s="519"/>
      <c r="L33" s="519"/>
      <c r="M33" s="519"/>
      <c r="N33" s="519"/>
      <c r="O33" s="1356" t="s">
        <v>669</v>
      </c>
      <c r="P33" s="1356"/>
      <c r="Q33" s="1407" t="s">
        <v>2149</v>
      </c>
      <c r="R33" s="1407"/>
      <c r="S33" s="1407"/>
      <c r="T33" s="1407"/>
      <c r="U33" s="1407"/>
      <c r="V33" s="1407"/>
      <c r="W33" s="1407"/>
      <c r="X33" s="1407"/>
      <c r="Y33" s="1407"/>
      <c r="Z33" s="1407"/>
      <c r="AA33" s="1407"/>
      <c r="AB33" s="1407"/>
      <c r="AC33" s="1407"/>
      <c r="AD33" s="1407"/>
      <c r="AE33" s="1407"/>
      <c r="AF33" s="1407"/>
      <c r="AG33" s="1407"/>
      <c r="AH33" s="1407"/>
      <c r="AI33" s="1407"/>
      <c r="AJ33" s="1407"/>
      <c r="AK33" s="1407"/>
      <c r="AL33" s="1407"/>
      <c r="AM33" s="1407"/>
      <c r="AN33" s="1407"/>
      <c r="AO33" s="1407"/>
      <c r="AP33" s="1407"/>
      <c r="AQ33" s="1407"/>
      <c r="AR33" s="1407"/>
      <c r="AS33" s="1407"/>
      <c r="AT33" s="1407"/>
      <c r="AU33" s="20"/>
      <c r="AV33" s="20"/>
      <c r="AW33" s="20"/>
      <c r="AX33" s="20"/>
      <c r="AY33" s="20"/>
      <c r="BD33" s="1247" t="s">
        <v>2598</v>
      </c>
      <c r="BE33" s="1249" t="str">
        <f>Application!D220</f>
        <v>South and West Bay Region: San Mateo and Santa Clara Counties</v>
      </c>
    </row>
    <row r="34" spans="1:57" ht="12.95" customHeight="1">
      <c r="A34" s="1406" t="s">
        <v>2150</v>
      </c>
      <c r="B34" s="1406"/>
      <c r="C34" s="1406"/>
      <c r="D34" s="1406"/>
      <c r="E34" s="1406"/>
      <c r="F34" s="1406"/>
      <c r="G34" s="1406"/>
      <c r="H34" s="1406"/>
      <c r="I34" s="1406"/>
      <c r="J34" s="1406"/>
      <c r="K34" s="1406"/>
      <c r="L34" s="1406"/>
      <c r="M34" s="1406"/>
      <c r="N34" s="1406"/>
      <c r="O34" s="1406"/>
      <c r="P34" s="1406"/>
      <c r="Q34" s="1406"/>
      <c r="R34" s="1406"/>
      <c r="S34" s="1406"/>
      <c r="T34" s="1406"/>
      <c r="U34" s="1406"/>
      <c r="V34" s="1406"/>
      <c r="W34" s="1406"/>
      <c r="X34" s="1406"/>
      <c r="Y34" s="1406"/>
      <c r="Z34" s="1406"/>
      <c r="AA34" s="1406"/>
      <c r="AB34" s="1406"/>
      <c r="AC34" s="1406"/>
      <c r="AD34" s="1406"/>
      <c r="AE34" s="1406"/>
      <c r="AF34" s="1406"/>
      <c r="AG34" s="1406"/>
      <c r="AH34" s="1406"/>
      <c r="AI34" s="1406"/>
      <c r="AJ34" s="1406"/>
      <c r="AK34" s="1406"/>
      <c r="AL34" s="1406"/>
      <c r="AM34" s="1406"/>
      <c r="AN34" s="1406"/>
      <c r="AO34" s="1406"/>
      <c r="AP34" s="1406"/>
      <c r="AQ34" s="1406"/>
      <c r="AR34" s="1406"/>
      <c r="AS34" s="1406"/>
      <c r="AT34" s="1406"/>
      <c r="AU34" s="20"/>
      <c r="AV34" s="20"/>
      <c r="AW34" s="20"/>
      <c r="AX34" s="20"/>
      <c r="AY34" s="20"/>
      <c r="AZ34" s="20"/>
      <c r="BD34" s="1248" t="s">
        <v>2532</v>
      </c>
      <c r="BE34" s="1249" t="str">
        <f>Application!I185</f>
        <v>1565 Mabury Road</v>
      </c>
    </row>
    <row r="35" spans="1:57" ht="12.95" customHeight="1">
      <c r="A35" s="1406"/>
      <c r="B35" s="1406"/>
      <c r="C35" s="1406"/>
      <c r="D35" s="1406"/>
      <c r="E35" s="1406"/>
      <c r="F35" s="1406"/>
      <c r="G35" s="1406"/>
      <c r="H35" s="1406"/>
      <c r="I35" s="1406"/>
      <c r="J35" s="1406"/>
      <c r="K35" s="1406"/>
      <c r="L35" s="1406"/>
      <c r="M35" s="1406"/>
      <c r="N35" s="1406"/>
      <c r="O35" s="1406"/>
      <c r="P35" s="1406"/>
      <c r="Q35" s="1406"/>
      <c r="R35" s="1406"/>
      <c r="S35" s="1406"/>
      <c r="T35" s="1406"/>
      <c r="U35" s="1406"/>
      <c r="V35" s="1406"/>
      <c r="W35" s="1406"/>
      <c r="X35" s="1406"/>
      <c r="Y35" s="1406"/>
      <c r="Z35" s="1406"/>
      <c r="AA35" s="1406"/>
      <c r="AB35" s="1406"/>
      <c r="AC35" s="1406"/>
      <c r="AD35" s="1406"/>
      <c r="AE35" s="1406"/>
      <c r="AF35" s="1406"/>
      <c r="AG35" s="1406"/>
      <c r="AH35" s="1406"/>
      <c r="AI35" s="1406"/>
      <c r="AJ35" s="1406"/>
      <c r="AK35" s="1406"/>
      <c r="AL35" s="1406"/>
      <c r="AM35" s="1406"/>
      <c r="AN35" s="1406"/>
      <c r="AO35" s="1406"/>
      <c r="AP35" s="1406"/>
      <c r="AQ35" s="1406"/>
      <c r="AR35" s="1406"/>
      <c r="AS35" s="1406"/>
      <c r="AT35" s="1406"/>
      <c r="AU35" s="20"/>
      <c r="AV35" s="20"/>
      <c r="AW35" s="20"/>
      <c r="AX35" s="20"/>
      <c r="AY35" s="20"/>
      <c r="AZ35" s="20"/>
      <c r="BD35" s="1247" t="s">
        <v>2533</v>
      </c>
      <c r="BE35" s="1249" t="str">
        <f>IF(Application!E187="","",Application!E187)</f>
        <v>N/A address established</v>
      </c>
    </row>
    <row r="36" spans="1:57" ht="12.95" customHeight="1">
      <c r="A36" s="1406"/>
      <c r="B36" s="1406"/>
      <c r="C36" s="1406"/>
      <c r="D36" s="1406"/>
      <c r="E36" s="1406"/>
      <c r="F36" s="1406"/>
      <c r="G36" s="1406"/>
      <c r="H36" s="1406"/>
      <c r="I36" s="1406"/>
      <c r="J36" s="1406"/>
      <c r="K36" s="1406"/>
      <c r="L36" s="1406"/>
      <c r="M36" s="1406"/>
      <c r="N36" s="1406"/>
      <c r="O36" s="1406"/>
      <c r="P36" s="1406"/>
      <c r="Q36" s="1406"/>
      <c r="R36" s="1406"/>
      <c r="S36" s="1406"/>
      <c r="T36" s="1406"/>
      <c r="U36" s="1406"/>
      <c r="V36" s="1406"/>
      <c r="W36" s="1406"/>
      <c r="X36" s="1406"/>
      <c r="Y36" s="1406"/>
      <c r="Z36" s="1406"/>
      <c r="AA36" s="1406"/>
      <c r="AB36" s="1406"/>
      <c r="AC36" s="1406"/>
      <c r="AD36" s="1406"/>
      <c r="AE36" s="1406"/>
      <c r="AF36" s="1406"/>
      <c r="AG36" s="1406"/>
      <c r="AH36" s="1406"/>
      <c r="AI36" s="1406"/>
      <c r="AJ36" s="1406"/>
      <c r="AK36" s="1406"/>
      <c r="AL36" s="1406"/>
      <c r="AM36" s="1406"/>
      <c r="AN36" s="1406"/>
      <c r="AO36" s="1406"/>
      <c r="AP36" s="1406"/>
      <c r="AQ36" s="1406"/>
      <c r="AR36" s="1406"/>
      <c r="AS36" s="1406"/>
      <c r="AT36" s="1406"/>
      <c r="AU36" s="20"/>
      <c r="AV36" s="20"/>
      <c r="AW36" s="20"/>
      <c r="AX36" s="20"/>
      <c r="AY36" s="20"/>
      <c r="AZ36" s="20"/>
      <c r="BD36" s="1248" t="s">
        <v>2534</v>
      </c>
      <c r="BE36" s="1249" t="str">
        <f>Application!I189</f>
        <v>San Jose</v>
      </c>
    </row>
    <row r="37" spans="1:57" ht="12.95" customHeight="1">
      <c r="A37" s="1406"/>
      <c r="B37" s="1406"/>
      <c r="C37" s="1406"/>
      <c r="D37" s="1406"/>
      <c r="E37" s="1406"/>
      <c r="F37" s="1406"/>
      <c r="G37" s="1406"/>
      <c r="H37" s="1406"/>
      <c r="I37" s="1406"/>
      <c r="J37" s="1406"/>
      <c r="K37" s="1406"/>
      <c r="L37" s="1406"/>
      <c r="M37" s="1406"/>
      <c r="N37" s="1406"/>
      <c r="O37" s="1406"/>
      <c r="P37" s="1406"/>
      <c r="Q37" s="1406"/>
      <c r="R37" s="1406"/>
      <c r="S37" s="1406"/>
      <c r="T37" s="1406"/>
      <c r="U37" s="1406"/>
      <c r="V37" s="1406"/>
      <c r="W37" s="1406"/>
      <c r="X37" s="1406"/>
      <c r="Y37" s="1406"/>
      <c r="Z37" s="1406"/>
      <c r="AA37" s="1406"/>
      <c r="AB37" s="1406"/>
      <c r="AC37" s="1406"/>
      <c r="AD37" s="1406"/>
      <c r="AE37" s="1406"/>
      <c r="AF37" s="1406"/>
      <c r="AG37" s="1406"/>
      <c r="AH37" s="1406"/>
      <c r="AI37" s="1406"/>
      <c r="AJ37" s="1406"/>
      <c r="AK37" s="1406"/>
      <c r="AL37" s="1406"/>
      <c r="AM37" s="1406"/>
      <c r="AN37" s="1406"/>
      <c r="AO37" s="1406"/>
      <c r="AP37" s="1406"/>
      <c r="AQ37" s="1406"/>
      <c r="AR37" s="1406"/>
      <c r="AS37" s="1406"/>
      <c r="AT37" s="1406"/>
      <c r="AZ37" s="20"/>
      <c r="BD37" s="1247" t="s">
        <v>2535</v>
      </c>
      <c r="BE37" s="1249" t="str">
        <f>Application!T189</f>
        <v>Santa Clara</v>
      </c>
    </row>
    <row r="38" spans="1:57" ht="12.95" customHeight="1">
      <c r="A38" s="3"/>
      <c r="AZ38" s="20"/>
      <c r="BD38" s="1248" t="s">
        <v>2536</v>
      </c>
      <c r="BE38" s="1249">
        <f>Application!I190</f>
        <v>95133</v>
      </c>
    </row>
    <row r="39" spans="1:57" ht="12.95" customHeight="1">
      <c r="A39" s="1268" t="s">
        <v>2151</v>
      </c>
      <c r="B39" s="1268"/>
      <c r="C39" s="1268"/>
      <c r="D39" s="1268"/>
      <c r="E39" s="1268"/>
      <c r="F39" s="1268"/>
      <c r="G39" s="1268"/>
      <c r="H39" s="1268"/>
      <c r="I39" s="1268"/>
      <c r="J39" s="1268"/>
      <c r="K39" s="1268"/>
      <c r="L39" s="1268"/>
      <c r="M39" s="1268"/>
      <c r="N39" s="1268"/>
      <c r="O39" s="1268"/>
      <c r="P39" s="1268"/>
      <c r="Q39" s="1268"/>
      <c r="R39" s="1268"/>
      <c r="S39" s="1268"/>
      <c r="T39" s="1268"/>
      <c r="U39" s="1268"/>
      <c r="V39" s="1268"/>
      <c r="W39" s="1268"/>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68"/>
      <c r="AS39" s="1268"/>
      <c r="AT39" s="1268"/>
      <c r="AZ39" s="20"/>
      <c r="BD39" s="1247" t="s">
        <v>2537</v>
      </c>
      <c r="BE39" s="1249">
        <f>Application!AG437</f>
        <v>195</v>
      </c>
    </row>
    <row r="40" spans="1:57" ht="12.95" customHeight="1">
      <c r="A40" s="1268"/>
      <c r="B40" s="1268"/>
      <c r="C40" s="1268"/>
      <c r="D40" s="1268"/>
      <c r="E40" s="1268"/>
      <c r="F40" s="1268"/>
      <c r="G40" s="1268"/>
      <c r="H40" s="1268"/>
      <c r="I40" s="1268"/>
      <c r="J40" s="1268"/>
      <c r="K40" s="1268"/>
      <c r="L40" s="1268"/>
      <c r="M40" s="1268"/>
      <c r="N40" s="1268"/>
      <c r="O40" s="1268"/>
      <c r="P40" s="1268"/>
      <c r="Q40" s="1268"/>
      <c r="R40" s="1268"/>
      <c r="S40" s="1268"/>
      <c r="T40" s="1268"/>
      <c r="U40" s="1268"/>
      <c r="V40" s="1268"/>
      <c r="W40" s="1268"/>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68"/>
      <c r="AS40" s="1268"/>
      <c r="AT40" s="1268"/>
      <c r="AU40" s="20"/>
      <c r="AV40" s="20"/>
      <c r="AW40" s="20"/>
      <c r="AX40" s="20"/>
      <c r="AY40" s="20"/>
      <c r="AZ40" s="20"/>
      <c r="BD40" s="1248" t="s">
        <v>384</v>
      </c>
      <c r="BE40" s="1249">
        <f>Application!AG440</f>
        <v>193</v>
      </c>
    </row>
    <row r="41" spans="1:57" ht="12.95" customHeight="1">
      <c r="A41" s="1268"/>
      <c r="B41" s="1268"/>
      <c r="C41" s="1268"/>
      <c r="D41" s="1268"/>
      <c r="E41" s="1268"/>
      <c r="F41" s="1268"/>
      <c r="G41" s="1268"/>
      <c r="H41" s="1268"/>
      <c r="I41" s="1268"/>
      <c r="J41" s="1268"/>
      <c r="K41" s="1268"/>
      <c r="L41" s="1268"/>
      <c r="M41" s="1268"/>
      <c r="N41" s="1268"/>
      <c r="O41" s="1268"/>
      <c r="P41" s="1268"/>
      <c r="Q41" s="1268"/>
      <c r="R41" s="1268"/>
      <c r="S41" s="1268"/>
      <c r="T41" s="1268"/>
      <c r="U41" s="1268"/>
      <c r="V41" s="1268"/>
      <c r="W41" s="1268"/>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68"/>
      <c r="AS41" s="1268"/>
      <c r="AT41" s="1268"/>
      <c r="AU41" s="20"/>
      <c r="AV41" s="20"/>
      <c r="AW41" s="20"/>
      <c r="AX41" s="20"/>
      <c r="AY41" s="20"/>
      <c r="AZ41" s="20"/>
      <c r="BD41" s="1247" t="s">
        <v>287</v>
      </c>
      <c r="BE41" s="1249">
        <f>Application!AG438</f>
        <v>0</v>
      </c>
    </row>
    <row r="42" spans="1:57" ht="12.95" customHeight="1">
      <c r="A42" s="1268"/>
      <c r="B42" s="1268"/>
      <c r="C42" s="1268"/>
      <c r="D42" s="1268"/>
      <c r="E42" s="1268"/>
      <c r="F42" s="1268"/>
      <c r="G42" s="1268"/>
      <c r="H42" s="1268"/>
      <c r="I42" s="1268"/>
      <c r="J42" s="1268"/>
      <c r="K42" s="1268"/>
      <c r="L42" s="1268"/>
      <c r="M42" s="1268"/>
      <c r="N42" s="1268"/>
      <c r="O42" s="1268"/>
      <c r="P42" s="1268"/>
      <c r="Q42" s="1268"/>
      <c r="R42" s="1268"/>
      <c r="S42" s="1268"/>
      <c r="T42" s="1268"/>
      <c r="U42" s="1268"/>
      <c r="V42" s="1268"/>
      <c r="W42" s="1268"/>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68"/>
      <c r="AS42" s="1268"/>
      <c r="AT42" s="1268"/>
      <c r="AZ42" s="20"/>
      <c r="BD42" s="1248" t="s">
        <v>2538</v>
      </c>
      <c r="BE42" s="1251">
        <f>Application!AC753</f>
        <v>0.4746113989637305</v>
      </c>
    </row>
    <row r="43" spans="1:57" ht="12.95" customHeight="1">
      <c r="A43" s="1268"/>
      <c r="B43" s="1268"/>
      <c r="C43" s="1268"/>
      <c r="D43" s="1268"/>
      <c r="E43" s="1268"/>
      <c r="F43" s="1268"/>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c r="AM43" s="1268"/>
      <c r="AN43" s="1268"/>
      <c r="AO43" s="1268"/>
      <c r="AP43" s="1268"/>
      <c r="AQ43" s="1268"/>
      <c r="AR43" s="1268"/>
      <c r="AS43" s="1268"/>
      <c r="AT43" s="1268"/>
      <c r="AU43" s="20"/>
      <c r="AV43" s="20"/>
      <c r="AW43" s="20"/>
      <c r="AX43" s="20"/>
      <c r="AY43" s="20"/>
      <c r="AZ43" s="20"/>
      <c r="BD43" s="1247" t="s">
        <v>2539</v>
      </c>
      <c r="BE43" s="1251">
        <f>Application!AH753</f>
        <v>0.47459389772928318</v>
      </c>
    </row>
    <row r="44" spans="1:57" ht="12.95" customHeight="1">
      <c r="A44" s="1268"/>
      <c r="B44" s="1268"/>
      <c r="C44" s="1268"/>
      <c r="D44" s="1268"/>
      <c r="E44" s="1268"/>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68"/>
      <c r="AS44" s="1268"/>
      <c r="AT44" s="1268"/>
      <c r="AU44" s="20"/>
      <c r="AV44" s="20"/>
      <c r="AW44" s="20"/>
      <c r="AX44" s="20"/>
      <c r="AY44" s="20"/>
      <c r="AZ44" s="20"/>
      <c r="BD44" s="1248" t="s">
        <v>2540</v>
      </c>
      <c r="BE44" s="1249">
        <f>Application!AC454</f>
        <v>833809.6102564102</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5" customHeight="1">
      <c r="A46" s="1298" t="s">
        <v>2152</v>
      </c>
      <c r="B46" s="1298"/>
      <c r="C46" s="1298"/>
      <c r="D46" s="1298"/>
      <c r="E46" s="1298"/>
      <c r="F46" s="1298"/>
      <c r="G46" s="1298"/>
      <c r="H46" s="1298"/>
      <c r="I46" s="1298"/>
      <c r="J46" s="1298"/>
      <c r="K46" s="1298"/>
      <c r="L46" s="1298"/>
      <c r="M46" s="1298"/>
      <c r="N46" s="1298"/>
      <c r="O46" s="1298"/>
      <c r="P46" s="1298"/>
      <c r="Q46" s="1298"/>
      <c r="R46" s="1298"/>
      <c r="S46" s="1298"/>
      <c r="T46" s="1298"/>
      <c r="U46" s="1298"/>
      <c r="V46" s="1298"/>
      <c r="W46" s="1298"/>
      <c r="X46" s="1298"/>
      <c r="Y46" s="1298"/>
      <c r="Z46" s="1298"/>
      <c r="AA46" s="1298"/>
      <c r="AB46" s="1298"/>
      <c r="AC46" s="1298"/>
      <c r="AD46" s="1298"/>
      <c r="AE46" s="1298"/>
      <c r="AF46" s="1298"/>
      <c r="AG46" s="1298"/>
      <c r="AH46" s="1298"/>
      <c r="AI46" s="1298"/>
      <c r="AJ46" s="1298"/>
      <c r="AK46" s="1298"/>
      <c r="AL46" s="1298"/>
      <c r="AM46" s="1298"/>
      <c r="AN46" s="1298"/>
      <c r="AO46" s="1298"/>
      <c r="AP46" s="1298"/>
      <c r="AQ46" s="1298"/>
      <c r="AR46" s="1298"/>
      <c r="AS46" s="1298"/>
      <c r="AT46" s="1298"/>
      <c r="AU46" s="20"/>
      <c r="AV46" s="20"/>
      <c r="AW46" s="20"/>
      <c r="AX46" s="20"/>
      <c r="AY46" s="20"/>
      <c r="AZ46" s="20"/>
      <c r="BD46" s="1248" t="s">
        <v>2542</v>
      </c>
      <c r="BE46" s="1249" t="b">
        <f>Application!T195="Yes"</f>
        <v>0</v>
      </c>
    </row>
    <row r="47" spans="1:57" ht="12.95" customHeight="1">
      <c r="A47" s="1298"/>
      <c r="B47" s="1298"/>
      <c r="C47" s="1298"/>
      <c r="D47" s="1298"/>
      <c r="E47" s="1298"/>
      <c r="F47" s="1298"/>
      <c r="G47" s="1298"/>
      <c r="H47" s="1298"/>
      <c r="I47" s="1298"/>
      <c r="J47" s="1298"/>
      <c r="K47" s="1298"/>
      <c r="L47" s="1298"/>
      <c r="M47" s="1298"/>
      <c r="N47" s="1298"/>
      <c r="O47" s="1298"/>
      <c r="P47" s="1298"/>
      <c r="Q47" s="1298"/>
      <c r="R47" s="1298"/>
      <c r="S47" s="1298"/>
      <c r="T47" s="1298"/>
      <c r="U47" s="1298"/>
      <c r="V47" s="1298"/>
      <c r="W47" s="1298"/>
      <c r="X47" s="1298"/>
      <c r="Y47" s="1298"/>
      <c r="Z47" s="1298"/>
      <c r="AA47" s="1298"/>
      <c r="AB47" s="1298"/>
      <c r="AC47" s="1298"/>
      <c r="AD47" s="1298"/>
      <c r="AE47" s="1298"/>
      <c r="AF47" s="1298"/>
      <c r="AG47" s="1298"/>
      <c r="AH47" s="1298"/>
      <c r="AI47" s="1298"/>
      <c r="AJ47" s="1298"/>
      <c r="AK47" s="1298"/>
      <c r="AL47" s="1298"/>
      <c r="AM47" s="1298"/>
      <c r="AN47" s="1298"/>
      <c r="AO47" s="1298"/>
      <c r="AP47" s="1298"/>
      <c r="AQ47" s="1298"/>
      <c r="AR47" s="1298"/>
      <c r="AS47" s="1298"/>
      <c r="AT47" s="1298"/>
      <c r="AU47" s="20"/>
      <c r="AV47" s="20"/>
      <c r="AW47" s="20"/>
      <c r="AX47" s="20"/>
      <c r="AY47" s="20"/>
      <c r="AZ47" s="20"/>
      <c r="BD47" s="1247" t="s">
        <v>2543</v>
      </c>
      <c r="BE47" s="1249" t="b">
        <f>Application!T196="Yes"</f>
        <v>0</v>
      </c>
    </row>
    <row r="48" spans="1:57" ht="12.95" customHeight="1">
      <c r="A48" s="1298"/>
      <c r="B48" s="1298"/>
      <c r="C48" s="1298"/>
      <c r="D48" s="1298"/>
      <c r="E48" s="1298"/>
      <c r="F48" s="1298"/>
      <c r="G48" s="1298"/>
      <c r="H48" s="1298"/>
      <c r="I48" s="1298"/>
      <c r="J48" s="1298"/>
      <c r="K48" s="1298"/>
      <c r="L48" s="1298"/>
      <c r="M48" s="1298"/>
      <c r="N48" s="1298"/>
      <c r="O48" s="1298"/>
      <c r="P48" s="1298"/>
      <c r="Q48" s="1298"/>
      <c r="R48" s="1298"/>
      <c r="S48" s="1298"/>
      <c r="T48" s="1298"/>
      <c r="U48" s="1298"/>
      <c r="V48" s="1298"/>
      <c r="W48" s="1298"/>
      <c r="X48" s="1298"/>
      <c r="Y48" s="1298"/>
      <c r="Z48" s="1298"/>
      <c r="AA48" s="1298"/>
      <c r="AB48" s="1298"/>
      <c r="AC48" s="1298"/>
      <c r="AD48" s="1298"/>
      <c r="AE48" s="1298"/>
      <c r="AF48" s="1298"/>
      <c r="AG48" s="1298"/>
      <c r="AH48" s="1298"/>
      <c r="AI48" s="1298"/>
      <c r="AJ48" s="1298"/>
      <c r="AK48" s="1298"/>
      <c r="AL48" s="1298"/>
      <c r="AM48" s="1298"/>
      <c r="AN48" s="1298"/>
      <c r="AO48" s="1298"/>
      <c r="AP48" s="1298"/>
      <c r="AQ48" s="1298"/>
      <c r="AR48" s="1298"/>
      <c r="AS48" s="1298"/>
      <c r="AT48" s="1298"/>
      <c r="AU48" s="20"/>
      <c r="AV48" s="20"/>
      <c r="AW48" s="20"/>
      <c r="AX48" s="20"/>
      <c r="AY48" s="20"/>
      <c r="AZ48" s="20"/>
      <c r="BD48" s="1248" t="s">
        <v>2544</v>
      </c>
      <c r="BE48" s="1249" t="str">
        <f>Application!M243</f>
        <v>AHG Berryessa, LLC</v>
      </c>
    </row>
    <row r="49" spans="1:57" ht="12.95" customHeight="1">
      <c r="A49" s="1298"/>
      <c r="B49" s="1298"/>
      <c r="C49" s="1298"/>
      <c r="D49" s="1298"/>
      <c r="E49" s="1298"/>
      <c r="F49" s="1298"/>
      <c r="G49" s="1298"/>
      <c r="H49" s="1298"/>
      <c r="I49" s="1298"/>
      <c r="J49" s="1298"/>
      <c r="K49" s="1298"/>
      <c r="L49" s="1298"/>
      <c r="M49" s="1298"/>
      <c r="N49" s="1298"/>
      <c r="O49" s="1298"/>
      <c r="P49" s="1298"/>
      <c r="Q49" s="1298"/>
      <c r="R49" s="1298"/>
      <c r="S49" s="1298"/>
      <c r="T49" s="1298"/>
      <c r="U49" s="1298"/>
      <c r="V49" s="1298"/>
      <c r="W49" s="1298"/>
      <c r="X49" s="1298"/>
      <c r="Y49" s="1298"/>
      <c r="Z49" s="1298"/>
      <c r="AA49" s="1298"/>
      <c r="AB49" s="1298"/>
      <c r="AC49" s="1298"/>
      <c r="AD49" s="1298"/>
      <c r="AE49" s="1298"/>
      <c r="AF49" s="1298"/>
      <c r="AG49" s="1298"/>
      <c r="AH49" s="1298"/>
      <c r="AI49" s="1298"/>
      <c r="AJ49" s="1298"/>
      <c r="AK49" s="1298"/>
      <c r="AL49" s="1298"/>
      <c r="AM49" s="1298"/>
      <c r="AN49" s="1298"/>
      <c r="AO49" s="1298"/>
      <c r="AP49" s="1298"/>
      <c r="AQ49" s="1298"/>
      <c r="AR49" s="1298"/>
      <c r="AS49" s="1298"/>
      <c r="AT49" s="1298"/>
      <c r="AU49" s="20"/>
      <c r="AV49" s="20"/>
      <c r="AW49" s="20"/>
      <c r="AX49" s="20"/>
      <c r="AY49" s="20"/>
      <c r="AZ49" s="20"/>
      <c r="BD49" s="1247" t="s">
        <v>2545</v>
      </c>
      <c r="BE49" s="1249" t="str">
        <f>Application!M246</f>
        <v>James P. Silverwood</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Affirmed Housing Group, Inc.</v>
      </c>
    </row>
    <row r="51" spans="1:57" ht="12.95" customHeight="1">
      <c r="A51" s="1268" t="s">
        <v>2153</v>
      </c>
      <c r="B51" s="1268"/>
      <c r="C51" s="1268"/>
      <c r="D51" s="1268"/>
      <c r="E51" s="1268"/>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20"/>
      <c r="AV51" s="20"/>
      <c r="AW51" s="20"/>
      <c r="AX51" s="20"/>
      <c r="AY51" s="20"/>
      <c r="AZ51" s="20"/>
      <c r="BD51" s="1247" t="s">
        <v>2547</v>
      </c>
      <c r="BE51" s="1249" t="str">
        <f>Application!M251</f>
        <v>CFAH Housing, LLC</v>
      </c>
    </row>
    <row r="52" spans="1:57" ht="12.95" customHeight="1">
      <c r="A52" s="1268"/>
      <c r="B52" s="1268"/>
      <c r="C52" s="1268"/>
      <c r="D52" s="1268"/>
      <c r="E52" s="1268"/>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20"/>
      <c r="AV52" s="20"/>
      <c r="AW52" s="20"/>
      <c r="AX52" s="20"/>
      <c r="AY52" s="20"/>
      <c r="AZ52" s="20"/>
      <c r="BD52" s="1248" t="s">
        <v>2548</v>
      </c>
      <c r="BE52" s="1249" t="str">
        <f>Application!M254</f>
        <v>Robin Martinez</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Compass for Affordable Housing</v>
      </c>
    </row>
    <row r="54" spans="1:57" ht="12.95" customHeight="1">
      <c r="A54" s="1268" t="s">
        <v>2154</v>
      </c>
      <c r="B54" s="1268"/>
      <c r="C54" s="1268"/>
      <c r="D54" s="1268"/>
      <c r="E54" s="1268"/>
      <c r="F54" s="1268"/>
      <c r="G54" s="1268"/>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268"/>
      <c r="AS54" s="1268"/>
      <c r="AT54" s="1268"/>
      <c r="AU54" s="20"/>
      <c r="AV54" s="20"/>
      <c r="AW54" s="20"/>
      <c r="AX54" s="20"/>
      <c r="AY54" s="20"/>
      <c r="AZ54" s="21"/>
      <c r="BD54" s="1248" t="s">
        <v>2550</v>
      </c>
      <c r="BE54" s="1249" t="str">
        <f>Application!M259</f>
        <v>N/A</v>
      </c>
    </row>
    <row r="55" spans="1:57" ht="12.95" customHeight="1">
      <c r="A55" s="1268"/>
      <c r="B55" s="1268"/>
      <c r="C55" s="1268"/>
      <c r="D55" s="1268"/>
      <c r="E55" s="1268"/>
      <c r="F55" s="1268"/>
      <c r="G55" s="1268"/>
      <c r="H55" s="1268"/>
      <c r="I55" s="1268"/>
      <c r="J55" s="1268"/>
      <c r="K55" s="1268"/>
      <c r="L55" s="1268"/>
      <c r="M55" s="1268"/>
      <c r="N55" s="1268"/>
      <c r="O55" s="1268"/>
      <c r="P55" s="1268"/>
      <c r="Q55" s="1268"/>
      <c r="R55" s="1268"/>
      <c r="S55" s="1268"/>
      <c r="T55" s="1268"/>
      <c r="U55" s="1268"/>
      <c r="V55" s="1268"/>
      <c r="W55" s="1268"/>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268"/>
      <c r="AS55" s="1268"/>
      <c r="AT55" s="1268"/>
      <c r="AZ55" s="21"/>
      <c r="BD55" s="1247" t="s">
        <v>2551</v>
      </c>
      <c r="BE55" s="1249" t="str">
        <f>Application!M262</f>
        <v>N/A</v>
      </c>
    </row>
    <row r="56" spans="1:57" ht="12.95" customHeight="1">
      <c r="A56" s="1268"/>
      <c r="B56" s="1268"/>
      <c r="C56" s="1268"/>
      <c r="D56" s="1268"/>
      <c r="E56" s="1268"/>
      <c r="F56" s="1268"/>
      <c r="G56" s="1268"/>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1268"/>
      <c r="AM56" s="1268"/>
      <c r="AN56" s="1268"/>
      <c r="AO56" s="1268"/>
      <c r="AP56" s="1268"/>
      <c r="AQ56" s="1268"/>
      <c r="AR56" s="1268"/>
      <c r="AS56" s="1268"/>
      <c r="AT56" s="1268"/>
      <c r="BD56" s="1248" t="s">
        <v>2552</v>
      </c>
      <c r="BE56" s="1249" t="str">
        <f>Application!AA265</f>
        <v>N/A</v>
      </c>
    </row>
    <row r="57" spans="1:57" ht="12.95" customHeight="1">
      <c r="A57" s="1268"/>
      <c r="B57" s="1268"/>
      <c r="C57" s="1268"/>
      <c r="D57" s="1268"/>
      <c r="E57" s="1268"/>
      <c r="F57" s="1268"/>
      <c r="G57" s="1268"/>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268"/>
      <c r="AS57" s="1268"/>
      <c r="AT57" s="1268"/>
      <c r="BD57" s="1247" t="s">
        <v>2553</v>
      </c>
      <c r="BE57" s="1249" t="str">
        <f>Application!H287</f>
        <v>Affirmed Housing Group, Inc.</v>
      </c>
    </row>
    <row r="58" spans="1:57" ht="12.95" customHeight="1">
      <c r="A58" s="1268"/>
      <c r="B58" s="1268"/>
      <c r="C58" s="1268"/>
      <c r="D58" s="1268"/>
      <c r="E58" s="1268"/>
      <c r="F58" s="1268"/>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c r="BD58" s="1248" t="s">
        <v>2554</v>
      </c>
      <c r="BE58" s="1249" t="str">
        <f>Application!H288</f>
        <v>13520 Evening Creek Drive N, Suite 160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San Diego, CA, 92128</v>
      </c>
    </row>
    <row r="60" spans="1:57" ht="12.95" customHeight="1">
      <c r="A60" s="1268" t="s">
        <v>2155</v>
      </c>
      <c r="B60" s="1268"/>
      <c r="C60" s="1268"/>
      <c r="D60" s="1268"/>
      <c r="E60" s="1268"/>
      <c r="F60" s="1268"/>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268"/>
      <c r="AS60" s="1268"/>
      <c r="AT60" s="1268"/>
      <c r="AU60" s="20"/>
      <c r="AV60" s="20"/>
      <c r="AW60" s="20"/>
      <c r="AX60" s="20"/>
      <c r="AY60" s="20"/>
      <c r="AZ60" s="20"/>
      <c r="BD60" s="1248" t="s">
        <v>2556</v>
      </c>
      <c r="BE60" s="1249" t="str">
        <f>Application!H290</f>
        <v>Jacob Billitteri</v>
      </c>
    </row>
    <row r="61" spans="1:57" ht="12.95" customHeight="1">
      <c r="A61" s="1268"/>
      <c r="B61" s="1268"/>
      <c r="C61" s="1268"/>
      <c r="D61" s="1268"/>
      <c r="E61" s="1268"/>
      <c r="F61" s="1268"/>
      <c r="G61" s="1268"/>
      <c r="H61" s="1268"/>
      <c r="I61" s="1268"/>
      <c r="J61" s="1268"/>
      <c r="K61" s="1268"/>
      <c r="L61" s="1268"/>
      <c r="M61" s="1268"/>
      <c r="N61" s="1268"/>
      <c r="O61" s="1268"/>
      <c r="P61" s="1268"/>
      <c r="Q61" s="1268"/>
      <c r="R61" s="1268"/>
      <c r="S61" s="1268"/>
      <c r="T61" s="1268"/>
      <c r="U61" s="1268"/>
      <c r="V61" s="1268"/>
      <c r="W61" s="1268"/>
      <c r="X61" s="1268"/>
      <c r="Y61" s="1268"/>
      <c r="Z61" s="1268"/>
      <c r="AA61" s="1268"/>
      <c r="AB61" s="1268"/>
      <c r="AC61" s="1268"/>
      <c r="AD61" s="1268"/>
      <c r="AE61" s="1268"/>
      <c r="AF61" s="1268"/>
      <c r="AG61" s="1268"/>
      <c r="AH61" s="1268"/>
      <c r="AI61" s="1268"/>
      <c r="AJ61" s="1268"/>
      <c r="AK61" s="1268"/>
      <c r="AL61" s="1268"/>
      <c r="AM61" s="1268"/>
      <c r="AN61" s="1268"/>
      <c r="AO61" s="1268"/>
      <c r="AP61" s="1268"/>
      <c r="AQ61" s="1268"/>
      <c r="AR61" s="1268"/>
      <c r="AS61" s="1268"/>
      <c r="AT61" s="1268"/>
      <c r="AU61" s="20"/>
      <c r="AV61" s="20"/>
      <c r="AW61" s="20"/>
      <c r="AX61" s="20"/>
      <c r="AY61" s="20"/>
      <c r="AZ61" s="20"/>
      <c r="BD61" s="1247" t="s">
        <v>2557</v>
      </c>
      <c r="BE61" s="1249" t="str">
        <f>Application!H293</f>
        <v>Jake@affirmedhousing.com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0.89100199999999996</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5" customHeight="1">
      <c r="A65" s="1408" t="s">
        <v>2157</v>
      </c>
      <c r="B65" s="1408"/>
      <c r="C65" s="1408"/>
      <c r="D65" s="1408"/>
      <c r="E65" s="1408"/>
      <c r="F65" s="1408"/>
      <c r="G65" s="1408"/>
      <c r="H65" s="1408"/>
      <c r="I65" s="1408"/>
      <c r="J65" s="1408"/>
      <c r="K65" s="1408"/>
      <c r="L65" s="1408"/>
      <c r="M65" s="1408"/>
      <c r="N65" s="1408"/>
      <c r="O65" s="1408"/>
      <c r="P65" s="1408"/>
      <c r="Q65" s="1408"/>
      <c r="R65" s="1408"/>
      <c r="S65" s="1408"/>
      <c r="T65" s="1408"/>
      <c r="U65" s="1408"/>
      <c r="V65" s="1408"/>
      <c r="W65" s="1408"/>
      <c r="X65" s="1408"/>
      <c r="Y65" s="1408"/>
      <c r="Z65" s="1408"/>
      <c r="AA65" s="1408"/>
      <c r="AB65" s="1408"/>
      <c r="AC65" s="1408"/>
      <c r="AD65" s="1408"/>
      <c r="AE65" s="1408"/>
      <c r="AF65" s="1408"/>
      <c r="AG65" s="1408"/>
      <c r="AH65" s="1408"/>
      <c r="AI65" s="1408"/>
      <c r="AJ65" s="1408"/>
      <c r="AK65" s="1408"/>
      <c r="AL65" s="1408"/>
      <c r="AM65" s="1408"/>
      <c r="AN65" s="1408"/>
      <c r="AO65" s="1408"/>
      <c r="AP65" s="1408"/>
      <c r="AQ65" s="1408"/>
      <c r="AR65" s="1408"/>
      <c r="AS65" s="1408"/>
      <c r="AT65" s="1408"/>
      <c r="AU65" s="21"/>
      <c r="AV65" s="21"/>
      <c r="AW65" s="21"/>
      <c r="AX65" s="21"/>
      <c r="AY65" s="21"/>
      <c r="AZ65" s="20"/>
      <c r="BD65" s="1247" t="s">
        <v>2595</v>
      </c>
      <c r="BE65" s="1249" t="str">
        <f>Z205</f>
        <v>(select)</v>
      </c>
    </row>
    <row r="66" spans="1:57" ht="12.95" customHeight="1">
      <c r="A66" s="1408"/>
      <c r="B66" s="1408"/>
      <c r="C66" s="1408"/>
      <c r="D66" s="1408"/>
      <c r="E66" s="1408"/>
      <c r="F66" s="1408"/>
      <c r="G66" s="1408"/>
      <c r="H66" s="1408"/>
      <c r="I66" s="1408"/>
      <c r="J66" s="1408"/>
      <c r="K66" s="1408"/>
      <c r="L66" s="1408"/>
      <c r="M66" s="1408"/>
      <c r="N66" s="1408"/>
      <c r="O66" s="1408"/>
      <c r="P66" s="1408"/>
      <c r="Q66" s="1408"/>
      <c r="R66" s="1408"/>
      <c r="S66" s="1408"/>
      <c r="T66" s="1408"/>
      <c r="U66" s="1408"/>
      <c r="V66" s="1408"/>
      <c r="W66" s="1408"/>
      <c r="X66" s="1408"/>
      <c r="Y66" s="1408"/>
      <c r="Z66" s="1408"/>
      <c r="AA66" s="1408"/>
      <c r="AB66" s="1408"/>
      <c r="AC66" s="1408"/>
      <c r="AD66" s="1408"/>
      <c r="AE66" s="1408"/>
      <c r="AF66" s="1408"/>
      <c r="AG66" s="1408"/>
      <c r="AH66" s="1408"/>
      <c r="AI66" s="1408"/>
      <c r="AJ66" s="1408"/>
      <c r="AK66" s="1408"/>
      <c r="AL66" s="1408"/>
      <c r="AM66" s="1408"/>
      <c r="AN66" s="1408"/>
      <c r="AO66" s="1408"/>
      <c r="AP66" s="1408"/>
      <c r="AQ66" s="1408"/>
      <c r="AR66" s="1408"/>
      <c r="AS66" s="1408"/>
      <c r="AT66" s="1408"/>
      <c r="AU66" s="21"/>
      <c r="AV66" s="21"/>
      <c r="AW66" s="21"/>
      <c r="AX66" s="21"/>
      <c r="AY66" s="21"/>
      <c r="AZ66" s="20"/>
      <c r="BD66" s="1248" t="s">
        <v>2560</v>
      </c>
      <c r="BE66" s="1249" t="b">
        <f>Application!Z205="State Farmworker Credit"</f>
        <v>0</v>
      </c>
    </row>
    <row r="67" spans="1:57" ht="12.95" customHeight="1">
      <c r="A67" s="1408"/>
      <c r="B67" s="1408"/>
      <c r="C67" s="1408"/>
      <c r="D67" s="1408"/>
      <c r="E67" s="1408"/>
      <c r="F67" s="1408"/>
      <c r="G67" s="1408"/>
      <c r="H67" s="1408"/>
      <c r="I67" s="1408"/>
      <c r="J67" s="1408"/>
      <c r="K67" s="1408"/>
      <c r="L67" s="1408"/>
      <c r="M67" s="1408"/>
      <c r="N67" s="1408"/>
      <c r="O67" s="1408"/>
      <c r="P67" s="1408"/>
      <c r="Q67" s="1408"/>
      <c r="R67" s="1408"/>
      <c r="S67" s="1408"/>
      <c r="T67" s="1408"/>
      <c r="U67" s="1408"/>
      <c r="V67" s="1408"/>
      <c r="W67" s="1408"/>
      <c r="X67" s="1408"/>
      <c r="Y67" s="1408"/>
      <c r="Z67" s="1408"/>
      <c r="AA67" s="1408"/>
      <c r="AB67" s="1408"/>
      <c r="AC67" s="1408"/>
      <c r="AD67" s="1408"/>
      <c r="AE67" s="1408"/>
      <c r="AF67" s="1408"/>
      <c r="AG67" s="1408"/>
      <c r="AH67" s="1408"/>
      <c r="AI67" s="1408"/>
      <c r="AJ67" s="1408"/>
      <c r="AK67" s="1408"/>
      <c r="AL67" s="1408"/>
      <c r="AM67" s="1408"/>
      <c r="AN67" s="1408"/>
      <c r="AO67" s="1408"/>
      <c r="AP67" s="1408"/>
      <c r="AQ67" s="1408"/>
      <c r="AR67" s="1408"/>
      <c r="AS67" s="1408"/>
      <c r="AT67" s="1408"/>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408" t="s">
        <v>2158</v>
      </c>
      <c r="B69" s="1408"/>
      <c r="C69" s="1408"/>
      <c r="D69" s="1408"/>
      <c r="E69" s="1408"/>
      <c r="F69" s="1408"/>
      <c r="G69" s="1408"/>
      <c r="H69" s="1408"/>
      <c r="I69" s="1408"/>
      <c r="J69" s="1408"/>
      <c r="K69" s="1408"/>
      <c r="L69" s="1408"/>
      <c r="M69" s="1408"/>
      <c r="N69" s="1408"/>
      <c r="O69" s="1408"/>
      <c r="P69" s="1408"/>
      <c r="Q69" s="1408"/>
      <c r="R69" s="1408"/>
      <c r="S69" s="1408"/>
      <c r="T69" s="1408"/>
      <c r="U69" s="1408"/>
      <c r="V69" s="1408"/>
      <c r="W69" s="1408"/>
      <c r="X69" s="1408"/>
      <c r="Y69" s="1408"/>
      <c r="Z69" s="1408"/>
      <c r="AA69" s="1408"/>
      <c r="AB69" s="1408"/>
      <c r="AC69" s="1408"/>
      <c r="AD69" s="1408"/>
      <c r="AE69" s="1408"/>
      <c r="AF69" s="1408"/>
      <c r="AG69" s="1408"/>
      <c r="AH69" s="1408"/>
      <c r="AI69" s="1408"/>
      <c r="AJ69" s="1408"/>
      <c r="AK69" s="1408"/>
      <c r="AL69" s="1408"/>
      <c r="AM69" s="1408"/>
      <c r="AN69" s="1408"/>
      <c r="AO69" s="1408"/>
      <c r="AP69" s="1408"/>
      <c r="AQ69" s="1408"/>
      <c r="AR69" s="1408"/>
      <c r="AS69" s="1408"/>
      <c r="AT69" s="1408"/>
      <c r="AZ69" s="20"/>
      <c r="BD69" s="1247" t="s">
        <v>2563</v>
      </c>
      <c r="BE69" s="1249" t="str">
        <f>Application!W700</f>
        <v>City of San Jose</v>
      </c>
    </row>
    <row r="70" spans="1:57" ht="12.95" customHeight="1">
      <c r="A70" s="1408"/>
      <c r="B70" s="1408"/>
      <c r="C70" s="1408"/>
      <c r="D70" s="1408"/>
      <c r="E70" s="1408"/>
      <c r="F70" s="1408"/>
      <c r="G70" s="1408"/>
      <c r="H70" s="1408"/>
      <c r="I70" s="1408"/>
      <c r="J70" s="1408"/>
      <c r="K70" s="1408"/>
      <c r="L70" s="1408"/>
      <c r="M70" s="1408"/>
      <c r="N70" s="1408"/>
      <c r="O70" s="1408"/>
      <c r="P70" s="1408"/>
      <c r="Q70" s="1408"/>
      <c r="R70" s="1408"/>
      <c r="S70" s="1408"/>
      <c r="T70" s="1408"/>
      <c r="U70" s="1408"/>
      <c r="V70" s="1408"/>
      <c r="W70" s="1408"/>
      <c r="X70" s="1408"/>
      <c r="Y70" s="1408"/>
      <c r="Z70" s="1408"/>
      <c r="AA70" s="1408"/>
      <c r="AB70" s="1408"/>
      <c r="AC70" s="1408"/>
      <c r="AD70" s="1408"/>
      <c r="AE70" s="1408"/>
      <c r="AF70" s="1408"/>
      <c r="AG70" s="1408"/>
      <c r="AH70" s="1408"/>
      <c r="AI70" s="1408"/>
      <c r="AJ70" s="1408"/>
      <c r="AK70" s="1408"/>
      <c r="AL70" s="1408"/>
      <c r="AM70" s="1408"/>
      <c r="AN70" s="1408"/>
      <c r="AO70" s="1408"/>
      <c r="AP70" s="1408"/>
      <c r="AQ70" s="1408"/>
      <c r="AR70" s="1408"/>
      <c r="AS70" s="1408"/>
      <c r="AT70" s="1408"/>
      <c r="AU70" s="20"/>
      <c r="AV70" s="20"/>
      <c r="AW70" s="20"/>
      <c r="AX70" s="20"/>
      <c r="AY70" s="20"/>
      <c r="AZ70" s="20"/>
      <c r="BD70" s="1248" t="s">
        <v>2564</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406" t="s">
        <v>2159</v>
      </c>
      <c r="B72" s="1406"/>
      <c r="C72" s="1406"/>
      <c r="D72" s="1406"/>
      <c r="E72" s="1406"/>
      <c r="F72" s="1406"/>
      <c r="G72" s="1406"/>
      <c r="H72" s="1406"/>
      <c r="I72" s="1406"/>
      <c r="J72" s="1406"/>
      <c r="K72" s="1406"/>
      <c r="L72" s="1406"/>
      <c r="M72" s="1406"/>
      <c r="N72" s="1406"/>
      <c r="O72" s="1406"/>
      <c r="P72" s="1406"/>
      <c r="Q72" s="1406"/>
      <c r="R72" s="1406"/>
      <c r="S72" s="1406"/>
      <c r="T72" s="1406"/>
      <c r="U72" s="1406"/>
      <c r="V72" s="1406"/>
      <c r="W72" s="1406"/>
      <c r="X72" s="1406"/>
      <c r="Y72" s="1406"/>
      <c r="Z72" s="1406"/>
      <c r="AA72" s="1406"/>
      <c r="AB72" s="1406"/>
      <c r="AC72" s="1406"/>
      <c r="AD72" s="1406"/>
      <c r="AE72" s="1406"/>
      <c r="AF72" s="1406"/>
      <c r="AG72" s="1406"/>
      <c r="AH72" s="1406"/>
      <c r="AI72" s="1406"/>
      <c r="AJ72" s="1406"/>
      <c r="AK72" s="1406"/>
      <c r="AL72" s="1406"/>
      <c r="AM72" s="1406"/>
      <c r="AN72" s="1406"/>
      <c r="AO72" s="1406"/>
      <c r="AP72" s="1406"/>
      <c r="AQ72" s="1406"/>
      <c r="AR72" s="1406"/>
      <c r="AS72" s="1406"/>
      <c r="AT72" s="1406"/>
      <c r="AU72" s="20"/>
      <c r="AV72" s="20"/>
      <c r="AW72" s="20"/>
      <c r="AX72" s="20"/>
      <c r="AY72" s="20"/>
      <c r="AZ72" s="20"/>
      <c r="BD72" s="1248" t="s">
        <v>2566</v>
      </c>
      <c r="BE72" s="1249">
        <f>'Points System'!AF805</f>
        <v>10</v>
      </c>
    </row>
    <row r="73" spans="1:57" ht="12.95" customHeight="1">
      <c r="A73" s="1406"/>
      <c r="B73" s="1406"/>
      <c r="C73" s="1406"/>
      <c r="D73" s="1406"/>
      <c r="E73" s="1406"/>
      <c r="F73" s="1406"/>
      <c r="G73" s="1406"/>
      <c r="H73" s="1406"/>
      <c r="I73" s="1406"/>
      <c r="J73" s="1406"/>
      <c r="K73" s="1406"/>
      <c r="L73" s="1406"/>
      <c r="M73" s="1406"/>
      <c r="N73" s="1406"/>
      <c r="O73" s="1406"/>
      <c r="P73" s="1406"/>
      <c r="Q73" s="1406"/>
      <c r="R73" s="1406"/>
      <c r="S73" s="1406"/>
      <c r="T73" s="1406"/>
      <c r="U73" s="1406"/>
      <c r="V73" s="1406"/>
      <c r="W73" s="1406"/>
      <c r="X73" s="1406"/>
      <c r="Y73" s="1406"/>
      <c r="Z73" s="1406"/>
      <c r="AA73" s="1406"/>
      <c r="AB73" s="1406"/>
      <c r="AC73" s="1406"/>
      <c r="AD73" s="1406"/>
      <c r="AE73" s="1406"/>
      <c r="AF73" s="1406"/>
      <c r="AG73" s="1406"/>
      <c r="AH73" s="1406"/>
      <c r="AI73" s="1406"/>
      <c r="AJ73" s="1406"/>
      <c r="AK73" s="1406"/>
      <c r="AL73" s="1406"/>
      <c r="AM73" s="1406"/>
      <c r="AN73" s="1406"/>
      <c r="AO73" s="1406"/>
      <c r="AP73" s="1406"/>
      <c r="AQ73" s="1406"/>
      <c r="AR73" s="1406"/>
      <c r="AS73" s="1406"/>
      <c r="AT73" s="1406"/>
      <c r="AU73" s="20"/>
      <c r="AV73" s="20"/>
      <c r="AW73" s="20"/>
      <c r="AX73" s="20"/>
      <c r="AY73" s="20"/>
      <c r="AZ73" s="20"/>
      <c r="BD73" s="1247" t="s">
        <v>2567</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795" t="s">
        <v>2160</v>
      </c>
      <c r="B75" s="1795"/>
      <c r="C75" s="1795"/>
      <c r="D75" s="1795"/>
      <c r="E75" s="1795"/>
      <c r="F75" s="1795"/>
      <c r="G75" s="1795"/>
      <c r="H75" s="1795"/>
      <c r="I75" s="1795"/>
      <c r="J75" s="1795"/>
      <c r="K75" s="1795"/>
      <c r="L75" s="1795"/>
      <c r="M75" s="1795"/>
      <c r="N75" s="1795"/>
      <c r="O75" s="1795"/>
      <c r="P75" s="1795"/>
      <c r="Q75" s="1795"/>
      <c r="R75" s="1795"/>
      <c r="S75" s="1795"/>
      <c r="T75" s="1795"/>
      <c r="U75" s="1795"/>
      <c r="V75" s="1795"/>
      <c r="W75" s="1795"/>
      <c r="X75" s="1795"/>
      <c r="Y75" s="1795"/>
      <c r="Z75" s="1795"/>
      <c r="AA75" s="1795"/>
      <c r="AB75" s="1795"/>
      <c r="AC75" s="1795"/>
      <c r="AD75" s="1795"/>
      <c r="AE75" s="1795"/>
      <c r="AF75" s="1795"/>
      <c r="AG75" s="1795"/>
      <c r="AH75" s="1795"/>
      <c r="AI75" s="1795"/>
      <c r="AJ75" s="1795"/>
      <c r="AK75" s="1795"/>
      <c r="AL75" s="1795"/>
      <c r="AM75" s="1795"/>
      <c r="AN75" s="1795"/>
      <c r="AO75" s="1795"/>
      <c r="AP75" s="1795"/>
      <c r="AQ75" s="1795"/>
      <c r="AR75" s="1795"/>
      <c r="AS75" s="1795"/>
      <c r="AT75" s="1795"/>
      <c r="AU75" s="20"/>
      <c r="AV75" s="20"/>
      <c r="AW75" s="20"/>
      <c r="AX75" s="20"/>
      <c r="AY75" s="20"/>
      <c r="AZ75" s="20"/>
      <c r="BD75" s="1247" t="s">
        <v>2569</v>
      </c>
      <c r="BE75" s="1249">
        <f>'Points System'!AF808</f>
        <v>10</v>
      </c>
    </row>
    <row r="76" spans="1:57" ht="12.95" customHeight="1">
      <c r="A76" s="1795"/>
      <c r="B76" s="1795"/>
      <c r="C76" s="1795"/>
      <c r="D76" s="1795"/>
      <c r="E76" s="1795"/>
      <c r="F76" s="1795"/>
      <c r="G76" s="1795"/>
      <c r="H76" s="1795"/>
      <c r="I76" s="1795"/>
      <c r="J76" s="1795"/>
      <c r="K76" s="1795"/>
      <c r="L76" s="1795"/>
      <c r="M76" s="1795"/>
      <c r="N76" s="1795"/>
      <c r="O76" s="1795"/>
      <c r="P76" s="1795"/>
      <c r="Q76" s="1795"/>
      <c r="R76" s="1795"/>
      <c r="S76" s="1795"/>
      <c r="T76" s="1795"/>
      <c r="U76" s="1795"/>
      <c r="V76" s="1795"/>
      <c r="W76" s="1795"/>
      <c r="X76" s="1795"/>
      <c r="Y76" s="1795"/>
      <c r="Z76" s="1795"/>
      <c r="AA76" s="1795"/>
      <c r="AB76" s="1795"/>
      <c r="AC76" s="1795"/>
      <c r="AD76" s="1795"/>
      <c r="AE76" s="1795"/>
      <c r="AF76" s="1795"/>
      <c r="AG76" s="1795"/>
      <c r="AH76" s="1795"/>
      <c r="AI76" s="1795"/>
      <c r="AJ76" s="1795"/>
      <c r="AK76" s="1795"/>
      <c r="AL76" s="1795"/>
      <c r="AM76" s="1795"/>
      <c r="AN76" s="1795"/>
      <c r="AO76" s="1795"/>
      <c r="AP76" s="1795"/>
      <c r="AQ76" s="1795"/>
      <c r="AR76" s="1795"/>
      <c r="AS76" s="1795"/>
      <c r="AT76" s="1795"/>
      <c r="AU76" s="20"/>
      <c r="AV76" s="20"/>
      <c r="AW76" s="20"/>
      <c r="AX76" s="20"/>
      <c r="AY76" s="20"/>
      <c r="AZ76" s="17"/>
      <c r="BD76" s="1248" t="s">
        <v>2570</v>
      </c>
      <c r="BE76" s="1249">
        <f>'Points System'!AF811</f>
        <v>10</v>
      </c>
    </row>
    <row r="77" spans="1:57" ht="12.95" customHeight="1">
      <c r="A77" s="1795"/>
      <c r="B77" s="1795"/>
      <c r="C77" s="1795"/>
      <c r="D77" s="1795"/>
      <c r="E77" s="1795"/>
      <c r="F77" s="1795"/>
      <c r="G77" s="1795"/>
      <c r="H77" s="1795"/>
      <c r="I77" s="1795"/>
      <c r="J77" s="1795"/>
      <c r="K77" s="1795"/>
      <c r="L77" s="1795"/>
      <c r="M77" s="1795"/>
      <c r="N77" s="1795"/>
      <c r="O77" s="1795"/>
      <c r="P77" s="1795"/>
      <c r="Q77" s="1795"/>
      <c r="R77" s="1795"/>
      <c r="S77" s="1795"/>
      <c r="T77" s="1795"/>
      <c r="U77" s="1795"/>
      <c r="V77" s="1795"/>
      <c r="W77" s="1795"/>
      <c r="X77" s="1795"/>
      <c r="Y77" s="1795"/>
      <c r="Z77" s="1795"/>
      <c r="AA77" s="1795"/>
      <c r="AB77" s="1795"/>
      <c r="AC77" s="1795"/>
      <c r="AD77" s="1795"/>
      <c r="AE77" s="1795"/>
      <c r="AF77" s="1795"/>
      <c r="AG77" s="1795"/>
      <c r="AH77" s="1795"/>
      <c r="AI77" s="1795"/>
      <c r="AJ77" s="1795"/>
      <c r="AK77" s="1795"/>
      <c r="AL77" s="1795"/>
      <c r="AM77" s="1795"/>
      <c r="AN77" s="1795"/>
      <c r="AO77" s="1795"/>
      <c r="AP77" s="1795"/>
      <c r="AQ77" s="1795"/>
      <c r="AR77" s="1795"/>
      <c r="AS77" s="1795"/>
      <c r="AT77" s="1795"/>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408" t="s">
        <v>2161</v>
      </c>
      <c r="B79" s="1408"/>
      <c r="C79" s="1408"/>
      <c r="D79" s="1408"/>
      <c r="E79" s="1408"/>
      <c r="F79" s="1408"/>
      <c r="G79" s="1408"/>
      <c r="H79" s="1408"/>
      <c r="I79" s="1408"/>
      <c r="J79" s="1408"/>
      <c r="K79" s="1408"/>
      <c r="L79" s="1408"/>
      <c r="M79" s="1408"/>
      <c r="N79" s="1408"/>
      <c r="O79" s="1408"/>
      <c r="P79" s="1408"/>
      <c r="Q79" s="1408"/>
      <c r="R79" s="1408"/>
      <c r="S79" s="1408"/>
      <c r="T79" s="1408"/>
      <c r="U79" s="1408"/>
      <c r="V79" s="1408"/>
      <c r="W79" s="1408"/>
      <c r="X79" s="1408"/>
      <c r="Y79" s="1408"/>
      <c r="Z79" s="1408"/>
      <c r="AA79" s="1408"/>
      <c r="AB79" s="1408"/>
      <c r="AC79" s="1408"/>
      <c r="AD79" s="1408"/>
      <c r="AE79" s="1408"/>
      <c r="AF79" s="1408"/>
      <c r="AG79" s="1408"/>
      <c r="AH79" s="1408"/>
      <c r="AI79" s="1408"/>
      <c r="AJ79" s="1408"/>
      <c r="AK79" s="1408"/>
      <c r="AL79" s="1408"/>
      <c r="AM79" s="1408"/>
      <c r="AN79" s="1408"/>
      <c r="AO79" s="1408"/>
      <c r="AP79" s="1408"/>
      <c r="AQ79" s="1408"/>
      <c r="AR79" s="1408"/>
      <c r="AS79" s="1408"/>
      <c r="AT79" s="1408"/>
      <c r="AU79" s="20"/>
      <c r="AV79" s="20"/>
      <c r="AW79" s="20"/>
      <c r="AX79" s="20"/>
      <c r="AY79" s="20"/>
      <c r="AZ79" s="20"/>
      <c r="BD79" s="1247" t="s">
        <v>2573</v>
      </c>
      <c r="BE79" s="1249">
        <f>'Points System'!AF815</f>
        <v>9</v>
      </c>
    </row>
    <row r="80" spans="1:57" ht="12.95" customHeight="1">
      <c r="A80" s="1408"/>
      <c r="B80" s="1408"/>
      <c r="C80" s="1408"/>
      <c r="D80" s="1408"/>
      <c r="E80" s="1408"/>
      <c r="F80" s="1408"/>
      <c r="G80" s="1408"/>
      <c r="H80" s="1408"/>
      <c r="I80" s="1408"/>
      <c r="J80" s="1408"/>
      <c r="K80" s="1408"/>
      <c r="L80" s="1408"/>
      <c r="M80" s="1408"/>
      <c r="N80" s="1408"/>
      <c r="O80" s="1408"/>
      <c r="P80" s="1408"/>
      <c r="Q80" s="1408"/>
      <c r="R80" s="1408"/>
      <c r="S80" s="1408"/>
      <c r="T80" s="1408"/>
      <c r="U80" s="1408"/>
      <c r="V80" s="1408"/>
      <c r="W80" s="1408"/>
      <c r="X80" s="1408"/>
      <c r="Y80" s="1408"/>
      <c r="Z80" s="1408"/>
      <c r="AA80" s="1408"/>
      <c r="AB80" s="1408"/>
      <c r="AC80" s="1408"/>
      <c r="AD80" s="1408"/>
      <c r="AE80" s="1408"/>
      <c r="AF80" s="1408"/>
      <c r="AG80" s="1408"/>
      <c r="AH80" s="1408"/>
      <c r="AI80" s="1408"/>
      <c r="AJ80" s="1408"/>
      <c r="AK80" s="1408"/>
      <c r="AL80" s="1408"/>
      <c r="AM80" s="1408"/>
      <c r="AN80" s="1408"/>
      <c r="AO80" s="1408"/>
      <c r="AP80" s="1408"/>
      <c r="AQ80" s="1408"/>
      <c r="AR80" s="1408"/>
      <c r="AS80" s="1408"/>
      <c r="AT80" s="1408"/>
      <c r="AU80" s="20"/>
      <c r="AV80" s="20"/>
      <c r="AW80" s="20"/>
      <c r="AX80" s="20"/>
      <c r="AY80" s="20"/>
      <c r="AZ80" s="20"/>
      <c r="BD80" s="1248" t="s">
        <v>2574</v>
      </c>
      <c r="BE80" s="1249">
        <f>'Points System'!AF817</f>
        <v>10</v>
      </c>
    </row>
    <row r="81" spans="1:57" ht="12.95" customHeight="1">
      <c r="A81" s="1408"/>
      <c r="B81" s="1408"/>
      <c r="C81" s="1408"/>
      <c r="D81" s="1408"/>
      <c r="E81" s="1408"/>
      <c r="F81" s="1408"/>
      <c r="G81" s="1408"/>
      <c r="H81" s="1408"/>
      <c r="I81" s="1408"/>
      <c r="J81" s="1408"/>
      <c r="K81" s="1408"/>
      <c r="L81" s="1408"/>
      <c r="M81" s="1408"/>
      <c r="N81" s="1408"/>
      <c r="O81" s="1408"/>
      <c r="P81" s="1408"/>
      <c r="Q81" s="1408"/>
      <c r="R81" s="1408"/>
      <c r="S81" s="1408"/>
      <c r="T81" s="1408"/>
      <c r="U81" s="1408"/>
      <c r="V81" s="1408"/>
      <c r="W81" s="1408"/>
      <c r="X81" s="1408"/>
      <c r="Y81" s="1408"/>
      <c r="Z81" s="1408"/>
      <c r="AA81" s="1408"/>
      <c r="AB81" s="1408"/>
      <c r="AC81" s="1408"/>
      <c r="AD81" s="1408"/>
      <c r="AE81" s="1408"/>
      <c r="AF81" s="1408"/>
      <c r="AG81" s="1408"/>
      <c r="AH81" s="1408"/>
      <c r="AI81" s="1408"/>
      <c r="AJ81" s="1408"/>
      <c r="AK81" s="1408"/>
      <c r="AL81" s="1408"/>
      <c r="AM81" s="1408"/>
      <c r="AN81" s="1408"/>
      <c r="AO81" s="1408"/>
      <c r="AP81" s="1408"/>
      <c r="AQ81" s="1408"/>
      <c r="AR81" s="1408"/>
      <c r="AS81" s="1408"/>
      <c r="AT81" s="1408"/>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8" t="s">
        <v>2162</v>
      </c>
      <c r="B83" s="1268"/>
      <c r="C83" s="1268"/>
      <c r="D83" s="1268"/>
      <c r="E83" s="1268"/>
      <c r="F83" s="1268"/>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c r="AL83" s="1268"/>
      <c r="AM83" s="1268"/>
      <c r="AN83" s="1268"/>
      <c r="AO83" s="1268"/>
      <c r="AP83" s="1268"/>
      <c r="AQ83" s="1268"/>
      <c r="AR83" s="1268"/>
      <c r="AS83" s="1268"/>
      <c r="AT83" s="1268"/>
      <c r="AU83" s="20"/>
      <c r="AV83" s="20"/>
      <c r="AW83" s="20"/>
      <c r="AX83" s="20"/>
      <c r="AY83" s="20"/>
      <c r="AZ83" s="20"/>
      <c r="BD83" s="1247" t="s">
        <v>2577</v>
      </c>
      <c r="BE83" s="1253">
        <f>'Tie Breaker'!H5</f>
        <v>1.4696763208489825</v>
      </c>
    </row>
    <row r="84" spans="1:57" ht="12.95" customHeight="1">
      <c r="A84" s="1268"/>
      <c r="B84" s="1268"/>
      <c r="C84" s="1268"/>
      <c r="D84" s="1268"/>
      <c r="E84" s="1268"/>
      <c r="F84" s="1268"/>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c r="AL84" s="1268"/>
      <c r="AM84" s="1268"/>
      <c r="AN84" s="1268"/>
      <c r="AO84" s="1268"/>
      <c r="AP84" s="1268"/>
      <c r="AQ84" s="1268"/>
      <c r="AR84" s="1268"/>
      <c r="AS84" s="1268"/>
      <c r="AT84" s="1268"/>
      <c r="AU84" s="20"/>
      <c r="AV84" s="20"/>
      <c r="AW84" s="20"/>
      <c r="AX84" s="20"/>
      <c r="AY84" s="20"/>
      <c r="AZ84" s="20"/>
      <c r="BD84" s="1248" t="s">
        <v>2578</v>
      </c>
      <c r="BE84" s="1249" t="str">
        <f>Application!O153</f>
        <v>City of San Jose</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Erik Solivan</v>
      </c>
    </row>
    <row r="86" spans="1:57" ht="12.95" customHeight="1">
      <c r="A86" s="1268" t="s">
        <v>2163</v>
      </c>
      <c r="B86" s="1268"/>
      <c r="C86" s="1268"/>
      <c r="D86" s="1268"/>
      <c r="E86" s="1268"/>
      <c r="F86" s="1268"/>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268"/>
      <c r="AS86" s="1268"/>
      <c r="AT86" s="1268"/>
      <c r="AU86" s="20"/>
      <c r="AV86" s="20"/>
      <c r="AW86" s="20"/>
      <c r="AX86" s="20"/>
      <c r="AY86" s="20"/>
      <c r="AZ86" s="20"/>
      <c r="BD86" s="1248" t="s">
        <v>2580</v>
      </c>
      <c r="BE86" s="1249" t="str">
        <f>Application!O155</f>
        <v>Housing Director</v>
      </c>
    </row>
    <row r="87" spans="1:57" ht="12.95" customHeight="1">
      <c r="A87" s="1268"/>
      <c r="B87" s="1268"/>
      <c r="C87" s="1268"/>
      <c r="D87" s="1268"/>
      <c r="E87" s="1268"/>
      <c r="F87" s="1268"/>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268"/>
      <c r="AS87" s="1268"/>
      <c r="AT87" s="1268"/>
      <c r="AU87" s="20"/>
      <c r="AV87" s="20"/>
      <c r="AW87" s="20"/>
      <c r="AX87" s="20"/>
      <c r="AY87" s="20"/>
      <c r="AZ87" s="20"/>
      <c r="BD87" s="1247" t="s">
        <v>2581</v>
      </c>
      <c r="BE87" s="1249" t="str">
        <f>Application!O156</f>
        <v>200 E Santa Clara Street, 12th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San Jose</v>
      </c>
    </row>
    <row r="89" spans="1:57" ht="12.95" customHeight="1">
      <c r="A89" s="1804" t="s">
        <v>2164</v>
      </c>
      <c r="B89" s="1804"/>
      <c r="C89" s="1804"/>
      <c r="D89" s="1804"/>
      <c r="E89" s="1804"/>
      <c r="F89" s="1804"/>
      <c r="G89" s="1804"/>
      <c r="H89" s="1804"/>
      <c r="I89" s="1804"/>
      <c r="J89" s="1804"/>
      <c r="K89" s="1804"/>
      <c r="L89" s="1804"/>
      <c r="M89" s="1804"/>
      <c r="N89" s="1804"/>
      <c r="O89" s="1804"/>
      <c r="P89" s="1804"/>
      <c r="Q89" s="1804"/>
      <c r="R89" s="1804"/>
      <c r="S89" s="1804"/>
      <c r="T89" s="1804"/>
      <c r="U89" s="1804"/>
      <c r="V89" s="1804"/>
      <c r="W89" s="1804"/>
      <c r="X89" s="1804"/>
      <c r="Y89" s="1804"/>
      <c r="Z89" s="1804"/>
      <c r="AA89" s="1804"/>
      <c r="AB89" s="1804"/>
      <c r="AC89" s="1804"/>
      <c r="AD89" s="1804"/>
      <c r="AE89" s="1804"/>
      <c r="AF89" s="1804"/>
      <c r="AG89" s="1804"/>
      <c r="AH89" s="1804"/>
      <c r="AI89" s="1804"/>
      <c r="AJ89" s="1804"/>
      <c r="AK89" s="1804"/>
      <c r="AL89" s="1804"/>
      <c r="AM89" s="1804"/>
      <c r="AN89" s="1804"/>
      <c r="AO89" s="1804"/>
      <c r="AP89" s="1804"/>
      <c r="AQ89" s="1804"/>
      <c r="AR89" s="1804"/>
      <c r="AS89" s="1804"/>
      <c r="AT89" s="1804"/>
      <c r="AU89" s="17"/>
      <c r="AV89" s="17"/>
      <c r="AW89" s="17"/>
      <c r="AX89" s="17"/>
      <c r="AY89" s="17"/>
      <c r="AZ89" s="20"/>
      <c r="BD89" s="1247" t="s">
        <v>2583</v>
      </c>
      <c r="BE89" s="1249">
        <f>Application!O158</f>
        <v>95113</v>
      </c>
    </row>
    <row r="90" spans="1:57" ht="12.95" customHeight="1">
      <c r="A90" s="1804"/>
      <c r="B90" s="1804"/>
      <c r="C90" s="1804"/>
      <c r="D90" s="1804"/>
      <c r="E90" s="1804"/>
      <c r="F90" s="1804"/>
      <c r="G90" s="1804"/>
      <c r="H90" s="1804"/>
      <c r="I90" s="1804"/>
      <c r="J90" s="1804"/>
      <c r="K90" s="1804"/>
      <c r="L90" s="1804"/>
      <c r="M90" s="1804"/>
      <c r="N90" s="1804"/>
      <c r="O90" s="1804"/>
      <c r="P90" s="1804"/>
      <c r="Q90" s="1804"/>
      <c r="R90" s="1804"/>
      <c r="S90" s="1804"/>
      <c r="T90" s="1804"/>
      <c r="U90" s="1804"/>
      <c r="V90" s="1804"/>
      <c r="W90" s="1804"/>
      <c r="X90" s="1804"/>
      <c r="Y90" s="1804"/>
      <c r="Z90" s="1804"/>
      <c r="AA90" s="1804"/>
      <c r="AB90" s="1804"/>
      <c r="AC90" s="1804"/>
      <c r="AD90" s="1804"/>
      <c r="AE90" s="1804"/>
      <c r="AF90" s="1804"/>
      <c r="AG90" s="1804"/>
      <c r="AH90" s="1804"/>
      <c r="AI90" s="1804"/>
      <c r="AJ90" s="1804"/>
      <c r="AK90" s="1804"/>
      <c r="AL90" s="1804"/>
      <c r="AM90" s="1804"/>
      <c r="AN90" s="1804"/>
      <c r="AO90" s="1804"/>
      <c r="AP90" s="1804"/>
      <c r="AQ90" s="1804"/>
      <c r="AR90" s="1804"/>
      <c r="AS90" s="1804"/>
      <c r="AT90" s="1804"/>
      <c r="AU90" s="17"/>
      <c r="AV90" s="17"/>
      <c r="AW90" s="17"/>
      <c r="AX90" s="17"/>
      <c r="AY90" s="17"/>
      <c r="AZ90" s="20"/>
      <c r="BD90" s="1248" t="s">
        <v>2584</v>
      </c>
      <c r="BE90" s="1249" t="str">
        <f>Application!H16</f>
        <v>Berryessa Affordable Housing,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13520 Evening Creek Drive N, Suite 560</v>
      </c>
    </row>
    <row r="92" spans="1:57" ht="12.95" customHeight="1">
      <c r="A92" s="1795" t="s">
        <v>2165</v>
      </c>
      <c r="B92" s="1795"/>
      <c r="C92" s="1795"/>
      <c r="D92" s="1795"/>
      <c r="E92" s="1795"/>
      <c r="F92" s="1795"/>
      <c r="G92" s="1795"/>
      <c r="H92" s="1795"/>
      <c r="I92" s="1795"/>
      <c r="J92" s="1795"/>
      <c r="K92" s="1795"/>
      <c r="L92" s="1795"/>
      <c r="M92" s="1795"/>
      <c r="N92" s="1795"/>
      <c r="O92" s="1795"/>
      <c r="P92" s="1795"/>
      <c r="Q92" s="1795"/>
      <c r="R92" s="1795"/>
      <c r="S92" s="1795"/>
      <c r="T92" s="1795"/>
      <c r="U92" s="1795"/>
      <c r="V92" s="1795"/>
      <c r="W92" s="1795"/>
      <c r="X92" s="1795"/>
      <c r="Y92" s="1795"/>
      <c r="Z92" s="1795"/>
      <c r="AA92" s="1795"/>
      <c r="AB92" s="1795"/>
      <c r="AC92" s="1795"/>
      <c r="AD92" s="1795"/>
      <c r="AE92" s="1795"/>
      <c r="AF92" s="1795"/>
      <c r="AG92" s="1795"/>
      <c r="AH92" s="1795"/>
      <c r="AI92" s="1795"/>
      <c r="AJ92" s="1795"/>
      <c r="AK92" s="1795"/>
      <c r="AL92" s="1795"/>
      <c r="AM92" s="1795"/>
      <c r="AN92" s="1795"/>
      <c r="AO92" s="1795"/>
      <c r="AP92" s="1795"/>
      <c r="AQ92" s="1795"/>
      <c r="AR92" s="1795"/>
      <c r="AS92" s="1795"/>
      <c r="AT92" s="1795"/>
      <c r="AU92" s="20"/>
      <c r="AV92" s="20"/>
      <c r="AW92" s="20"/>
      <c r="AX92" s="20"/>
      <c r="AY92" s="20"/>
      <c r="AZ92" s="20"/>
      <c r="BD92" s="1248" t="s">
        <v>2586</v>
      </c>
      <c r="BE92" s="1249" t="str">
        <f>Application!M234</f>
        <v>San Diego</v>
      </c>
    </row>
    <row r="93" spans="1:57" ht="12.95" customHeight="1">
      <c r="A93" s="1795"/>
      <c r="B93" s="1795"/>
      <c r="C93" s="1795"/>
      <c r="D93" s="1795"/>
      <c r="E93" s="1795"/>
      <c r="F93" s="1795"/>
      <c r="G93" s="1795"/>
      <c r="H93" s="1795"/>
      <c r="I93" s="1795"/>
      <c r="J93" s="1795"/>
      <c r="K93" s="1795"/>
      <c r="L93" s="1795"/>
      <c r="M93" s="1795"/>
      <c r="N93" s="1795"/>
      <c r="O93" s="1795"/>
      <c r="P93" s="1795"/>
      <c r="Q93" s="1795"/>
      <c r="R93" s="1795"/>
      <c r="S93" s="1795"/>
      <c r="T93" s="1795"/>
      <c r="U93" s="1795"/>
      <c r="V93" s="1795"/>
      <c r="W93" s="1795"/>
      <c r="X93" s="1795"/>
      <c r="Y93" s="1795"/>
      <c r="Z93" s="1795"/>
      <c r="AA93" s="1795"/>
      <c r="AB93" s="1795"/>
      <c r="AC93" s="1795"/>
      <c r="AD93" s="1795"/>
      <c r="AE93" s="1795"/>
      <c r="AF93" s="1795"/>
      <c r="AG93" s="1795"/>
      <c r="AH93" s="1795"/>
      <c r="AI93" s="1795"/>
      <c r="AJ93" s="1795"/>
      <c r="AK93" s="1795"/>
      <c r="AL93" s="1795"/>
      <c r="AM93" s="1795"/>
      <c r="AN93" s="1795"/>
      <c r="AO93" s="1795"/>
      <c r="AP93" s="1795"/>
      <c r="AQ93" s="1795"/>
      <c r="AR93" s="1795"/>
      <c r="AS93" s="1795"/>
      <c r="AT93" s="1795"/>
      <c r="AU93" s="20"/>
      <c r="AV93" s="20"/>
      <c r="AW93" s="20"/>
      <c r="AX93" s="20"/>
      <c r="AY93" s="20"/>
      <c r="AZ93" s="20"/>
      <c r="BD93" s="1247" t="s">
        <v>2587</v>
      </c>
      <c r="BE93" s="1249" t="str">
        <f>Application!W234</f>
        <v>CA</v>
      </c>
    </row>
    <row r="94" spans="1:57" ht="12.95" customHeight="1">
      <c r="A94" s="1795"/>
      <c r="B94" s="1795"/>
      <c r="C94" s="1795"/>
      <c r="D94" s="1795"/>
      <c r="E94" s="1795"/>
      <c r="F94" s="1795"/>
      <c r="G94" s="1795"/>
      <c r="H94" s="1795"/>
      <c r="I94" s="1795"/>
      <c r="J94" s="1795"/>
      <c r="K94" s="1795"/>
      <c r="L94" s="1795"/>
      <c r="M94" s="1795"/>
      <c r="N94" s="1795"/>
      <c r="O94" s="1795"/>
      <c r="P94" s="1795"/>
      <c r="Q94" s="1795"/>
      <c r="R94" s="1795"/>
      <c r="S94" s="1795"/>
      <c r="T94" s="1795"/>
      <c r="U94" s="1795"/>
      <c r="V94" s="1795"/>
      <c r="W94" s="1795"/>
      <c r="X94" s="1795"/>
      <c r="Y94" s="1795"/>
      <c r="Z94" s="1795"/>
      <c r="AA94" s="1795"/>
      <c r="AB94" s="1795"/>
      <c r="AC94" s="1795"/>
      <c r="AD94" s="1795"/>
      <c r="AE94" s="1795"/>
      <c r="AF94" s="1795"/>
      <c r="AG94" s="1795"/>
      <c r="AH94" s="1795"/>
      <c r="AI94" s="1795"/>
      <c r="AJ94" s="1795"/>
      <c r="AK94" s="1795"/>
      <c r="AL94" s="1795"/>
      <c r="AM94" s="1795"/>
      <c r="AN94" s="1795"/>
      <c r="AO94" s="1795"/>
      <c r="AP94" s="1795"/>
      <c r="AQ94" s="1795"/>
      <c r="AR94" s="1795"/>
      <c r="AS94" s="1795"/>
      <c r="AT94" s="1795"/>
      <c r="AU94" s="20"/>
      <c r="AV94" s="20"/>
      <c r="AW94" s="20"/>
      <c r="AX94" s="20"/>
      <c r="AY94" s="20"/>
      <c r="AZ94" s="20"/>
      <c r="BD94" s="1248" t="s">
        <v>2588</v>
      </c>
      <c r="BE94" s="1249">
        <f>Application!AC234</f>
        <v>92128</v>
      </c>
    </row>
    <row r="95" spans="1:57" ht="12.95" customHeight="1">
      <c r="A95" s="1795"/>
      <c r="B95" s="1795"/>
      <c r="C95" s="1795"/>
      <c r="D95" s="1795"/>
      <c r="E95" s="1795"/>
      <c r="F95" s="1795"/>
      <c r="G95" s="1795"/>
      <c r="H95" s="1795"/>
      <c r="I95" s="1795"/>
      <c r="J95" s="1795"/>
      <c r="K95" s="1795"/>
      <c r="L95" s="1795"/>
      <c r="M95" s="1795"/>
      <c r="N95" s="1795"/>
      <c r="O95" s="1795"/>
      <c r="P95" s="1795"/>
      <c r="Q95" s="1795"/>
      <c r="R95" s="1795"/>
      <c r="S95" s="1795"/>
      <c r="T95" s="1795"/>
      <c r="U95" s="1795"/>
      <c r="V95" s="1795"/>
      <c r="W95" s="1795"/>
      <c r="X95" s="1795"/>
      <c r="Y95" s="1795"/>
      <c r="Z95" s="1795"/>
      <c r="AA95" s="1795"/>
      <c r="AB95" s="1795"/>
      <c r="AC95" s="1795"/>
      <c r="AD95" s="1795"/>
      <c r="AE95" s="1795"/>
      <c r="AF95" s="1795"/>
      <c r="AG95" s="1795"/>
      <c r="AH95" s="1795"/>
      <c r="AI95" s="1795"/>
      <c r="AJ95" s="1795"/>
      <c r="AK95" s="1795"/>
      <c r="AL95" s="1795"/>
      <c r="AM95" s="1795"/>
      <c r="AN95" s="1795"/>
      <c r="AO95" s="1795"/>
      <c r="AP95" s="1795"/>
      <c r="AQ95" s="1795"/>
      <c r="AR95" s="1795"/>
      <c r="AS95" s="1795"/>
      <c r="AT95" s="1795"/>
      <c r="AU95" s="20"/>
      <c r="AV95" s="20"/>
      <c r="AW95" s="20"/>
      <c r="AX95" s="20"/>
      <c r="AY95" s="20"/>
      <c r="AZ95" s="20"/>
      <c r="BD95" s="1247" t="s">
        <v>2589</v>
      </c>
      <c r="BE95" s="1249" t="str">
        <f>Application!M235</f>
        <v>Robin Martinez</v>
      </c>
    </row>
    <row r="96" spans="1:57" ht="12.95" customHeight="1">
      <c r="A96" s="1795"/>
      <c r="B96" s="1795"/>
      <c r="C96" s="1795"/>
      <c r="D96" s="1795"/>
      <c r="E96" s="1795"/>
      <c r="F96" s="1795"/>
      <c r="G96" s="1795"/>
      <c r="H96" s="1795"/>
      <c r="I96" s="1795"/>
      <c r="J96" s="1795"/>
      <c r="K96" s="1795"/>
      <c r="L96" s="1795"/>
      <c r="M96" s="1795"/>
      <c r="N96" s="1795"/>
      <c r="O96" s="1795"/>
      <c r="P96" s="1795"/>
      <c r="Q96" s="1795"/>
      <c r="R96" s="1795"/>
      <c r="S96" s="1795"/>
      <c r="T96" s="1795"/>
      <c r="U96" s="1795"/>
      <c r="V96" s="1795"/>
      <c r="W96" s="1795"/>
      <c r="X96" s="1795"/>
      <c r="Y96" s="1795"/>
      <c r="Z96" s="1795"/>
      <c r="AA96" s="1795"/>
      <c r="AB96" s="1795"/>
      <c r="AC96" s="1795"/>
      <c r="AD96" s="1795"/>
      <c r="AE96" s="1795"/>
      <c r="AF96" s="1795"/>
      <c r="AG96" s="1795"/>
      <c r="AH96" s="1795"/>
      <c r="AI96" s="1795"/>
      <c r="AJ96" s="1795"/>
      <c r="AK96" s="1795"/>
      <c r="AL96" s="1795"/>
      <c r="AM96" s="1795"/>
      <c r="AN96" s="1795"/>
      <c r="AO96" s="1795"/>
      <c r="AP96" s="1795"/>
      <c r="AQ96" s="1795"/>
      <c r="AR96" s="1795"/>
      <c r="AS96" s="1795"/>
      <c r="AT96" s="1795"/>
      <c r="AU96" s="20"/>
      <c r="AV96" s="20"/>
      <c r="AW96" s="20"/>
      <c r="AX96" s="20"/>
      <c r="AY96" s="20"/>
      <c r="AZ96" s="20"/>
      <c r="BD96" s="1248" t="s">
        <v>2590</v>
      </c>
      <c r="BE96" s="1249" t="str">
        <f>Application!M237</f>
        <v>robin@compassfah.org</v>
      </c>
    </row>
    <row r="97" spans="1:57" ht="12.95" customHeight="1">
      <c r="A97" s="1795"/>
      <c r="B97" s="1795"/>
      <c r="C97" s="1795"/>
      <c r="D97" s="1795"/>
      <c r="E97" s="1795"/>
      <c r="F97" s="1795"/>
      <c r="G97" s="1795"/>
      <c r="H97" s="1795"/>
      <c r="I97" s="1795"/>
      <c r="J97" s="1795"/>
      <c r="K97" s="1795"/>
      <c r="L97" s="1795"/>
      <c r="M97" s="1795"/>
      <c r="N97" s="1795"/>
      <c r="O97" s="1795"/>
      <c r="P97" s="1795"/>
      <c r="Q97" s="1795"/>
      <c r="R97" s="1795"/>
      <c r="S97" s="1795"/>
      <c r="T97" s="1795"/>
      <c r="U97" s="1795"/>
      <c r="V97" s="1795"/>
      <c r="W97" s="1795"/>
      <c r="X97" s="1795"/>
      <c r="Y97" s="1795"/>
      <c r="Z97" s="1795"/>
      <c r="AA97" s="1795"/>
      <c r="AB97" s="1795"/>
      <c r="AC97" s="1795"/>
      <c r="AD97" s="1795"/>
      <c r="AE97" s="1795"/>
      <c r="AF97" s="1795"/>
      <c r="AG97" s="1795"/>
      <c r="AH97" s="1795"/>
      <c r="AI97" s="1795"/>
      <c r="AJ97" s="1795"/>
      <c r="AK97" s="1795"/>
      <c r="AL97" s="1795"/>
      <c r="AM97" s="1795"/>
      <c r="AN97" s="1795"/>
      <c r="AO97" s="1795"/>
      <c r="AP97" s="1795"/>
      <c r="AQ97" s="1795"/>
      <c r="AR97" s="1795"/>
      <c r="AS97" s="1795"/>
      <c r="AT97" s="1795"/>
      <c r="AU97" s="20"/>
      <c r="AV97" s="20"/>
      <c r="AW97" s="20"/>
      <c r="AX97" s="20"/>
      <c r="AY97" s="20"/>
      <c r="AZ97" s="20"/>
      <c r="BD97" s="1247" t="s">
        <v>2591</v>
      </c>
      <c r="BE97" s="1249" t="str">
        <f>Application!M248</f>
        <v>James@affirmedhousing.com</v>
      </c>
    </row>
    <row r="98" spans="1:57" ht="12.95" customHeight="1">
      <c r="A98" s="1795"/>
      <c r="B98" s="1795"/>
      <c r="C98" s="1795"/>
      <c r="D98" s="1795"/>
      <c r="E98" s="1795"/>
      <c r="F98" s="1795"/>
      <c r="G98" s="1795"/>
      <c r="H98" s="1795"/>
      <c r="I98" s="1795"/>
      <c r="J98" s="1795"/>
      <c r="K98" s="1795"/>
      <c r="L98" s="1795"/>
      <c r="M98" s="1795"/>
      <c r="N98" s="1795"/>
      <c r="O98" s="1795"/>
      <c r="P98" s="1795"/>
      <c r="Q98" s="1795"/>
      <c r="R98" s="1795"/>
      <c r="S98" s="1795"/>
      <c r="T98" s="1795"/>
      <c r="U98" s="1795"/>
      <c r="V98" s="1795"/>
      <c r="W98" s="1795"/>
      <c r="X98" s="1795"/>
      <c r="Y98" s="1795"/>
      <c r="Z98" s="1795"/>
      <c r="AA98" s="1795"/>
      <c r="AB98" s="1795"/>
      <c r="AC98" s="1795"/>
      <c r="AD98" s="1795"/>
      <c r="AE98" s="1795"/>
      <c r="AF98" s="1795"/>
      <c r="AG98" s="1795"/>
      <c r="AH98" s="1795"/>
      <c r="AI98" s="1795"/>
      <c r="AJ98" s="1795"/>
      <c r="AK98" s="1795"/>
      <c r="AL98" s="1795"/>
      <c r="AM98" s="1795"/>
      <c r="AN98" s="1795"/>
      <c r="AO98" s="1795"/>
      <c r="AP98" s="1795"/>
      <c r="AQ98" s="1795"/>
      <c r="AR98" s="1795"/>
      <c r="AS98" s="1795"/>
      <c r="AT98" s="1795"/>
      <c r="AU98" s="20"/>
      <c r="AV98" s="20"/>
      <c r="AW98" s="20"/>
      <c r="AX98" s="20"/>
      <c r="AY98" s="20"/>
      <c r="AZ98" s="20"/>
      <c r="BD98" s="1248" t="s">
        <v>2592</v>
      </c>
      <c r="BE98" s="1249" t="str">
        <f>Application!M256</f>
        <v>robin@compassfah.org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t="str">
        <f>Application!M264</f>
        <v>N/A</v>
      </c>
    </row>
    <row r="100" spans="1:57" ht="12.95" customHeight="1">
      <c r="A100" s="1785" t="s">
        <v>2166</v>
      </c>
      <c r="B100" s="1785"/>
      <c r="C100" s="1785"/>
      <c r="D100" s="1785"/>
      <c r="E100" s="1785"/>
      <c r="F100" s="1785"/>
      <c r="G100" s="1785"/>
      <c r="H100" s="1785"/>
      <c r="I100" s="1785"/>
      <c r="J100" s="1785"/>
      <c r="K100" s="1785"/>
      <c r="L100" s="1785"/>
      <c r="M100" s="1785"/>
      <c r="N100" s="1785"/>
      <c r="O100" s="1785"/>
      <c r="P100" s="1785"/>
      <c r="Q100" s="1785"/>
      <c r="R100" s="1785"/>
      <c r="S100" s="1785"/>
      <c r="T100" s="1785"/>
      <c r="U100" s="1785"/>
      <c r="V100" s="1785"/>
      <c r="W100" s="1785"/>
      <c r="X100" s="1785"/>
      <c r="Y100" s="1785"/>
      <c r="Z100" s="1785"/>
      <c r="AA100" s="1785"/>
      <c r="AB100" s="1785"/>
      <c r="AC100" s="1785"/>
      <c r="AD100" s="1785"/>
      <c r="AE100" s="1785"/>
      <c r="AF100" s="1785"/>
      <c r="AG100" s="1785"/>
      <c r="AH100" s="1785"/>
      <c r="AI100" s="1785"/>
      <c r="AJ100" s="1785"/>
      <c r="AK100" s="1785"/>
      <c r="AL100" s="1785"/>
      <c r="AM100" s="1785"/>
      <c r="AN100" s="1785"/>
      <c r="AO100" s="1785"/>
      <c r="AP100" s="1785"/>
      <c r="AQ100" s="1785"/>
      <c r="AR100" s="1785"/>
      <c r="AS100" s="1785"/>
      <c r="AT100" s="1785"/>
      <c r="AU100" s="20"/>
      <c r="AV100" s="20"/>
      <c r="AW100" s="20"/>
      <c r="AX100" s="20"/>
      <c r="AY100" s="20"/>
      <c r="AZ100" s="20"/>
      <c r="BD100" s="1248" t="s">
        <v>2594</v>
      </c>
      <c r="BE100" s="1249" t="str">
        <f>Application!L279</f>
        <v>Jake@affirmedhousing.com</v>
      </c>
    </row>
    <row r="101" spans="1:57" ht="12.95" customHeight="1">
      <c r="A101" s="1785"/>
      <c r="B101" s="1785"/>
      <c r="C101" s="1785"/>
      <c r="D101" s="1785"/>
      <c r="E101" s="1785"/>
      <c r="F101" s="1785"/>
      <c r="G101" s="1785"/>
      <c r="H101" s="1785"/>
      <c r="I101" s="1785"/>
      <c r="J101" s="1785"/>
      <c r="K101" s="1785"/>
      <c r="L101" s="1785"/>
      <c r="M101" s="1785"/>
      <c r="N101" s="1785"/>
      <c r="O101" s="1785"/>
      <c r="P101" s="1785"/>
      <c r="Q101" s="1785"/>
      <c r="R101" s="1785"/>
      <c r="S101" s="1785"/>
      <c r="T101" s="1785"/>
      <c r="U101" s="1785"/>
      <c r="V101" s="1785"/>
      <c r="W101" s="1785"/>
      <c r="X101" s="1785"/>
      <c r="Y101" s="1785"/>
      <c r="Z101" s="1785"/>
      <c r="AA101" s="1785"/>
      <c r="AB101" s="1785"/>
      <c r="AC101" s="1785"/>
      <c r="AD101" s="1785"/>
      <c r="AE101" s="1785"/>
      <c r="AF101" s="1785"/>
      <c r="AG101" s="1785"/>
      <c r="AH101" s="1785"/>
      <c r="AI101" s="1785"/>
      <c r="AJ101" s="1785"/>
      <c r="AK101" s="1785"/>
      <c r="AL101" s="1785"/>
      <c r="AM101" s="1785"/>
      <c r="AN101" s="1785"/>
      <c r="AO101" s="1785"/>
      <c r="AP101" s="1785"/>
      <c r="AQ101" s="1785"/>
      <c r="AR101" s="1785"/>
      <c r="AS101" s="1785"/>
      <c r="AT101" s="1785"/>
      <c r="AU101" s="20"/>
      <c r="AV101" s="20"/>
      <c r="AW101" s="20"/>
      <c r="AX101" s="20"/>
      <c r="AY101" s="20"/>
      <c r="AZ101" s="20"/>
      <c r="BD101" s="3" t="s">
        <v>2599</v>
      </c>
      <c r="BE101">
        <f>'Sources and Uses Budget'!C105</f>
        <v>162592874</v>
      </c>
    </row>
    <row r="102" spans="1:57" ht="12.95" customHeight="1">
      <c r="A102" s="1785"/>
      <c r="B102" s="1785"/>
      <c r="C102" s="1785"/>
      <c r="D102" s="1785"/>
      <c r="E102" s="1785"/>
      <c r="F102" s="1785"/>
      <c r="G102" s="1785"/>
      <c r="H102" s="1785"/>
      <c r="I102" s="1785"/>
      <c r="J102" s="1785"/>
      <c r="K102" s="1785"/>
      <c r="L102" s="1785"/>
      <c r="M102" s="1785"/>
      <c r="N102" s="1785"/>
      <c r="O102" s="1785"/>
      <c r="P102" s="1785"/>
      <c r="Q102" s="1785"/>
      <c r="R102" s="1785"/>
      <c r="S102" s="1785"/>
      <c r="T102" s="1785"/>
      <c r="U102" s="1785"/>
      <c r="V102" s="1785"/>
      <c r="W102" s="1785"/>
      <c r="X102" s="1785"/>
      <c r="Y102" s="1785"/>
      <c r="Z102" s="1785"/>
      <c r="AA102" s="1785"/>
      <c r="AB102" s="1785"/>
      <c r="AC102" s="1785"/>
      <c r="AD102" s="1785"/>
      <c r="AE102" s="1785"/>
      <c r="AF102" s="1785"/>
      <c r="AG102" s="1785"/>
      <c r="AH102" s="1785"/>
      <c r="AI102" s="1785"/>
      <c r="AJ102" s="1785"/>
      <c r="AK102" s="1785"/>
      <c r="AL102" s="1785"/>
      <c r="AM102" s="1785"/>
      <c r="AN102" s="1785"/>
      <c r="AO102" s="1785"/>
      <c r="AP102" s="1785"/>
      <c r="AQ102" s="1785"/>
      <c r="AR102" s="1785"/>
      <c r="AS102" s="1785"/>
      <c r="AT102" s="1785"/>
      <c r="AU102" s="20"/>
      <c r="AV102" s="20"/>
      <c r="AW102" s="20"/>
      <c r="AX102" s="20"/>
      <c r="AY102" s="20"/>
      <c r="AZ102" s="20"/>
      <c r="BD102" s="3" t="s">
        <v>2600</v>
      </c>
      <c r="BE102" t="b">
        <f>T197="Yes"</f>
        <v>0</v>
      </c>
    </row>
    <row r="103" spans="1:57" ht="12.95" customHeight="1">
      <c r="A103" s="1785"/>
      <c r="B103" s="1785"/>
      <c r="C103" s="1785"/>
      <c r="D103" s="1785"/>
      <c r="E103" s="1785"/>
      <c r="F103" s="1785"/>
      <c r="G103" s="1785"/>
      <c r="H103" s="1785"/>
      <c r="I103" s="1785"/>
      <c r="J103" s="1785"/>
      <c r="K103" s="1785"/>
      <c r="L103" s="1785"/>
      <c r="M103" s="1785"/>
      <c r="N103" s="1785"/>
      <c r="O103" s="1785"/>
      <c r="P103" s="1785"/>
      <c r="Q103" s="1785"/>
      <c r="R103" s="1785"/>
      <c r="S103" s="1785"/>
      <c r="T103" s="1785"/>
      <c r="U103" s="1785"/>
      <c r="V103" s="1785"/>
      <c r="W103" s="1785"/>
      <c r="X103" s="1785"/>
      <c r="Y103" s="1785"/>
      <c r="Z103" s="1785"/>
      <c r="AA103" s="1785"/>
      <c r="AB103" s="1785"/>
      <c r="AC103" s="1785"/>
      <c r="AD103" s="1785"/>
      <c r="AE103" s="1785"/>
      <c r="AF103" s="1785"/>
      <c r="AG103" s="1785"/>
      <c r="AH103" s="1785"/>
      <c r="AI103" s="1785"/>
      <c r="AJ103" s="1785"/>
      <c r="AK103" s="1785"/>
      <c r="AL103" s="1785"/>
      <c r="AM103" s="1785"/>
      <c r="AN103" s="1785"/>
      <c r="AO103" s="1785"/>
      <c r="AP103" s="1785"/>
      <c r="AQ103" s="1785"/>
      <c r="AR103" s="1785"/>
      <c r="AS103" s="1785"/>
      <c r="AT103" s="1785"/>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5" t="s">
        <v>2167</v>
      </c>
      <c r="B105" s="1785"/>
      <c r="C105" s="1785"/>
      <c r="D105" s="1785"/>
      <c r="E105" s="1785"/>
      <c r="F105" s="1785"/>
      <c r="G105" s="1785"/>
      <c r="H105" s="1785"/>
      <c r="I105" s="1785"/>
      <c r="J105" s="1785"/>
      <c r="K105" s="1785"/>
      <c r="L105" s="1785"/>
      <c r="M105" s="1785"/>
      <c r="N105" s="1785"/>
      <c r="O105" s="1785"/>
      <c r="P105" s="1785"/>
      <c r="Q105" s="1785"/>
      <c r="R105" s="1785"/>
      <c r="S105" s="1785"/>
      <c r="T105" s="1785"/>
      <c r="U105" s="1785"/>
      <c r="V105" s="1785"/>
      <c r="W105" s="1785"/>
      <c r="X105" s="1785"/>
      <c r="Y105" s="1785"/>
      <c r="Z105" s="1785"/>
      <c r="AA105" s="1785"/>
      <c r="AB105" s="1785"/>
      <c r="AC105" s="1785"/>
      <c r="AD105" s="1785"/>
      <c r="AE105" s="1785"/>
      <c r="AF105" s="1785"/>
      <c r="AG105" s="1785"/>
      <c r="AH105" s="1785"/>
      <c r="AI105" s="1785"/>
      <c r="AJ105" s="1785"/>
      <c r="AK105" s="1785"/>
      <c r="AL105" s="1785"/>
      <c r="AM105" s="1785"/>
      <c r="AN105" s="1785"/>
      <c r="AO105" s="1785"/>
      <c r="AP105" s="1785"/>
      <c r="AQ105" s="1785"/>
      <c r="AR105" s="1785"/>
      <c r="AS105" s="1785"/>
      <c r="AT105" s="1785"/>
      <c r="AU105" s="20"/>
      <c r="AV105" s="20"/>
      <c r="AW105" s="20"/>
      <c r="AX105" s="20"/>
      <c r="AY105" s="20"/>
    </row>
    <row r="106" spans="1:57" ht="12.95" customHeight="1">
      <c r="A106" s="1785"/>
      <c r="B106" s="1785"/>
      <c r="C106" s="1785"/>
      <c r="D106" s="1785"/>
      <c r="E106" s="1785"/>
      <c r="F106" s="1785"/>
      <c r="G106" s="1785"/>
      <c r="H106" s="1785"/>
      <c r="I106" s="1785"/>
      <c r="J106" s="1785"/>
      <c r="K106" s="1785"/>
      <c r="L106" s="1785"/>
      <c r="M106" s="1785"/>
      <c r="N106" s="1785"/>
      <c r="O106" s="1785"/>
      <c r="P106" s="1785"/>
      <c r="Q106" s="1785"/>
      <c r="R106" s="1785"/>
      <c r="S106" s="1785"/>
      <c r="T106" s="1785"/>
      <c r="U106" s="1785"/>
      <c r="V106" s="1785"/>
      <c r="W106" s="1785"/>
      <c r="X106" s="1785"/>
      <c r="Y106" s="1785"/>
      <c r="Z106" s="1785"/>
      <c r="AA106" s="1785"/>
      <c r="AB106" s="1785"/>
      <c r="AC106" s="1785"/>
      <c r="AD106" s="1785"/>
      <c r="AE106" s="1785"/>
      <c r="AF106" s="1785"/>
      <c r="AG106" s="1785"/>
      <c r="AH106" s="1785"/>
      <c r="AI106" s="1785"/>
      <c r="AJ106" s="1785"/>
      <c r="AK106" s="1785"/>
      <c r="AL106" s="1785"/>
      <c r="AM106" s="1785"/>
      <c r="AN106" s="1785"/>
      <c r="AO106" s="1785"/>
      <c r="AP106" s="1785"/>
      <c r="AQ106" s="1785"/>
      <c r="AR106" s="1785"/>
      <c r="AS106" s="1785"/>
      <c r="AT106" s="1785"/>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86"/>
      <c r="H113" s="1786"/>
      <c r="I113" s="3" t="s">
        <v>182</v>
      </c>
      <c r="L113" s="1786"/>
      <c r="M113" s="1786"/>
      <c r="N113" s="1786"/>
      <c r="O113" s="1786"/>
      <c r="P113" s="1792" t="s">
        <v>2241</v>
      </c>
      <c r="Q113" s="1792"/>
      <c r="R113" s="1792"/>
      <c r="S113" s="179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98"/>
      <c r="D115" s="1798"/>
      <c r="E115" s="1798"/>
      <c r="F115" s="1798"/>
      <c r="G115" s="1798"/>
      <c r="H115" s="1798"/>
      <c r="I115" s="1798"/>
      <c r="J115" s="1798"/>
      <c r="K115" s="1798"/>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86"/>
      <c r="Z117" s="1786"/>
      <c r="AA117" s="1786"/>
      <c r="AB117" s="1786"/>
      <c r="AC117" s="1786"/>
      <c r="AD117" s="1786"/>
      <c r="AE117" s="1786"/>
      <c r="AF117" s="1786"/>
      <c r="AG117" s="1786"/>
      <c r="AH117" s="1786"/>
      <c r="AI117" s="1786"/>
      <c r="AJ117" s="1786"/>
      <c r="AK117" s="1786"/>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86"/>
      <c r="Z120" s="1786"/>
      <c r="AA120" s="1786"/>
      <c r="AB120" s="1786"/>
      <c r="AC120" s="1786"/>
      <c r="AD120" s="1786"/>
      <c r="AE120" s="1786"/>
      <c r="AF120" s="1786"/>
      <c r="AG120" s="1786"/>
      <c r="AH120" s="1786"/>
      <c r="AI120" s="1786"/>
      <c r="AJ120" s="1786"/>
      <c r="AK120" s="1786"/>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67" t="s">
        <v>469</v>
      </c>
      <c r="CV122" s="1668"/>
      <c r="CW122" s="14"/>
      <c r="CX122" s="14" t="s">
        <v>634</v>
      </c>
      <c r="CY122" s="14"/>
      <c r="CZ122" s="14"/>
      <c r="DA122" s="14"/>
      <c r="DB122" s="14"/>
      <c r="DC122" s="14"/>
      <c r="DD122" s="14"/>
      <c r="DE122" s="14"/>
      <c r="DF122" s="14"/>
      <c r="DG122" s="1664" t="str">
        <f>T189</f>
        <v>Santa Clara</v>
      </c>
      <c r="DH122" s="1665"/>
      <c r="DI122" s="1665"/>
      <c r="DJ122" s="1665"/>
      <c r="DK122" s="1665"/>
      <c r="DL122" s="1665"/>
      <c r="DM122" s="1666"/>
    </row>
    <row r="123" spans="1:117" ht="12.95" customHeight="1">
      <c r="A123" s="3"/>
      <c r="B123" s="3"/>
      <c r="T123" s="3"/>
      <c r="U123" s="3"/>
      <c r="V123" s="3"/>
      <c r="W123" s="3"/>
      <c r="X123" s="3"/>
      <c r="Y123" s="1786"/>
      <c r="Z123" s="1786"/>
      <c r="AA123" s="1786"/>
      <c r="AB123" s="1786"/>
      <c r="AC123" s="1786"/>
      <c r="AD123" s="1786"/>
      <c r="AE123" s="1786"/>
      <c r="AF123" s="1786"/>
      <c r="AG123" s="1786"/>
      <c r="AH123" s="1786"/>
      <c r="AI123" s="1786"/>
      <c r="AJ123" s="1786"/>
      <c r="AK123" s="1786"/>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59"/>
      <c r="G150" s="1359"/>
      <c r="H150" s="1359"/>
      <c r="I150" s="1359"/>
      <c r="J150" s="1359"/>
      <c r="K150" s="1359"/>
      <c r="L150" s="1359"/>
      <c r="M150" s="1359"/>
      <c r="N150" s="1359"/>
      <c r="O150" s="1359"/>
      <c r="P150" s="1359"/>
      <c r="Q150" s="1359"/>
      <c r="R150" s="1359"/>
      <c r="S150" s="1359"/>
      <c r="T150" s="135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409" t="s">
        <v>2614</v>
      </c>
      <c r="P153" s="1410"/>
      <c r="Q153" s="1410"/>
      <c r="R153" s="1410"/>
      <c r="S153" s="1410"/>
      <c r="T153" s="1410"/>
      <c r="U153" s="1410"/>
      <c r="V153" s="1410"/>
      <c r="W153" s="1410"/>
      <c r="X153" s="1410"/>
      <c r="Y153" s="1410"/>
      <c r="Z153" s="1410"/>
      <c r="AA153" s="1410"/>
      <c r="AB153" s="1410"/>
      <c r="AC153" s="1410"/>
      <c r="AD153" s="1410"/>
      <c r="AE153" s="1410"/>
      <c r="AF153" s="1410"/>
      <c r="AG153" s="1410"/>
      <c r="AH153" s="1410"/>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440</v>
      </c>
      <c r="O154" s="1472" t="s">
        <v>2615</v>
      </c>
      <c r="P154" s="1433"/>
      <c r="Q154" s="1433"/>
      <c r="R154" s="1433"/>
      <c r="S154" s="1433"/>
      <c r="T154" s="1433"/>
      <c r="U154" s="1433"/>
      <c r="V154" s="1433"/>
      <c r="W154" s="1433"/>
      <c r="X154" s="1433"/>
      <c r="Y154" s="1433"/>
      <c r="Z154" s="1433"/>
      <c r="AA154" s="1433"/>
      <c r="AB154" s="1433"/>
      <c r="AC154" s="1433"/>
      <c r="AD154" s="1433"/>
      <c r="AE154" s="1433"/>
      <c r="AF154" s="1433"/>
      <c r="AG154" s="1433"/>
      <c r="AH154" s="1433"/>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07" t="s">
        <v>2616</v>
      </c>
      <c r="P155" s="1808"/>
      <c r="Q155" s="1808"/>
      <c r="R155" s="1808"/>
      <c r="S155" s="1808"/>
      <c r="T155" s="1808"/>
      <c r="U155" s="1808"/>
      <c r="V155" s="1808"/>
      <c r="W155" s="1808"/>
      <c r="X155" s="1808"/>
      <c r="Y155" s="1808"/>
      <c r="Z155" s="1808"/>
      <c r="AA155" s="1808"/>
      <c r="AB155" s="1808"/>
      <c r="AC155" s="1808"/>
      <c r="AD155" s="1808"/>
      <c r="AE155" s="1808"/>
      <c r="AF155" s="1808"/>
      <c r="AG155" s="1808"/>
      <c r="AH155" s="1808"/>
      <c r="BM155">
        <v>7</v>
      </c>
      <c r="BN155" s="3" t="s">
        <v>591</v>
      </c>
      <c r="CR155" s="31"/>
      <c r="CS155" s="32"/>
      <c r="CT155" s="32"/>
      <c r="CU155" s="32"/>
      <c r="CV155" s="32"/>
      <c r="CW155" s="32"/>
      <c r="CX155" s="14"/>
      <c r="CY155" s="31"/>
      <c r="CZ155" s="14"/>
      <c r="DA155" s="14"/>
      <c r="DB155" s="14"/>
      <c r="DC155" s="14"/>
      <c r="DD155" s="14"/>
    </row>
    <row r="156" spans="1:108" ht="12.95" customHeight="1">
      <c r="D156" t="s">
        <v>313</v>
      </c>
      <c r="O156" s="1364" t="s">
        <v>2620</v>
      </c>
      <c r="P156" s="1364"/>
      <c r="Q156" s="1364"/>
      <c r="R156" s="1364"/>
      <c r="S156" s="1364"/>
      <c r="T156" s="1364"/>
      <c r="U156" s="1364"/>
      <c r="V156" s="1364"/>
      <c r="W156" s="1364"/>
      <c r="X156" s="1364"/>
      <c r="Y156" s="1364"/>
      <c r="Z156" s="1364"/>
      <c r="AA156" s="1364"/>
      <c r="AB156" s="1364"/>
      <c r="AC156" s="1364"/>
      <c r="AD156" s="1364"/>
      <c r="AE156" s="1364"/>
      <c r="AF156" s="1364"/>
      <c r="AG156" s="1364"/>
      <c r="AH156" s="1364"/>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09" t="s">
        <v>2621</v>
      </c>
      <c r="P157" s="1410"/>
      <c r="Q157" s="1410"/>
      <c r="R157" s="1410"/>
      <c r="S157" s="1410"/>
      <c r="T157" s="1410"/>
      <c r="U157" s="1410"/>
      <c r="V157" s="1410"/>
      <c r="W157" s="1410"/>
      <c r="X157" s="1410"/>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89">
        <v>95113</v>
      </c>
      <c r="P158" s="1789"/>
      <c r="Q158" s="1789"/>
      <c r="R158" s="1789"/>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0" t="s">
        <v>2617</v>
      </c>
      <c r="P159" s="1780"/>
      <c r="Q159" s="1780"/>
      <c r="R159" s="1780"/>
      <c r="S159" s="1780"/>
      <c r="T159" s="1780"/>
      <c r="V159" s="97" t="s">
        <v>271</v>
      </c>
      <c r="W159" s="1790"/>
      <c r="X159" s="1790"/>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5" customHeight="1">
      <c r="D160" t="s">
        <v>317</v>
      </c>
      <c r="O160" s="1780" t="s">
        <v>2618</v>
      </c>
      <c r="P160" s="1780"/>
      <c r="Q160" s="1780"/>
      <c r="R160" s="1780"/>
      <c r="S160" s="1780"/>
      <c r="T160" s="1780"/>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318</v>
      </c>
      <c r="O161" s="1784" t="s">
        <v>2619</v>
      </c>
      <c r="P161" s="1784"/>
      <c r="Q161" s="1784"/>
      <c r="R161" s="1784"/>
      <c r="S161" s="1784"/>
      <c r="T161" s="1784"/>
      <c r="U161" s="1784"/>
      <c r="V161" s="1784"/>
      <c r="W161" s="1784"/>
      <c r="X161" s="1784"/>
      <c r="Y161" s="1784"/>
      <c r="Z161" s="1784"/>
      <c r="AA161" s="1784"/>
      <c r="AB161" s="1784"/>
      <c r="AC161" s="1784"/>
      <c r="AD161" s="1784"/>
      <c r="AE161" s="1784"/>
      <c r="AF161" s="1784"/>
      <c r="AG161" s="1784"/>
      <c r="AH161" s="1784"/>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799" t="s">
        <v>2217</v>
      </c>
      <c r="E164" s="1799"/>
      <c r="F164" s="1799"/>
      <c r="G164" s="1799"/>
      <c r="H164" s="1799"/>
      <c r="I164" s="1799"/>
      <c r="J164" s="1799"/>
      <c r="K164" s="1799"/>
      <c r="L164" s="1799"/>
      <c r="M164" s="1799"/>
      <c r="N164" s="1799"/>
      <c r="O164" s="1799"/>
      <c r="P164" s="1799"/>
      <c r="Q164" s="1799"/>
      <c r="R164" s="1799"/>
      <c r="S164" s="1799"/>
      <c r="T164" s="1799"/>
      <c r="U164" s="1799"/>
      <c r="V164" s="1799"/>
      <c r="W164" s="1799"/>
      <c r="X164" s="1799"/>
      <c r="Y164" s="1799"/>
      <c r="Z164" s="1799"/>
      <c r="AA164" s="1799"/>
      <c r="AB164" s="1799"/>
      <c r="AC164" s="1799"/>
      <c r="AD164" s="1799"/>
      <c r="AE164" s="1799"/>
      <c r="AF164" s="1799"/>
      <c r="AG164" s="1799"/>
      <c r="AH164" s="1799"/>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15" t="s">
        <v>539</v>
      </c>
      <c r="B169" s="1415"/>
      <c r="C169" s="1415"/>
      <c r="D169" s="1415"/>
      <c r="E169" s="1415"/>
      <c r="F169" s="1415"/>
      <c r="G169" s="1415"/>
      <c r="H169" s="1415"/>
      <c r="I169" s="1415"/>
      <c r="J169" s="1415"/>
      <c r="K169" s="1415"/>
      <c r="L169" s="1415"/>
      <c r="M169" s="1415"/>
      <c r="N169" s="1415"/>
      <c r="O169" s="1415"/>
      <c r="P169" s="1415"/>
      <c r="Q169" s="1415"/>
      <c r="R169" s="1415"/>
      <c r="S169" s="1415"/>
      <c r="T169" s="1415"/>
      <c r="U169" s="1415"/>
      <c r="V169" s="1415"/>
      <c r="W169" s="1415"/>
      <c r="X169" s="1415"/>
      <c r="Y169" s="1415"/>
      <c r="Z169" s="1415"/>
      <c r="AA169" s="1415"/>
      <c r="AB169" s="1415"/>
      <c r="AC169" s="1415"/>
      <c r="AD169" s="1415"/>
      <c r="AE169" s="1415"/>
      <c r="AF169" s="1415"/>
      <c r="AG169" s="1415"/>
      <c r="AH169" s="1415"/>
      <c r="AI169" s="1415"/>
      <c r="AJ169" s="1415"/>
      <c r="AK169" s="1415"/>
      <c r="AL169" s="1415"/>
      <c r="AM169" s="1415"/>
      <c r="AN169" s="1415"/>
      <c r="AO169" s="1415"/>
      <c r="AP169" s="1415"/>
      <c r="AQ169" s="1415"/>
      <c r="AR169" s="1415"/>
      <c r="AS169" s="1415"/>
      <c r="AT169" s="1415"/>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15"/>
      <c r="B170" s="1415"/>
      <c r="C170" s="1415"/>
      <c r="D170" s="1415"/>
      <c r="E170" s="1415"/>
      <c r="F170" s="1415"/>
      <c r="G170" s="1415"/>
      <c r="H170" s="1415"/>
      <c r="I170" s="1415"/>
      <c r="J170" s="1415"/>
      <c r="K170" s="1415"/>
      <c r="L170" s="1415"/>
      <c r="M170" s="1415"/>
      <c r="N170" s="1415"/>
      <c r="O170" s="1415"/>
      <c r="P170" s="1415"/>
      <c r="Q170" s="1415"/>
      <c r="R170" s="1415"/>
      <c r="S170" s="1415"/>
      <c r="T170" s="1415"/>
      <c r="U170" s="1415"/>
      <c r="V170" s="1415"/>
      <c r="W170" s="1415"/>
      <c r="X170" s="1415"/>
      <c r="Y170" s="1415"/>
      <c r="Z170" s="1415"/>
      <c r="AA170" s="1415"/>
      <c r="AB170" s="1415"/>
      <c r="AC170" s="1415"/>
      <c r="AD170" s="1415"/>
      <c r="AE170" s="1415"/>
      <c r="AF170" s="1415"/>
      <c r="AG170" s="1415"/>
      <c r="AH170" s="1415"/>
      <c r="AI170" s="1415"/>
      <c r="AJ170" s="1415"/>
      <c r="AK170" s="1415"/>
      <c r="AL170" s="1415"/>
      <c r="AM170" s="1415"/>
      <c r="AN170" s="1415"/>
      <c r="AO170" s="1415"/>
      <c r="AP170" s="1415"/>
      <c r="AQ170" s="1415"/>
      <c r="AR170" s="1415"/>
      <c r="AS170" s="1415"/>
      <c r="AT170" s="1415"/>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321</v>
      </c>
      <c r="J173" s="1806" t="s">
        <v>371</v>
      </c>
      <c r="K173" s="1806"/>
      <c r="L173" s="1806"/>
      <c r="M173" s="1806"/>
      <c r="N173" s="1806"/>
      <c r="O173" s="1806"/>
      <c r="P173" s="1806"/>
      <c r="Q173" s="1806"/>
      <c r="R173" s="1806"/>
      <c r="S173" s="1806"/>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364" t="s">
        <v>2102</v>
      </c>
      <c r="K174" s="1364"/>
      <c r="L174" s="1364"/>
      <c r="M174" s="1364"/>
      <c r="N174" s="1364"/>
      <c r="O174" s="1364"/>
      <c r="P174" s="1364"/>
      <c r="Q174" s="1364"/>
      <c r="R174" s="1364"/>
      <c r="S174" s="1364"/>
      <c r="T174" s="1364"/>
      <c r="U174" s="1364"/>
      <c r="V174" s="1364"/>
      <c r="W174" s="1364"/>
      <c r="X174" s="1364"/>
      <c r="Y174" s="1364"/>
      <c r="Z174" s="1364"/>
      <c r="AA174" s="1364"/>
      <c r="AB174" s="1364"/>
      <c r="BB174" t="s">
        <v>1970</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56" t="s">
        <v>669</v>
      </c>
      <c r="V175" s="1356"/>
      <c r="BB175" t="s">
        <v>1938</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2080</v>
      </c>
      <c r="T176" s="27" t="s">
        <v>305</v>
      </c>
      <c r="U176" s="1419" t="s">
        <v>591</v>
      </c>
      <c r="V176" s="1419"/>
      <c r="W176" s="1" t="s">
        <v>306</v>
      </c>
      <c r="X176" s="1783" t="s">
        <v>591</v>
      </c>
      <c r="Y176" s="1783"/>
      <c r="BB176" t="s">
        <v>1971</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56" t="s">
        <v>669</v>
      </c>
      <c r="S177" s="1356"/>
      <c r="BB177" t="s">
        <v>2214</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1203</v>
      </c>
      <c r="AA178" t="s">
        <v>2080</v>
      </c>
      <c r="AE178" s="27" t="s">
        <v>305</v>
      </c>
      <c r="AF178" s="1782" t="s">
        <v>591</v>
      </c>
      <c r="AG178" s="1782"/>
      <c r="AH178" s="1" t="s">
        <v>306</v>
      </c>
      <c r="AI178" s="1803" t="s">
        <v>591</v>
      </c>
      <c r="AJ178" s="1803"/>
      <c r="AK178" s="1803"/>
      <c r="BB178" t="s">
        <v>2215</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2081</v>
      </c>
      <c r="X180" s="1356" t="s">
        <v>669</v>
      </c>
      <c r="Y180" s="1356"/>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578</v>
      </c>
      <c r="I184" s="1421" t="str">
        <f>H18</f>
        <v>Berryessa TOD</v>
      </c>
      <c r="J184" s="1421"/>
      <c r="K184" s="1421"/>
      <c r="L184" s="1421"/>
      <c r="M184" s="1421"/>
      <c r="N184" s="1421"/>
      <c r="O184" s="1421"/>
      <c r="P184" s="1421"/>
      <c r="Q184" s="1421"/>
      <c r="R184" s="1421"/>
      <c r="S184" s="1421"/>
      <c r="T184" s="1421"/>
      <c r="U184" s="1421"/>
      <c r="V184" s="1421"/>
      <c r="W184" s="1421"/>
      <c r="X184" s="1421"/>
      <c r="Y184" s="1421"/>
      <c r="Z184" s="1421"/>
      <c r="AA184" s="1421"/>
      <c r="AB184" s="1421"/>
      <c r="AC184" s="1421"/>
      <c r="AD184" s="1421"/>
      <c r="AE184" s="1421"/>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579</v>
      </c>
      <c r="I185" s="1444" t="s">
        <v>2622</v>
      </c>
      <c r="J185" s="1444"/>
      <c r="K185" s="1444"/>
      <c r="L185" s="1444"/>
      <c r="M185" s="1444"/>
      <c r="N185" s="1444"/>
      <c r="O185" s="1444"/>
      <c r="P185" s="1444"/>
      <c r="Q185" s="1444"/>
      <c r="R185" s="1444"/>
      <c r="S185" s="1444"/>
      <c r="T185" s="1444"/>
      <c r="U185" s="1444"/>
      <c r="V185" s="1444"/>
      <c r="W185" s="1444"/>
      <c r="X185" s="1444"/>
      <c r="Y185" s="1444"/>
      <c r="Z185" s="1444"/>
      <c r="AA185" s="1444"/>
      <c r="AB185" s="1444"/>
      <c r="AC185" s="1444"/>
      <c r="AD185" s="1444"/>
      <c r="AE185" s="1444"/>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1" t="s">
        <v>2623</v>
      </c>
      <c r="F187" s="1801"/>
      <c r="G187" s="1801"/>
      <c r="H187" s="1801"/>
      <c r="I187" s="1801"/>
      <c r="J187" s="1801"/>
      <c r="K187" s="1801"/>
      <c r="L187" s="1801"/>
      <c r="M187" s="1801"/>
      <c r="N187" s="1801"/>
      <c r="O187" s="1801"/>
      <c r="P187" s="1801"/>
      <c r="Q187" s="1801"/>
      <c r="R187" s="1801"/>
      <c r="S187" s="1801"/>
      <c r="T187" s="1801"/>
      <c r="U187" s="1801"/>
      <c r="V187" s="1801"/>
      <c r="W187" s="1801"/>
      <c r="X187" s="1801"/>
      <c r="Y187" s="1801"/>
      <c r="Z187" s="1801"/>
      <c r="AA187" s="1801"/>
      <c r="AB187" s="1801"/>
      <c r="AC187" s="1801"/>
      <c r="AD187" s="1801"/>
      <c r="AE187" s="1801"/>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802"/>
      <c r="F188" s="1802"/>
      <c r="G188" s="1802"/>
      <c r="H188" s="1802"/>
      <c r="I188" s="1802"/>
      <c r="J188" s="1802"/>
      <c r="K188" s="1802"/>
      <c r="L188" s="1802"/>
      <c r="M188" s="1802"/>
      <c r="N188" s="1802"/>
      <c r="O188" s="1802"/>
      <c r="P188" s="1802"/>
      <c r="Q188" s="1802"/>
      <c r="R188" s="1802"/>
      <c r="S188" s="1802"/>
      <c r="T188" s="1802"/>
      <c r="U188" s="1802"/>
      <c r="V188" s="1802"/>
      <c r="W188" s="1802"/>
      <c r="X188" s="1802"/>
      <c r="Y188" s="1802"/>
      <c r="Z188" s="1802"/>
      <c r="AA188" s="1802"/>
      <c r="AB188" s="1802"/>
      <c r="AC188" s="1802"/>
      <c r="AD188" s="1802"/>
      <c r="AE188" s="1802"/>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580</v>
      </c>
      <c r="I189" s="1409" t="s">
        <v>2621</v>
      </c>
      <c r="J189" s="1364"/>
      <c r="K189" s="1364"/>
      <c r="L189" s="1364"/>
      <c r="M189" s="1364"/>
      <c r="N189" s="1364"/>
      <c r="O189" s="1364"/>
      <c r="P189" s="1364"/>
      <c r="Q189" t="s">
        <v>582</v>
      </c>
      <c r="T189" s="1364" t="s">
        <v>192</v>
      </c>
      <c r="U189" s="1364"/>
      <c r="V189" s="1364"/>
      <c r="W189" s="1364"/>
      <c r="X189" s="1364"/>
      <c r="Y189" s="1364"/>
      <c r="Z189" s="1364"/>
      <c r="AA189" s="1364"/>
      <c r="AB189" s="1364"/>
      <c r="AC189" s="1364"/>
      <c r="AD189" s="1364"/>
      <c r="AE189" s="1364"/>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583</v>
      </c>
      <c r="I190" s="1444">
        <v>95133</v>
      </c>
      <c r="J190" s="1444"/>
      <c r="K190" s="1444"/>
      <c r="L190" s="1444"/>
      <c r="M190" s="1444"/>
      <c r="N190" s="1444"/>
      <c r="O190" t="s">
        <v>585</v>
      </c>
      <c r="T190" s="1787">
        <v>5043.1899999999996</v>
      </c>
      <c r="U190" s="1787"/>
      <c r="V190" s="1787"/>
      <c r="W190" s="1787"/>
      <c r="X190" s="1787"/>
      <c r="Y190" s="1787"/>
      <c r="Z190" s="1787"/>
      <c r="AA190" s="1787"/>
      <c r="AB190" s="1787"/>
      <c r="AC190" s="1787"/>
      <c r="AD190" s="1787"/>
      <c r="AE190" s="1787"/>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462</v>
      </c>
      <c r="N191" s="1801" t="s">
        <v>2624</v>
      </c>
      <c r="O191" s="1801"/>
      <c r="P191" s="1801"/>
      <c r="Q191" s="1801"/>
      <c r="R191" s="1801"/>
      <c r="S191" s="1801"/>
      <c r="T191" s="1801"/>
      <c r="U191" s="1801"/>
      <c r="V191" s="1801"/>
      <c r="W191" s="1801"/>
      <c r="X191" s="1801"/>
      <c r="Y191" s="1801"/>
      <c r="Z191" s="1801"/>
      <c r="AA191" s="1801"/>
      <c r="AB191" s="1801"/>
      <c r="AC191" s="1801"/>
      <c r="AD191" s="1801"/>
      <c r="AE191" s="1801"/>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802"/>
      <c r="O192" s="1802"/>
      <c r="P192" s="1802"/>
      <c r="Q192" s="1802"/>
      <c r="R192" s="1802"/>
      <c r="S192" s="1802"/>
      <c r="T192" s="1802"/>
      <c r="U192" s="1802"/>
      <c r="V192" s="1802"/>
      <c r="W192" s="1802"/>
      <c r="X192" s="1802"/>
      <c r="Y192" s="1802"/>
      <c r="Z192" s="1802"/>
      <c r="AA192" s="1802"/>
      <c r="AB192" s="1802"/>
      <c r="AC192" s="1802"/>
      <c r="AD192" s="1802"/>
      <c r="AE192" s="1802"/>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791" t="s">
        <v>1971</v>
      </c>
      <c r="U193" s="1791"/>
      <c r="V193" s="1791"/>
      <c r="W193" s="1791"/>
      <c r="X193" s="1791"/>
      <c r="Y193" s="1791"/>
      <c r="Z193" s="1791"/>
      <c r="AA193" s="1791"/>
      <c r="AB193" s="1791"/>
      <c r="AC193" s="1791"/>
      <c r="AD193" s="1791"/>
      <c r="AE193" s="1791"/>
      <c r="AF193" s="1791"/>
      <c r="AG193" s="1791"/>
      <c r="AH193" s="1791"/>
      <c r="AI193" s="1791"/>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56" t="s">
        <v>669</v>
      </c>
      <c r="AI194" s="1356"/>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331</v>
      </c>
      <c r="T195" s="1356" t="s">
        <v>669</v>
      </c>
      <c r="U195" s="1356"/>
      <c r="W195" t="s">
        <v>684</v>
      </c>
      <c r="AH195" s="1356">
        <v>17</v>
      </c>
      <c r="AI195" s="1356"/>
      <c r="BC195" t="s">
        <v>1857</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386</v>
      </c>
      <c r="T196" s="1598" t="s">
        <v>669</v>
      </c>
      <c r="U196" s="1598"/>
      <c r="W196" t="s">
        <v>685</v>
      </c>
      <c r="AH196" s="1356">
        <v>24</v>
      </c>
      <c r="AI196" s="1356"/>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169</v>
      </c>
      <c r="T197" s="1598" t="s">
        <v>669</v>
      </c>
      <c r="U197" s="1598"/>
      <c r="W197" t="s">
        <v>686</v>
      </c>
      <c r="AH197" s="1356">
        <v>10</v>
      </c>
      <c r="AI197" s="1356"/>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598" t="s">
        <v>591</v>
      </c>
      <c r="U198" s="1598"/>
      <c r="V198"/>
      <c r="X198" s="1406" t="s">
        <v>2515</v>
      </c>
      <c r="Y198" s="1406"/>
      <c r="Z198" s="1406"/>
      <c r="AA198" s="1406"/>
      <c r="AB198" s="1406"/>
      <c r="AC198" s="1406"/>
      <c r="AD198" s="1406"/>
      <c r="AE198" s="1406"/>
      <c r="AF198" s="1406"/>
      <c r="AG198" s="1406"/>
      <c r="AH198" s="1406"/>
      <c r="AI198" s="1406"/>
      <c r="AJ198" s="1406"/>
      <c r="AK198" s="1406"/>
      <c r="AL198" s="1406"/>
      <c r="AM198" s="1406"/>
      <c r="AN198" s="1406"/>
      <c r="AO198" s="1406"/>
      <c r="AP198" s="1406"/>
      <c r="AQ198" s="1406"/>
      <c r="AR198" s="1406"/>
      <c r="AS198" s="1406"/>
      <c r="AT198" s="1406"/>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356" t="s">
        <v>669</v>
      </c>
      <c r="U199" s="1356"/>
      <c r="V199"/>
      <c r="W199"/>
      <c r="X199" s="1406"/>
      <c r="Y199" s="1406"/>
      <c r="Z199" s="1406"/>
      <c r="AA199" s="1406"/>
      <c r="AB199" s="1406"/>
      <c r="AC199" s="1406"/>
      <c r="AD199" s="1406"/>
      <c r="AE199" s="1406"/>
      <c r="AF199" s="1406"/>
      <c r="AG199" s="1406"/>
      <c r="AH199" s="1406"/>
      <c r="AI199" s="1406"/>
      <c r="AJ199" s="1406"/>
      <c r="AK199" s="1406"/>
      <c r="AL199" s="1406"/>
      <c r="AM199" s="1406"/>
      <c r="AN199" s="1406"/>
      <c r="AO199" s="1406"/>
      <c r="AP199" s="1406"/>
      <c r="AQ199" s="1406"/>
      <c r="AR199" s="1406"/>
      <c r="AS199" s="1406"/>
      <c r="AT199" s="1406"/>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356" t="s">
        <v>669</v>
      </c>
      <c r="U200" s="1356"/>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421" t="s">
        <v>385</v>
      </c>
      <c r="E204" s="1421"/>
      <c r="F204" s="1421"/>
      <c r="G204" s="1421"/>
      <c r="H204" s="1421"/>
      <c r="I204" s="1421"/>
      <c r="J204" s="1421"/>
      <c r="K204" s="1421"/>
      <c r="L204" s="1421"/>
      <c r="M204" s="1421"/>
      <c r="P204" s="1800">
        <f>M26</f>
        <v>5698379</v>
      </c>
      <c r="Q204" s="1781"/>
      <c r="R204" s="1781"/>
      <c r="S204" s="1781"/>
      <c r="T204" s="1781"/>
      <c r="U204" s="1781"/>
      <c r="BC204" t="s">
        <v>1063</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11" t="s">
        <v>1247</v>
      </c>
      <c r="E205" s="1421"/>
      <c r="F205" s="1421"/>
      <c r="G205" s="1421"/>
      <c r="H205" s="1421"/>
      <c r="I205" s="1421"/>
      <c r="J205" s="1421"/>
      <c r="K205" s="1421"/>
      <c r="L205" s="1421"/>
      <c r="M205" s="1421"/>
      <c r="P205" s="1781">
        <f>M27</f>
        <v>0</v>
      </c>
      <c r="Q205" s="1781"/>
      <c r="R205" s="1781"/>
      <c r="S205" s="1781"/>
      <c r="T205" s="1781"/>
      <c r="U205" s="1781"/>
      <c r="V205" s="28"/>
      <c r="W205" s="3" t="s">
        <v>1720</v>
      </c>
      <c r="Z205" s="1809" t="s">
        <v>1184</v>
      </c>
      <c r="AA205" s="1809"/>
      <c r="AB205" s="1809"/>
      <c r="AC205" s="1809"/>
      <c r="AD205" s="1809"/>
      <c r="AE205" s="1809"/>
      <c r="AF205" s="1809"/>
      <c r="AG205" s="1809"/>
      <c r="AH205" s="1809"/>
      <c r="AI205" s="1809"/>
      <c r="AJ205" s="1809"/>
      <c r="AK205" s="1809"/>
      <c r="AL205" s="1809"/>
      <c r="AM205" s="1809"/>
      <c r="AN205" s="1809"/>
      <c r="AP205" s="1359"/>
      <c r="AQ205" s="1359"/>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10" t="s">
        <v>2625</v>
      </c>
      <c r="E208" s="1410"/>
      <c r="F208" s="1410"/>
      <c r="G208" s="1410"/>
      <c r="H208" s="1410"/>
      <c r="I208" s="1410"/>
      <c r="J208" s="1410"/>
      <c r="K208" s="1410"/>
      <c r="L208" s="1410"/>
      <c r="M208" s="1410"/>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0" t="s">
        <v>1041</v>
      </c>
      <c r="E211" s="1410"/>
      <c r="F211" s="1410"/>
      <c r="G211" s="1410"/>
      <c r="H211" s="1410"/>
      <c r="I211" s="1410"/>
      <c r="J211" s="1410"/>
      <c r="K211" s="1410"/>
      <c r="L211" s="1410"/>
      <c r="M211" s="1410"/>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56">
        <v>49</v>
      </c>
      <c r="R212" s="1356"/>
      <c r="T212" s="1793">
        <f>IFERROR(Q212/AG440,0)</f>
        <v>0.25388601036269431</v>
      </c>
      <c r="U212" s="1794"/>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526</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797" t="s">
        <v>591</v>
      </c>
      <c r="E214" s="1797"/>
      <c r="F214" s="1797"/>
      <c r="G214" s="1797"/>
      <c r="H214" s="1797"/>
      <c r="I214" s="1797"/>
      <c r="J214" s="1797"/>
      <c r="K214" s="1797"/>
      <c r="L214" s="1797"/>
      <c r="M214" s="1797"/>
      <c r="N214" s="1797"/>
      <c r="O214" s="1797"/>
      <c r="P214" s="1797"/>
      <c r="Q214" s="1797"/>
      <c r="R214" s="1797"/>
      <c r="S214" s="1797"/>
      <c r="T214" s="1797"/>
      <c r="U214" s="1797"/>
      <c r="V214" s="1797"/>
      <c r="W214" s="1797"/>
      <c r="X214" s="1797"/>
      <c r="Y214" s="1797"/>
      <c r="Z214" s="1797"/>
      <c r="AU214" s="21"/>
      <c r="AV214" s="21"/>
      <c r="AW214" s="21"/>
      <c r="AX214" s="21"/>
      <c r="AY214" s="21"/>
      <c r="BC214" t="s">
        <v>530</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796"/>
      <c r="AC215" s="1796"/>
      <c r="AD215" s="1796"/>
      <c r="AE215" s="1796"/>
      <c r="AF215" s="1796"/>
      <c r="AG215" s="1796"/>
      <c r="AH215" s="1796"/>
      <c r="AI215" s="1796"/>
      <c r="AJ215" s="1796"/>
      <c r="AK215" s="1796"/>
      <c r="AL215" s="1796"/>
      <c r="AM215" s="21"/>
      <c r="AN215" s="21"/>
      <c r="AO215" s="21"/>
      <c r="AP215" s="21"/>
      <c r="AQ215" s="21"/>
      <c r="AR215" s="21"/>
      <c r="AS215" s="21"/>
      <c r="AT215" s="21"/>
      <c r="AU215" s="21"/>
      <c r="AV215" s="21"/>
      <c r="AW215" s="21"/>
      <c r="AX215" s="21"/>
      <c r="AY215" s="21"/>
      <c r="BC215" t="s">
        <v>527</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796"/>
      <c r="AC216" s="1796"/>
      <c r="AD216" s="1796"/>
      <c r="AE216" s="1796"/>
      <c r="AF216" s="1796"/>
      <c r="AG216" s="1796"/>
      <c r="AH216" s="1796"/>
      <c r="AI216" s="1796"/>
      <c r="AJ216" s="1796"/>
      <c r="AK216" s="1796"/>
      <c r="AL216" s="1796"/>
      <c r="AM216" s="21"/>
      <c r="AN216" s="21"/>
      <c r="AO216" s="21"/>
      <c r="AP216" s="21"/>
      <c r="AQ216" s="21"/>
      <c r="AR216" s="21"/>
      <c r="AS216" s="21"/>
      <c r="AT216" s="21"/>
      <c r="AU216" s="21"/>
      <c r="AV216" s="21"/>
      <c r="AW216" s="21"/>
      <c r="AX216" s="21"/>
      <c r="AY216" s="21"/>
      <c r="BC216" t="s">
        <v>566</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377</v>
      </c>
    </row>
    <row r="220" spans="1:108" ht="12.95" customHeight="1">
      <c r="A220" s="2"/>
      <c r="C220" s="2"/>
      <c r="D220" s="1410" t="s">
        <v>1026</v>
      </c>
      <c r="E220" s="1410"/>
      <c r="F220" s="1410"/>
      <c r="G220" s="1410"/>
      <c r="H220" s="1410"/>
      <c r="I220" s="1410"/>
      <c r="J220" s="1410"/>
      <c r="K220" s="1410"/>
      <c r="L220" s="1410"/>
      <c r="M220" s="1410"/>
      <c r="N220" s="1410"/>
      <c r="O220" s="1410"/>
      <c r="P220" s="1410"/>
      <c r="Q220" s="1410"/>
      <c r="R220" s="1410"/>
      <c r="S220" s="1410"/>
      <c r="T220" s="1410"/>
      <c r="U220" s="1410"/>
      <c r="V220" s="1410"/>
      <c r="W220" s="1410"/>
      <c r="X220" s="1410"/>
      <c r="Y220" s="1410"/>
      <c r="Z220" s="1410"/>
      <c r="AC220" s="1810" t="s">
        <v>2467</v>
      </c>
      <c r="AD220" s="1810"/>
      <c r="AE220" s="1810"/>
      <c r="AF220" s="1810"/>
      <c r="AG220" s="1810"/>
      <c r="AH220" s="1810"/>
      <c r="AI220" s="1810"/>
      <c r="AJ220" s="1810"/>
      <c r="AK220" s="1810"/>
      <c r="AL220" s="1810"/>
      <c r="AM220" s="1810"/>
      <c r="AN220" s="1810"/>
      <c r="AO220" s="1810"/>
      <c r="AP220" s="1810"/>
      <c r="AQ220" s="1810"/>
      <c r="BA220" s="3"/>
      <c r="BC220" t="s">
        <v>300</v>
      </c>
    </row>
    <row r="221" spans="1:108" ht="12.95" customHeight="1">
      <c r="A221" s="2"/>
      <c r="B221" s="14"/>
      <c r="C221" s="2"/>
      <c r="BA221" s="3"/>
    </row>
    <row r="222" spans="1:108" ht="12.95" customHeight="1">
      <c r="A222" s="1415" t="s">
        <v>540</v>
      </c>
      <c r="B222" s="1415"/>
      <c r="C222" s="1415"/>
      <c r="D222" s="1415"/>
      <c r="E222" s="1415"/>
      <c r="F222" s="1415"/>
      <c r="G222" s="1415"/>
      <c r="H222" s="1415"/>
      <c r="I222" s="1415"/>
      <c r="J222" s="1415"/>
      <c r="K222" s="1415"/>
      <c r="L222" s="1415"/>
      <c r="M222" s="1415"/>
      <c r="N222" s="1415"/>
      <c r="O222" s="1415"/>
      <c r="P222" s="1415"/>
      <c r="Q222" s="1415"/>
      <c r="R222" s="1415"/>
      <c r="S222" s="1415"/>
      <c r="T222" s="1415"/>
      <c r="U222" s="1415"/>
      <c r="V222" s="1415"/>
      <c r="W222" s="1415"/>
      <c r="X222" s="1415"/>
      <c r="Y222" s="1415"/>
      <c r="Z222" s="1415"/>
      <c r="AA222" s="1415"/>
      <c r="AB222" s="1415"/>
      <c r="AC222" s="1415"/>
      <c r="AD222" s="1415"/>
      <c r="AE222" s="1415"/>
      <c r="AF222" s="1415"/>
      <c r="AG222" s="1415"/>
      <c r="AH222" s="1415"/>
      <c r="AI222" s="1415"/>
      <c r="AJ222" s="1415"/>
      <c r="AK222" s="1415"/>
      <c r="AL222" s="1415"/>
      <c r="AM222" s="1415"/>
      <c r="AN222" s="1415"/>
      <c r="AO222" s="1415"/>
      <c r="AP222" s="1415"/>
      <c r="AQ222" s="1415"/>
      <c r="AR222" s="1415"/>
      <c r="AS222" s="1415"/>
      <c r="AT222" s="1415"/>
      <c r="AU222" s="95"/>
      <c r="AV222" s="95"/>
      <c r="AW222" s="95"/>
      <c r="AX222" s="95"/>
      <c r="AY222" s="95"/>
      <c r="AZ222" s="3"/>
      <c r="BA222" s="3"/>
      <c r="BP222" s="34"/>
    </row>
    <row r="223" spans="1:108" ht="12.95" customHeight="1">
      <c r="A223" s="1415"/>
      <c r="B223" s="1415"/>
      <c r="C223" s="1415"/>
      <c r="D223" s="1415"/>
      <c r="E223" s="1415"/>
      <c r="F223" s="1415"/>
      <c r="G223" s="1415"/>
      <c r="H223" s="1415"/>
      <c r="I223" s="1415"/>
      <c r="J223" s="1415"/>
      <c r="K223" s="1415"/>
      <c r="L223" s="1415"/>
      <c r="M223" s="1415"/>
      <c r="N223" s="1415"/>
      <c r="O223" s="1415"/>
      <c r="P223" s="1415"/>
      <c r="Q223" s="1415"/>
      <c r="R223" s="1415"/>
      <c r="S223" s="1415"/>
      <c r="T223" s="1415"/>
      <c r="U223" s="1415"/>
      <c r="V223" s="1415"/>
      <c r="W223" s="1415"/>
      <c r="X223" s="1415"/>
      <c r="Y223" s="1415"/>
      <c r="Z223" s="1415"/>
      <c r="AA223" s="1415"/>
      <c r="AB223" s="1415"/>
      <c r="AC223" s="1415"/>
      <c r="AD223" s="1415"/>
      <c r="AE223" s="1415"/>
      <c r="AF223" s="1415"/>
      <c r="AG223" s="1415"/>
      <c r="AH223" s="1415"/>
      <c r="AI223" s="1415"/>
      <c r="AJ223" s="1415"/>
      <c r="AK223" s="1415"/>
      <c r="AL223" s="1415"/>
      <c r="AM223" s="1415"/>
      <c r="AN223" s="1415"/>
      <c r="AO223" s="1415"/>
      <c r="AP223" s="1415"/>
      <c r="AQ223" s="1415"/>
      <c r="AR223" s="1415"/>
      <c r="AS223" s="1415"/>
      <c r="AT223" s="1415"/>
      <c r="BA223" s="3"/>
      <c r="BB223" s="3"/>
      <c r="BQ223" s="34"/>
    </row>
    <row r="224" spans="1:108" ht="12.95" customHeight="1">
      <c r="AZ224" s="4"/>
      <c r="BA224" s="3"/>
      <c r="BB224" s="3"/>
      <c r="BQ224" s="34"/>
    </row>
    <row r="225" spans="1:59" ht="12.9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56" t="s">
        <v>591</v>
      </c>
      <c r="AJ226" s="1356"/>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56" t="s">
        <v>545</v>
      </c>
      <c r="AJ227" s="1356"/>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56" t="s">
        <v>591</v>
      </c>
      <c r="AJ228" s="1356"/>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56" t="s">
        <v>591</v>
      </c>
      <c r="AJ229" s="1356"/>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88" t="str">
        <f>H16</f>
        <v>Berryessa Affordable Housing, LP</v>
      </c>
      <c r="N232" s="1788"/>
      <c r="O232" s="1788"/>
      <c r="P232" s="1788"/>
      <c r="Q232" s="1788"/>
      <c r="R232" s="1788"/>
      <c r="S232" s="1788"/>
      <c r="T232" s="1788"/>
      <c r="U232" s="1788"/>
      <c r="V232" s="1788"/>
      <c r="W232" s="1788"/>
      <c r="X232" s="1788"/>
      <c r="Y232" s="1788"/>
      <c r="Z232" s="1788"/>
      <c r="AA232" s="1788"/>
      <c r="AB232" s="1788"/>
      <c r="AC232" s="1788"/>
      <c r="AD232" s="1788"/>
      <c r="AE232" s="1788"/>
      <c r="AF232" s="1788"/>
      <c r="AG232" s="1788"/>
      <c r="AH232" s="1788"/>
      <c r="AI232" s="1788"/>
      <c r="AJ232" s="1788"/>
      <c r="AK232" s="1788"/>
      <c r="AZ232" s="4"/>
      <c r="BA232" s="3"/>
      <c r="BB232" s="205" t="s">
        <v>538</v>
      </c>
      <c r="BG232" s="241">
        <f>IF(AND(AND($M$249="nonprofit",$M$257="nonprofit",$M$265="for profit")),2,0)</f>
        <v>0</v>
      </c>
    </row>
    <row r="233" spans="1:59" ht="12.95" customHeight="1">
      <c r="D233" s="4" t="s">
        <v>85</v>
      </c>
      <c r="E233" s="4"/>
      <c r="F233" s="4"/>
      <c r="G233" s="4"/>
      <c r="H233" s="4"/>
      <c r="I233" s="4"/>
      <c r="J233" s="4"/>
      <c r="K233" s="4"/>
      <c r="M233" s="1409" t="s">
        <v>2626</v>
      </c>
      <c r="N233" s="1409"/>
      <c r="O233" s="1409"/>
      <c r="P233" s="1409"/>
      <c r="Q233" s="1409"/>
      <c r="R233" s="1409"/>
      <c r="S233" s="1409"/>
      <c r="T233" s="1409"/>
      <c r="U233" s="1409"/>
      <c r="V233" s="1409"/>
      <c r="W233" s="1409"/>
      <c r="X233" s="1409"/>
      <c r="Y233" s="1409"/>
      <c r="Z233" s="1409"/>
      <c r="AA233" s="1409"/>
      <c r="AB233" s="1409"/>
      <c r="AC233" s="1409"/>
      <c r="AD233" s="1409"/>
      <c r="AE233" s="1409"/>
      <c r="BB233" s="205" t="s">
        <v>538</v>
      </c>
      <c r="BG233" s="241">
        <f>IF(AND(AND($M$249="nonprofit",$M$257="for profit",$M$265="nonprofit")),2,0)</f>
        <v>0</v>
      </c>
    </row>
    <row r="234" spans="1:59" ht="12.95" customHeight="1">
      <c r="D234" s="4" t="s">
        <v>580</v>
      </c>
      <c r="E234" s="4"/>
      <c r="M234" s="1409" t="s">
        <v>729</v>
      </c>
      <c r="N234" s="1410"/>
      <c r="O234" s="1410"/>
      <c r="P234" s="1410"/>
      <c r="Q234" s="1410"/>
      <c r="R234" s="1410"/>
      <c r="S234" s="1410"/>
      <c r="T234" s="1410"/>
      <c r="V234" s="33" t="s">
        <v>86</v>
      </c>
      <c r="W234" s="1472" t="s">
        <v>2627</v>
      </c>
      <c r="X234" s="1433"/>
      <c r="Y234" s="4" t="s">
        <v>583</v>
      </c>
      <c r="AC234" s="1410">
        <v>92128</v>
      </c>
      <c r="AD234" s="1410"/>
      <c r="AE234" s="1410"/>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09" t="s">
        <v>2629</v>
      </c>
      <c r="N235" s="1410"/>
      <c r="O235" s="1410"/>
      <c r="P235" s="1410"/>
      <c r="Q235" s="1410"/>
      <c r="R235" s="1410"/>
      <c r="S235" s="1410"/>
      <c r="T235" s="1410"/>
      <c r="U235" s="1410"/>
      <c r="V235" s="1410"/>
      <c r="W235" s="1410"/>
      <c r="X235" s="1410"/>
      <c r="Y235" s="1410"/>
      <c r="Z235" s="1410"/>
      <c r="AA235" s="1410"/>
      <c r="AB235" s="1410"/>
      <c r="AC235" s="1410"/>
      <c r="AD235" s="1410"/>
      <c r="AE235" s="1410"/>
      <c r="AI235" s="4"/>
      <c r="AJ235" s="4"/>
      <c r="AK235" s="4"/>
      <c r="AL235" s="4"/>
      <c r="AM235" s="4"/>
      <c r="AN235" s="4"/>
      <c r="AO235" s="4"/>
      <c r="AP235" s="4"/>
      <c r="AQ235" s="4"/>
      <c r="AR235" s="4"/>
      <c r="AS235" s="4"/>
      <c r="AT235" s="4"/>
      <c r="BB235" s="205"/>
      <c r="BG235" s="204"/>
    </row>
    <row r="236" spans="1:59" ht="12.95" customHeight="1">
      <c r="D236" s="4" t="s">
        <v>88</v>
      </c>
      <c r="E236" s="4"/>
      <c r="F236" s="4"/>
      <c r="M236" s="1442" t="s">
        <v>2628</v>
      </c>
      <c r="N236" s="1442"/>
      <c r="O236" s="1442"/>
      <c r="P236" s="1442"/>
      <c r="Q236" s="1442"/>
      <c r="R236" s="1442"/>
      <c r="S236" s="4" t="s">
        <v>206</v>
      </c>
      <c r="T236" s="4"/>
      <c r="U236" s="1472" t="s">
        <v>591</v>
      </c>
      <c r="V236" s="1433"/>
      <c r="W236" s="1433"/>
      <c r="X236" s="4" t="s">
        <v>89</v>
      </c>
      <c r="Z236" s="1442" t="s">
        <v>591</v>
      </c>
      <c r="AA236" s="1443"/>
      <c r="AB236" s="1443"/>
      <c r="AC236" s="1443"/>
      <c r="AD236" s="1443"/>
      <c r="AE236" s="1443"/>
      <c r="AU236" s="4"/>
      <c r="AV236" s="4"/>
      <c r="AW236" s="4"/>
      <c r="AX236" s="4"/>
      <c r="AY236" s="4"/>
      <c r="AZ236" s="4"/>
      <c r="BB236" s="204" t="s">
        <v>537</v>
      </c>
      <c r="BG236" s="241">
        <f>IF(AND(AND($M$249="nonprofit",$M$257="nonprofit",$M$265="(select one)")),1,0)</f>
        <v>0</v>
      </c>
    </row>
    <row r="237" spans="1:59" ht="12.95" customHeight="1">
      <c r="D237" s="4" t="s">
        <v>90</v>
      </c>
      <c r="E237" s="4"/>
      <c r="F237" s="4"/>
      <c r="M237" s="1812" t="s">
        <v>2630</v>
      </c>
      <c r="N237" s="1812"/>
      <c r="O237" s="1812"/>
      <c r="P237" s="1812"/>
      <c r="Q237" s="1812"/>
      <c r="R237" s="1812"/>
      <c r="S237" s="1812"/>
      <c r="T237" s="1812"/>
      <c r="U237" s="1812"/>
      <c r="V237" s="1812"/>
      <c r="W237" s="1812"/>
      <c r="X237" s="1812"/>
      <c r="Y237" s="1812"/>
      <c r="Z237" s="1812"/>
      <c r="AA237" s="1812"/>
      <c r="AB237" s="1812"/>
      <c r="AC237" s="1812"/>
      <c r="AD237" s="1812"/>
      <c r="AE237" s="1812"/>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444" t="s">
        <v>377</v>
      </c>
      <c r="N238" s="1444"/>
      <c r="O238" s="1444"/>
      <c r="P238" s="1444"/>
      <c r="Q238" s="1444"/>
      <c r="R238" s="1444"/>
      <c r="S238" s="1444"/>
      <c r="T238" s="1444"/>
      <c r="U238" s="204" t="s">
        <v>906</v>
      </c>
      <c r="V238" s="204"/>
      <c r="W238" s="204"/>
      <c r="X238" s="204"/>
      <c r="Y238" s="204"/>
      <c r="Z238" s="204"/>
      <c r="AA238" s="1773" t="s">
        <v>591</v>
      </c>
      <c r="AB238" s="1774"/>
      <c r="AC238" s="1774"/>
      <c r="AD238" s="1774"/>
      <c r="AE238" s="1774"/>
      <c r="AF238" s="1774"/>
      <c r="AG238" s="1774"/>
      <c r="AH238" s="1774"/>
      <c r="AI238" s="1774"/>
      <c r="AJ238" s="1774"/>
      <c r="AK238" s="1774"/>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364" t="s">
        <v>591</v>
      </c>
      <c r="N239" s="1364"/>
      <c r="O239" s="1364"/>
      <c r="P239" s="1364"/>
      <c r="Q239" s="1364"/>
      <c r="R239" s="1364"/>
      <c r="S239" s="1364"/>
      <c r="T239" s="1364"/>
      <c r="U239" s="1364"/>
      <c r="V239" s="1364"/>
      <c r="W239" s="1364"/>
      <c r="X239" s="1364"/>
      <c r="Y239" s="1364"/>
      <c r="Z239" s="1364"/>
      <c r="AA239" s="1364"/>
      <c r="AB239" s="1364"/>
      <c r="AC239" s="1364"/>
      <c r="AD239" s="1364"/>
      <c r="AE239" s="1364"/>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12" t="s">
        <v>2637</v>
      </c>
      <c r="N243" s="1413"/>
      <c r="O243" s="1413"/>
      <c r="P243" s="1413"/>
      <c r="Q243" s="1413"/>
      <c r="R243" s="1413"/>
      <c r="S243" s="1413"/>
      <c r="T243" s="1413"/>
      <c r="U243" s="1413"/>
      <c r="V243" s="1413"/>
      <c r="W243" s="1413"/>
      <c r="X243" s="1413"/>
      <c r="Y243" s="1413"/>
      <c r="Z243" s="1413"/>
      <c r="AA243" s="1413"/>
      <c r="AB243" s="1413"/>
      <c r="AC243" s="1413"/>
      <c r="AD243" s="1413"/>
      <c r="AE243" s="1413"/>
      <c r="AF243" s="1413" t="s">
        <v>2631</v>
      </c>
      <c r="AG243" s="1413"/>
      <c r="AH243" s="1413"/>
      <c r="AI243" s="1413"/>
      <c r="AJ243" s="1413"/>
      <c r="AK243" s="1413"/>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09" t="s">
        <v>2633</v>
      </c>
      <c r="N244" s="1410"/>
      <c r="O244" s="1410"/>
      <c r="P244" s="1410"/>
      <c r="Q244" s="1410"/>
      <c r="R244" s="1410"/>
      <c r="S244" s="1410"/>
      <c r="T244" s="1410"/>
      <c r="U244" s="1410"/>
      <c r="V244" s="1410"/>
      <c r="W244" s="1410"/>
      <c r="X244" s="1410"/>
      <c r="Y244" s="1410"/>
      <c r="Z244" s="1410"/>
      <c r="AA244" s="1410"/>
      <c r="AB244" s="1410"/>
      <c r="AC244" s="1410"/>
      <c r="AD244" s="1410"/>
      <c r="AE244" s="1410"/>
      <c r="AF244" s="3" t="s">
        <v>1179</v>
      </c>
      <c r="AL244" s="4"/>
      <c r="AM244" s="4"/>
      <c r="AN244" s="4"/>
      <c r="AO244" s="4"/>
      <c r="AP244" s="4"/>
      <c r="AQ244" s="4"/>
      <c r="AR244" s="4"/>
      <c r="AS244" s="4"/>
      <c r="AT244" s="4"/>
      <c r="BB244" t="s">
        <v>307</v>
      </c>
      <c r="BG244">
        <v>1</v>
      </c>
      <c r="BH244" t="s">
        <v>534</v>
      </c>
    </row>
    <row r="245" spans="1:67" ht="12.95" customHeight="1">
      <c r="A245" s="19"/>
      <c r="B245" s="4"/>
      <c r="C245" s="4"/>
      <c r="D245" s="4" t="s">
        <v>580</v>
      </c>
      <c r="E245" s="4"/>
      <c r="M245" s="1409" t="s">
        <v>729</v>
      </c>
      <c r="N245" s="1410"/>
      <c r="O245" s="1410"/>
      <c r="P245" s="1410"/>
      <c r="Q245" s="1410"/>
      <c r="R245" s="1410"/>
      <c r="S245" s="1410"/>
      <c r="T245" s="1410"/>
      <c r="V245" s="33" t="s">
        <v>86</v>
      </c>
      <c r="W245" s="1472" t="s">
        <v>2627</v>
      </c>
      <c r="X245" s="1433"/>
      <c r="Y245" s="4" t="s">
        <v>583</v>
      </c>
      <c r="AC245" s="1410">
        <v>92128</v>
      </c>
      <c r="AD245" s="1410"/>
      <c r="AE245" s="1410"/>
      <c r="AF245" s="3" t="s">
        <v>1180</v>
      </c>
      <c r="AU245" s="4"/>
      <c r="AV245" s="4"/>
      <c r="AW245" s="4"/>
      <c r="AX245" s="4"/>
      <c r="AY245" s="4"/>
      <c r="BB245" s="4" t="s">
        <v>280</v>
      </c>
      <c r="BG245">
        <v>2</v>
      </c>
      <c r="BH245" t="s">
        <v>566</v>
      </c>
      <c r="BO245" s="239" t="str">
        <f>VLOOKUP(BG243,BG244:BH247,2,FALSE)</f>
        <v>Joint Venture</v>
      </c>
    </row>
    <row r="246" spans="1:67" ht="12.95" customHeight="1">
      <c r="A246" s="19"/>
      <c r="B246" s="4"/>
      <c r="C246" s="4"/>
      <c r="D246" s="4" t="s">
        <v>87</v>
      </c>
      <c r="E246" s="4"/>
      <c r="F246" s="4"/>
      <c r="G246" s="4"/>
      <c r="H246" s="4"/>
      <c r="I246" s="4"/>
      <c r="J246" s="4"/>
      <c r="K246" s="4"/>
      <c r="L246" s="19"/>
      <c r="M246" s="1409" t="s">
        <v>2634</v>
      </c>
      <c r="N246" s="1410"/>
      <c r="O246" s="1410"/>
      <c r="P246" s="1410"/>
      <c r="Q246" s="1410"/>
      <c r="R246" s="1410"/>
      <c r="S246" s="1410"/>
      <c r="T246" s="1410"/>
      <c r="U246" s="1410"/>
      <c r="V246" s="1410"/>
      <c r="W246" s="1410"/>
      <c r="X246" s="1410"/>
      <c r="Y246" s="1410"/>
      <c r="Z246" s="1410"/>
      <c r="AA246" s="1410"/>
      <c r="AB246" s="1410"/>
      <c r="AC246" s="1410"/>
      <c r="AD246" s="1410"/>
      <c r="AE246" s="1410"/>
      <c r="AH246" s="1778">
        <v>0.99</v>
      </c>
      <c r="AI246" s="1778"/>
      <c r="AJ246" s="1778"/>
      <c r="AK246" s="1778"/>
      <c r="AL246" s="4"/>
      <c r="AM246" s="4"/>
      <c r="AN246" s="4"/>
      <c r="AO246" s="4"/>
      <c r="AP246" s="4"/>
      <c r="AQ246" s="4"/>
      <c r="AR246" s="4"/>
      <c r="AS246" s="4"/>
      <c r="AT246" s="4"/>
      <c r="BB246" s="4" t="s">
        <v>173</v>
      </c>
      <c r="BG246">
        <v>3</v>
      </c>
      <c r="BH246" t="s">
        <v>536</v>
      </c>
      <c r="BN246" s="34"/>
    </row>
    <row r="247" spans="1:67" ht="12.95" customHeight="1">
      <c r="A247" s="19"/>
      <c r="B247" s="4"/>
      <c r="C247" s="4"/>
      <c r="D247" s="4" t="s">
        <v>88</v>
      </c>
      <c r="E247" s="4"/>
      <c r="F247" s="4"/>
      <c r="M247" s="1442" t="s">
        <v>2635</v>
      </c>
      <c r="N247" s="1442"/>
      <c r="O247" s="1442"/>
      <c r="P247" s="1442"/>
      <c r="Q247" s="1442"/>
      <c r="R247" s="1442"/>
      <c r="S247" s="4" t="s">
        <v>206</v>
      </c>
      <c r="T247" s="4"/>
      <c r="U247" s="1472" t="s">
        <v>591</v>
      </c>
      <c r="V247" s="1433"/>
      <c r="W247" s="1433"/>
      <c r="X247" s="4" t="s">
        <v>89</v>
      </c>
      <c r="Z247" s="1442" t="s">
        <v>2636</v>
      </c>
      <c r="AA247" s="1442"/>
      <c r="AB247" s="1442"/>
      <c r="AC247" s="1442"/>
      <c r="AD247" s="1442"/>
      <c r="AE247" s="1442"/>
      <c r="AU247" s="4"/>
      <c r="AV247" s="4"/>
      <c r="AW247" s="4"/>
      <c r="AX247" s="4"/>
      <c r="AY247" s="4"/>
      <c r="BG247">
        <v>0</v>
      </c>
      <c r="BH247" s="3" t="str">
        <f>""</f>
        <v/>
      </c>
      <c r="BN247" s="34"/>
    </row>
    <row r="248" spans="1:67" ht="12.95" customHeight="1">
      <c r="A248" s="19"/>
      <c r="B248" s="4"/>
      <c r="C248" s="4"/>
      <c r="D248" s="4" t="s">
        <v>90</v>
      </c>
      <c r="E248" s="4"/>
      <c r="F248" s="4"/>
      <c r="M248" s="1784" t="s">
        <v>2638</v>
      </c>
      <c r="N248" s="1784"/>
      <c r="O248" s="1784"/>
      <c r="P248" s="1784"/>
      <c r="Q248" s="1784"/>
      <c r="R248" s="1784"/>
      <c r="S248" s="1784"/>
      <c r="T248" s="1784"/>
      <c r="U248" s="1784"/>
      <c r="V248" s="1784"/>
      <c r="W248" s="1784"/>
      <c r="X248" s="1784"/>
      <c r="Y248" s="1784"/>
      <c r="Z248" s="1784"/>
      <c r="AA248" s="1784"/>
      <c r="AB248" s="1784"/>
      <c r="AC248" s="1784"/>
      <c r="AD248" s="1784"/>
      <c r="AE248" s="1784"/>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444" t="s">
        <v>536</v>
      </c>
      <c r="N249" s="1444"/>
      <c r="O249" s="1444"/>
      <c r="P249" s="1444"/>
      <c r="Q249" s="1444"/>
      <c r="R249" s="1444"/>
      <c r="S249" s="1444"/>
      <c r="T249" s="1444"/>
      <c r="U249" s="204" t="s">
        <v>906</v>
      </c>
      <c r="V249" s="204"/>
      <c r="W249" s="204"/>
      <c r="X249" s="204"/>
      <c r="Y249" s="204"/>
      <c r="Z249" s="204"/>
      <c r="AA249" s="1774" t="s">
        <v>2632</v>
      </c>
      <c r="AB249" s="1774"/>
      <c r="AC249" s="1774"/>
      <c r="AD249" s="1774"/>
      <c r="AE249" s="1774"/>
      <c r="AF249" s="1774"/>
      <c r="AG249" s="1774"/>
      <c r="AH249" s="1774"/>
      <c r="AI249" s="1774"/>
      <c r="AJ249" s="1774"/>
      <c r="AK249" s="1774"/>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12" t="s">
        <v>2639</v>
      </c>
      <c r="N251" s="1413"/>
      <c r="O251" s="1413"/>
      <c r="P251" s="1413"/>
      <c r="Q251" s="1413"/>
      <c r="R251" s="1413"/>
      <c r="S251" s="1413"/>
      <c r="T251" s="1413"/>
      <c r="U251" s="1413"/>
      <c r="V251" s="1413"/>
      <c r="W251" s="1413"/>
      <c r="X251" s="1413"/>
      <c r="Y251" s="1413"/>
      <c r="Z251" s="1413"/>
      <c r="AA251" s="1413"/>
      <c r="AB251" s="1413"/>
      <c r="AC251" s="1413"/>
      <c r="AD251" s="1413"/>
      <c r="AE251" s="1413"/>
      <c r="AF251" s="1412" t="s">
        <v>2640</v>
      </c>
      <c r="AG251" s="1413"/>
      <c r="AH251" s="1413"/>
      <c r="AI251" s="1413"/>
      <c r="AJ251" s="1413"/>
      <c r="AK251" s="1413"/>
      <c r="AU251" s="4"/>
      <c r="AV251" s="4"/>
      <c r="AW251" s="4"/>
      <c r="AX251" s="4"/>
      <c r="AY251" s="4"/>
      <c r="BN251" s="34"/>
    </row>
    <row r="252" spans="1:67" ht="12.95" customHeight="1">
      <c r="A252" s="19"/>
      <c r="B252" s="4"/>
      <c r="C252" s="4"/>
      <c r="D252" s="4" t="s">
        <v>85</v>
      </c>
      <c r="E252" s="4"/>
      <c r="F252" s="4"/>
      <c r="G252" s="4"/>
      <c r="H252" s="4"/>
      <c r="I252" s="4"/>
      <c r="J252" s="4"/>
      <c r="K252" s="4"/>
      <c r="L252" s="4"/>
      <c r="M252" s="1410" t="s">
        <v>2626</v>
      </c>
      <c r="N252" s="1410"/>
      <c r="O252" s="1410"/>
      <c r="P252" s="1410"/>
      <c r="Q252" s="1410"/>
      <c r="R252" s="1410"/>
      <c r="S252" s="1410"/>
      <c r="T252" s="1410"/>
      <c r="U252" s="1410"/>
      <c r="V252" s="1410"/>
      <c r="W252" s="1410"/>
      <c r="X252" s="1410"/>
      <c r="Y252" s="1410"/>
      <c r="Z252" s="1410"/>
      <c r="AA252" s="1410"/>
      <c r="AB252" s="1410"/>
      <c r="AC252" s="1410"/>
      <c r="AD252" s="1410"/>
      <c r="AE252" s="1410"/>
      <c r="AF252" s="3" t="s">
        <v>1179</v>
      </c>
      <c r="AL252" s="4"/>
      <c r="AM252" s="4"/>
      <c r="AN252" s="4"/>
      <c r="AO252" s="4"/>
      <c r="AP252" s="4"/>
      <c r="AQ252" s="4"/>
      <c r="AR252" s="4"/>
      <c r="AS252" s="4"/>
      <c r="AT252" s="4"/>
      <c r="BN252" s="34"/>
    </row>
    <row r="253" spans="1:67" ht="12.95" customHeight="1">
      <c r="A253" s="19"/>
      <c r="B253" s="4"/>
      <c r="C253" s="4"/>
      <c r="D253" s="4" t="s">
        <v>580</v>
      </c>
      <c r="E253" s="4"/>
      <c r="M253" s="1410" t="s">
        <v>729</v>
      </c>
      <c r="N253" s="1410"/>
      <c r="O253" s="1410"/>
      <c r="P253" s="1410"/>
      <c r="Q253" s="1410"/>
      <c r="R253" s="1410"/>
      <c r="S253" s="1410"/>
      <c r="T253" s="1410"/>
      <c r="V253" s="33" t="s">
        <v>86</v>
      </c>
      <c r="W253" s="1433" t="s">
        <v>2627</v>
      </c>
      <c r="X253" s="1433"/>
      <c r="Y253" s="4" t="s">
        <v>583</v>
      </c>
      <c r="AC253" s="1410">
        <v>92128</v>
      </c>
      <c r="AD253" s="1410"/>
      <c r="AE253" s="1410"/>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10" t="s">
        <v>2629</v>
      </c>
      <c r="N254" s="1410"/>
      <c r="O254" s="1410"/>
      <c r="P254" s="1410"/>
      <c r="Q254" s="1410"/>
      <c r="R254" s="1410"/>
      <c r="S254" s="1410"/>
      <c r="T254" s="1410"/>
      <c r="U254" s="1410"/>
      <c r="V254" s="1410"/>
      <c r="W254" s="1410"/>
      <c r="X254" s="1410"/>
      <c r="Y254" s="1410"/>
      <c r="Z254" s="1410"/>
      <c r="AA254" s="1410"/>
      <c r="AB254" s="1410"/>
      <c r="AC254" s="1410"/>
      <c r="AD254" s="1410"/>
      <c r="AE254" s="1410"/>
      <c r="AH254" s="1778">
        <v>0.01</v>
      </c>
      <c r="AI254" s="1778"/>
      <c r="AJ254" s="1778"/>
      <c r="AK254" s="1778"/>
      <c r="AL254" s="4"/>
      <c r="AM254" s="4"/>
      <c r="AN254" s="4"/>
      <c r="AO254" s="4"/>
      <c r="AP254" s="4"/>
      <c r="AQ254" s="4"/>
      <c r="AR254" s="4"/>
      <c r="AS254" s="4"/>
      <c r="AT254" s="4"/>
    </row>
    <row r="255" spans="1:67" ht="12.95" customHeight="1">
      <c r="A255" s="19"/>
      <c r="B255" s="4"/>
      <c r="C255" s="4"/>
      <c r="D255" s="4" t="s">
        <v>88</v>
      </c>
      <c r="E255" s="4"/>
      <c r="F255" s="4"/>
      <c r="M255" s="1443" t="s">
        <v>2628</v>
      </c>
      <c r="N255" s="1443"/>
      <c r="O255" s="1443"/>
      <c r="P255" s="1443"/>
      <c r="Q255" s="1443"/>
      <c r="R255" s="1443"/>
      <c r="S255" s="4" t="s">
        <v>206</v>
      </c>
      <c r="T255" s="4"/>
      <c r="U255" s="1472" t="s">
        <v>591</v>
      </c>
      <c r="V255" s="1433"/>
      <c r="W255" s="1433"/>
      <c r="X255" s="4" t="s">
        <v>89</v>
      </c>
      <c r="Z255" s="1442" t="s">
        <v>591</v>
      </c>
      <c r="AA255" s="1443"/>
      <c r="AB255" s="1443"/>
      <c r="AC255" s="1443"/>
      <c r="AD255" s="1443"/>
      <c r="AE255" s="1443"/>
      <c r="AU255" s="4"/>
      <c r="AV255" s="4"/>
      <c r="AW255" s="4"/>
      <c r="AX255" s="4"/>
      <c r="AY255" s="4"/>
      <c r="BN255" s="34"/>
    </row>
    <row r="256" spans="1:67" ht="12.95" customHeight="1">
      <c r="A256" s="19"/>
      <c r="B256" s="4"/>
      <c r="C256" s="4"/>
      <c r="D256" s="4" t="s">
        <v>90</v>
      </c>
      <c r="E256" s="4"/>
      <c r="F256" s="4"/>
      <c r="M256" s="1784" t="s">
        <v>2630</v>
      </c>
      <c r="N256" s="1784"/>
      <c r="O256" s="1784"/>
      <c r="P256" s="1784"/>
      <c r="Q256" s="1784"/>
      <c r="R256" s="1784"/>
      <c r="S256" s="1784"/>
      <c r="T256" s="1784"/>
      <c r="U256" s="1784"/>
      <c r="V256" s="1784"/>
      <c r="W256" s="1784"/>
      <c r="X256" s="1784"/>
      <c r="Y256" s="1784"/>
      <c r="Z256" s="1784"/>
      <c r="AA256" s="1784"/>
      <c r="AB256" s="1784"/>
      <c r="AC256" s="1784"/>
      <c r="AD256" s="1784"/>
      <c r="AE256" s="1784"/>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444" t="s">
        <v>534</v>
      </c>
      <c r="N257" s="1444"/>
      <c r="O257" s="1444"/>
      <c r="P257" s="1444"/>
      <c r="Q257" s="1444"/>
      <c r="R257" s="1444"/>
      <c r="S257" s="1444"/>
      <c r="T257" s="1444"/>
      <c r="U257" s="204" t="s">
        <v>906</v>
      </c>
      <c r="V257" s="204"/>
      <c r="W257" s="204"/>
      <c r="X257" s="204"/>
      <c r="Y257" s="204"/>
      <c r="Z257" s="204"/>
      <c r="AA257" s="1773" t="s">
        <v>2613</v>
      </c>
      <c r="AB257" s="1774"/>
      <c r="AC257" s="1774"/>
      <c r="AD257" s="1774"/>
      <c r="AE257" s="1774"/>
      <c r="AF257" s="1774"/>
      <c r="AG257" s="1774"/>
      <c r="AH257" s="1774"/>
      <c r="AI257" s="1774"/>
      <c r="AJ257" s="1774"/>
      <c r="AK257" s="1774"/>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12" t="s">
        <v>591</v>
      </c>
      <c r="N259" s="1413"/>
      <c r="O259" s="1413"/>
      <c r="P259" s="1413"/>
      <c r="Q259" s="1413"/>
      <c r="R259" s="1413"/>
      <c r="S259" s="1413"/>
      <c r="T259" s="1413"/>
      <c r="U259" s="1413"/>
      <c r="V259" s="1413"/>
      <c r="W259" s="1413"/>
      <c r="X259" s="1413"/>
      <c r="Y259" s="1413"/>
      <c r="Z259" s="1413"/>
      <c r="AA259" s="1413"/>
      <c r="AB259" s="1413"/>
      <c r="AC259" s="1413"/>
      <c r="AD259" s="1413"/>
      <c r="AE259" s="1413"/>
      <c r="AF259" s="1413" t="s">
        <v>307</v>
      </c>
      <c r="AG259" s="1413"/>
      <c r="AH259" s="1413"/>
      <c r="AI259" s="1413"/>
      <c r="AJ259" s="1413"/>
      <c r="AK259" s="1413"/>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09" t="s">
        <v>591</v>
      </c>
      <c r="N260" s="1410"/>
      <c r="O260" s="1410"/>
      <c r="P260" s="1410"/>
      <c r="Q260" s="1410"/>
      <c r="R260" s="1410"/>
      <c r="S260" s="1410"/>
      <c r="T260" s="1410"/>
      <c r="U260" s="1410"/>
      <c r="V260" s="1410"/>
      <c r="W260" s="1410"/>
      <c r="X260" s="1410"/>
      <c r="Y260" s="1410"/>
      <c r="Z260" s="1410"/>
      <c r="AA260" s="1410"/>
      <c r="AB260" s="1410"/>
      <c r="AC260" s="1410"/>
      <c r="AD260" s="1410"/>
      <c r="AE260" s="1410"/>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09" t="s">
        <v>591</v>
      </c>
      <c r="N261" s="1410"/>
      <c r="O261" s="1410"/>
      <c r="P261" s="1410"/>
      <c r="Q261" s="1410"/>
      <c r="R261" s="1410"/>
      <c r="S261" s="1410"/>
      <c r="T261" s="1410"/>
      <c r="V261" s="33" t="s">
        <v>86</v>
      </c>
      <c r="W261" s="1472" t="s">
        <v>591</v>
      </c>
      <c r="X261" s="1433"/>
      <c r="Y261" s="4" t="s">
        <v>583</v>
      </c>
      <c r="AC261" s="1409" t="s">
        <v>591</v>
      </c>
      <c r="AD261" s="1410"/>
      <c r="AE261" s="1410"/>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09" t="s">
        <v>591</v>
      </c>
      <c r="N262" s="1410"/>
      <c r="O262" s="1410"/>
      <c r="P262" s="1410"/>
      <c r="Q262" s="1410"/>
      <c r="R262" s="1410"/>
      <c r="S262" s="1410"/>
      <c r="T262" s="1410"/>
      <c r="U262" s="1410"/>
      <c r="V262" s="1410"/>
      <c r="W262" s="1410"/>
      <c r="X262" s="1410"/>
      <c r="Y262" s="1410"/>
      <c r="Z262" s="1410"/>
      <c r="AA262" s="1410"/>
      <c r="AB262" s="1410"/>
      <c r="AC262" s="1410"/>
      <c r="AD262" s="1410"/>
      <c r="AE262" s="1410"/>
      <c r="AH262" s="1778" t="s">
        <v>591</v>
      </c>
      <c r="AI262" s="1778"/>
      <c r="AJ262" s="1778"/>
      <c r="AK262" s="1778"/>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42" t="s">
        <v>591</v>
      </c>
      <c r="N263" s="1443"/>
      <c r="O263" s="1443"/>
      <c r="P263" s="1443"/>
      <c r="Q263" s="1443"/>
      <c r="R263" s="1443"/>
      <c r="S263" s="4" t="s">
        <v>206</v>
      </c>
      <c r="T263" s="4"/>
      <c r="U263" s="1472" t="s">
        <v>591</v>
      </c>
      <c r="V263" s="1433"/>
      <c r="W263" s="1433"/>
      <c r="X263" s="4" t="s">
        <v>89</v>
      </c>
      <c r="Z263" s="1442" t="s">
        <v>591</v>
      </c>
      <c r="AA263" s="1443"/>
      <c r="AB263" s="1443"/>
      <c r="AC263" s="1443"/>
      <c r="AD263" s="1443"/>
      <c r="AE263" s="1443"/>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4" t="s">
        <v>591</v>
      </c>
      <c r="N264" s="1784"/>
      <c r="O264" s="1784"/>
      <c r="P264" s="1784"/>
      <c r="Q264" s="1784"/>
      <c r="R264" s="1784"/>
      <c r="S264" s="1784"/>
      <c r="T264" s="1784"/>
      <c r="U264" s="1784"/>
      <c r="V264" s="1784"/>
      <c r="W264" s="1784"/>
      <c r="X264" s="1784"/>
      <c r="Y264" s="1784"/>
      <c r="Z264" s="1784"/>
      <c r="AA264" s="1805"/>
      <c r="AB264" s="1805"/>
      <c r="AC264" s="1805"/>
      <c r="AD264" s="1805"/>
      <c r="AE264" s="1805"/>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444" t="s">
        <v>307</v>
      </c>
      <c r="N265" s="1444"/>
      <c r="O265" s="1444"/>
      <c r="P265" s="1444"/>
      <c r="Q265" s="1444"/>
      <c r="R265" s="1444"/>
      <c r="S265" s="1444"/>
      <c r="T265" s="1444"/>
      <c r="U265" s="204" t="s">
        <v>906</v>
      </c>
      <c r="V265" s="204"/>
      <c r="W265" s="204"/>
      <c r="X265" s="204"/>
      <c r="Y265" s="204"/>
      <c r="Z265" s="204"/>
      <c r="AA265" s="1775" t="s">
        <v>591</v>
      </c>
      <c r="AB265" s="1776"/>
      <c r="AC265" s="1776"/>
      <c r="AD265" s="1776"/>
      <c r="AE265" s="1776"/>
      <c r="AF265" s="1776"/>
      <c r="AG265" s="1776"/>
      <c r="AH265" s="1776"/>
      <c r="AI265" s="1776"/>
      <c r="AJ265" s="1776"/>
      <c r="AK265" s="1776"/>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295</v>
      </c>
      <c r="D267" s="4"/>
      <c r="E267" s="4"/>
      <c r="F267" s="4"/>
      <c r="G267" s="4"/>
      <c r="H267" s="4"/>
      <c r="I267" s="4"/>
      <c r="J267" s="4"/>
      <c r="K267" s="4"/>
      <c r="L267" s="4"/>
      <c r="M267" s="35"/>
      <c r="N267" s="35"/>
      <c r="O267" s="35"/>
      <c r="P267" s="35"/>
      <c r="Q267" s="35"/>
      <c r="T267" s="1779" t="str">
        <f>IFERROR(BO245,"")</f>
        <v>Joint Venture</v>
      </c>
      <c r="U267" s="1779"/>
      <c r="V267" s="1779"/>
      <c r="W267" s="1779"/>
      <c r="X267" s="1779"/>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10" t="s">
        <v>280</v>
      </c>
      <c r="E270" s="1410"/>
      <c r="F270" s="1410"/>
      <c r="G270" s="1410"/>
      <c r="H270" s="1410"/>
      <c r="J270" t="s">
        <v>279</v>
      </c>
      <c r="X270" s="1711" t="s">
        <v>591</v>
      </c>
      <c r="Y270" s="1711"/>
      <c r="Z270" s="1711"/>
      <c r="AA270" s="1711"/>
      <c r="AB270" s="1711"/>
      <c r="AC270" s="1711"/>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13" t="s">
        <v>2632</v>
      </c>
      <c r="M274" s="1413"/>
      <c r="N274" s="1413"/>
      <c r="O274" s="1413"/>
      <c r="P274" s="1413"/>
      <c r="Q274" s="1413"/>
      <c r="R274" s="1413"/>
      <c r="S274" s="1413"/>
      <c r="T274" s="1413"/>
      <c r="U274" s="1413"/>
      <c r="V274" s="1413"/>
      <c r="W274" s="1413"/>
      <c r="X274" s="1413"/>
      <c r="Y274" s="1413"/>
      <c r="Z274" s="1413"/>
      <c r="AA274" s="1413"/>
      <c r="AB274" s="1413"/>
      <c r="AC274" s="1413"/>
      <c r="AD274" s="1413"/>
      <c r="AE274" s="1413"/>
      <c r="AF274" s="1413"/>
      <c r="AG274" s="1413"/>
      <c r="AH274" s="1413"/>
      <c r="AI274" s="1413"/>
      <c r="AJ274" s="1413"/>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0" t="s">
        <v>2633</v>
      </c>
      <c r="M275" s="1410"/>
      <c r="N275" s="1410"/>
      <c r="O275" s="1410"/>
      <c r="P275" s="1410"/>
      <c r="Q275" s="1410"/>
      <c r="R275" s="1410"/>
      <c r="S275" s="1410"/>
      <c r="T275" s="1410"/>
      <c r="U275" s="1410"/>
      <c r="V275" s="1410"/>
      <c r="W275" s="1410"/>
      <c r="X275" s="1410"/>
      <c r="Y275" s="1410"/>
      <c r="Z275" s="1410"/>
      <c r="AA275" s="1410"/>
      <c r="AB275" s="1410"/>
      <c r="AC275" s="1410"/>
      <c r="AD275" s="1410"/>
      <c r="AK275" s="3"/>
      <c r="AL275" s="3"/>
      <c r="AM275" s="3"/>
      <c r="AN275" s="3"/>
      <c r="AO275" s="3"/>
      <c r="AP275" s="3"/>
      <c r="AQ275" s="3"/>
      <c r="AR275" s="3"/>
      <c r="AS275" s="3"/>
      <c r="AT275" s="3"/>
      <c r="AU275" s="3"/>
      <c r="AV275" s="3"/>
      <c r="AW275" s="3"/>
      <c r="AX275" s="3"/>
      <c r="AY275" s="3"/>
    </row>
    <row r="276" spans="1:51" ht="12.95" customHeight="1">
      <c r="D276" s="4" t="s">
        <v>580</v>
      </c>
      <c r="E276" s="4"/>
      <c r="L276" s="1410" t="s">
        <v>729</v>
      </c>
      <c r="M276" s="1410"/>
      <c r="N276" s="1410"/>
      <c r="O276" s="1410"/>
      <c r="P276" s="1410"/>
      <c r="Q276" s="1410"/>
      <c r="R276" s="1410"/>
      <c r="S276" s="1410"/>
      <c r="U276" s="33" t="s">
        <v>86</v>
      </c>
      <c r="V276" s="1433" t="s">
        <v>2627</v>
      </c>
      <c r="W276" s="1433"/>
      <c r="X276" s="4" t="s">
        <v>583</v>
      </c>
      <c r="AB276" s="1410">
        <v>92128</v>
      </c>
      <c r="AC276" s="1410"/>
      <c r="AD276" s="1410"/>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09" t="s">
        <v>2641</v>
      </c>
      <c r="M277" s="1410"/>
      <c r="N277" s="1410"/>
      <c r="O277" s="1410"/>
      <c r="P277" s="1410"/>
      <c r="Q277" s="1410"/>
      <c r="R277" s="1410"/>
      <c r="S277" s="1410"/>
      <c r="T277" s="1410"/>
      <c r="U277" s="1410"/>
      <c r="V277" s="1410"/>
      <c r="W277" s="1410"/>
      <c r="X277" s="1410"/>
      <c r="Y277" s="1410"/>
      <c r="Z277" s="1410"/>
      <c r="AA277" s="1410"/>
      <c r="AB277" s="1410"/>
      <c r="AC277" s="1410"/>
      <c r="AD277" s="1410"/>
      <c r="AI277" s="4"/>
      <c r="AJ277" s="4"/>
      <c r="AK277" s="3"/>
      <c r="AL277" s="3"/>
      <c r="AM277" s="3"/>
      <c r="AN277" s="3"/>
      <c r="AO277" s="3"/>
      <c r="AP277" s="3"/>
      <c r="AQ277" s="3"/>
      <c r="AR277" s="3"/>
      <c r="AS277" s="3"/>
      <c r="AT277" s="3"/>
    </row>
    <row r="278" spans="1:51" ht="12.95" customHeight="1">
      <c r="D278" s="4" t="s">
        <v>88</v>
      </c>
      <c r="E278" s="4"/>
      <c r="F278" s="4"/>
      <c r="L278" s="1442" t="s">
        <v>2642</v>
      </c>
      <c r="M278" s="1443"/>
      <c r="N278" s="1443"/>
      <c r="O278" s="1443"/>
      <c r="P278" s="1443"/>
      <c r="Q278" s="1443"/>
      <c r="R278" s="4" t="s">
        <v>206</v>
      </c>
      <c r="S278" s="4"/>
      <c r="T278" s="1472" t="s">
        <v>591</v>
      </c>
      <c r="U278" s="1433"/>
      <c r="V278" s="1433"/>
      <c r="W278" s="4" t="s">
        <v>89</v>
      </c>
      <c r="Y278" s="1442" t="s">
        <v>591</v>
      </c>
      <c r="Z278" s="1443"/>
      <c r="AA278" s="1443"/>
      <c r="AB278" s="1443"/>
      <c r="AC278" s="1443"/>
      <c r="AD278" s="1443"/>
    </row>
    <row r="279" spans="1:51" ht="12.95" customHeight="1">
      <c r="D279" s="4" t="s">
        <v>90</v>
      </c>
      <c r="E279" s="4"/>
      <c r="F279" s="4"/>
      <c r="L279" s="1784" t="s">
        <v>2643</v>
      </c>
      <c r="M279" s="1784"/>
      <c r="N279" s="1784"/>
      <c r="O279" s="1784"/>
      <c r="P279" s="1784"/>
      <c r="Q279" s="1784"/>
      <c r="R279" s="1784"/>
      <c r="S279" s="1784"/>
      <c r="T279" s="1784"/>
      <c r="U279" s="1784"/>
      <c r="V279" s="1784"/>
      <c r="W279" s="1784"/>
      <c r="X279" s="1784"/>
      <c r="Y279" s="1784"/>
      <c r="Z279" s="1784"/>
      <c r="AA279" s="1784"/>
      <c r="AB279" s="1784"/>
      <c r="AC279" s="1784"/>
      <c r="AD279" s="1784"/>
      <c r="AF279" s="4"/>
      <c r="AG279" s="4"/>
      <c r="AH279" s="4"/>
      <c r="AI279" s="4"/>
      <c r="AJ279" s="4"/>
      <c r="AU279" s="3"/>
      <c r="AV279" s="3"/>
      <c r="AW279" s="3"/>
      <c r="AX279" s="3"/>
      <c r="AY279" s="3"/>
    </row>
    <row r="280" spans="1:51" ht="12.95" customHeight="1">
      <c r="D280" s="3" t="s">
        <v>623</v>
      </c>
      <c r="E280" s="3"/>
      <c r="F280" s="3"/>
      <c r="G280" s="3"/>
      <c r="H280" s="3"/>
      <c r="I280" s="3"/>
      <c r="L280" s="1472" t="s">
        <v>2644</v>
      </c>
      <c r="M280" s="1472"/>
      <c r="N280" s="1472"/>
      <c r="O280" s="1472"/>
      <c r="P280" s="1472"/>
      <c r="Q280" s="1472"/>
      <c r="R280" s="1472"/>
      <c r="S280" s="1472"/>
      <c r="T280" s="1472"/>
      <c r="U280" s="1472"/>
      <c r="V280" s="1472"/>
      <c r="W280" s="1472"/>
      <c r="X280" s="1472"/>
      <c r="Y280" s="1472"/>
      <c r="Z280" s="1472"/>
      <c r="AA280" s="1472"/>
      <c r="AB280" s="1472"/>
      <c r="AC280" s="1472"/>
      <c r="AD280" s="1472"/>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15" t="s">
        <v>541</v>
      </c>
      <c r="B282" s="1415"/>
      <c r="C282" s="1415"/>
      <c r="D282" s="1415"/>
      <c r="E282" s="1415"/>
      <c r="F282" s="1415"/>
      <c r="G282" s="1415"/>
      <c r="H282" s="1415"/>
      <c r="I282" s="1415"/>
      <c r="J282" s="1415"/>
      <c r="K282" s="1415"/>
      <c r="L282" s="1415"/>
      <c r="M282" s="1415"/>
      <c r="N282" s="1415"/>
      <c r="O282" s="1415"/>
      <c r="P282" s="1415"/>
      <c r="Q282" s="1415"/>
      <c r="R282" s="1415"/>
      <c r="S282" s="1415"/>
      <c r="T282" s="1415"/>
      <c r="U282" s="1415"/>
      <c r="V282" s="1415"/>
      <c r="W282" s="1415"/>
      <c r="X282" s="1415"/>
      <c r="Y282" s="1415"/>
      <c r="Z282" s="1415"/>
      <c r="AA282" s="1415"/>
      <c r="AB282" s="1415"/>
      <c r="AC282" s="1415"/>
      <c r="AD282" s="1415"/>
      <c r="AE282" s="1415"/>
      <c r="AF282" s="1415"/>
      <c r="AG282" s="1415"/>
      <c r="AH282" s="1415"/>
      <c r="AI282" s="1415"/>
      <c r="AJ282" s="1415"/>
      <c r="AK282" s="1415"/>
      <c r="AL282" s="1415"/>
      <c r="AM282" s="1415"/>
      <c r="AN282" s="1415"/>
      <c r="AO282" s="1415"/>
      <c r="AP282" s="1415"/>
      <c r="AQ282" s="1415"/>
      <c r="AR282" s="1415"/>
      <c r="AS282" s="1415"/>
      <c r="AT282" s="1415"/>
      <c r="AU282" s="95"/>
      <c r="AV282" s="95"/>
      <c r="AW282" s="95"/>
      <c r="AX282" s="95"/>
      <c r="AY282" s="95"/>
    </row>
    <row r="283" spans="1:51" ht="12.95" customHeight="1">
      <c r="A283" s="1415"/>
      <c r="B283" s="1415"/>
      <c r="C283" s="1415"/>
      <c r="D283" s="1415"/>
      <c r="E283" s="1415"/>
      <c r="F283" s="1415"/>
      <c r="G283" s="1415"/>
      <c r="H283" s="1415"/>
      <c r="I283" s="1415"/>
      <c r="J283" s="1415"/>
      <c r="K283" s="1415"/>
      <c r="L283" s="1415"/>
      <c r="M283" s="1415"/>
      <c r="N283" s="1415"/>
      <c r="O283" s="1415"/>
      <c r="P283" s="1415"/>
      <c r="Q283" s="1415"/>
      <c r="R283" s="1415"/>
      <c r="S283" s="1415"/>
      <c r="T283" s="1415"/>
      <c r="U283" s="1415"/>
      <c r="V283" s="1415"/>
      <c r="W283" s="1415"/>
      <c r="X283" s="1415"/>
      <c r="Y283" s="1415"/>
      <c r="Z283" s="1415"/>
      <c r="AA283" s="1415"/>
      <c r="AB283" s="1415"/>
      <c r="AC283" s="1415"/>
      <c r="AD283" s="1415"/>
      <c r="AE283" s="1415"/>
      <c r="AF283" s="1415"/>
      <c r="AG283" s="1415"/>
      <c r="AH283" s="1415"/>
      <c r="AI283" s="1415"/>
      <c r="AJ283" s="1415"/>
      <c r="AK283" s="1415"/>
      <c r="AL283" s="1415"/>
      <c r="AM283" s="1415"/>
      <c r="AN283" s="1415"/>
      <c r="AO283" s="1415"/>
      <c r="AP283" s="1415"/>
      <c r="AQ283" s="1415"/>
      <c r="AR283" s="1415"/>
      <c r="AS283" s="1415"/>
      <c r="AT283" s="1415"/>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64" t="s">
        <v>2632</v>
      </c>
      <c r="I287" s="1364"/>
      <c r="J287" s="1364"/>
      <c r="K287" s="1364"/>
      <c r="L287" s="1364"/>
      <c r="M287" s="1364"/>
      <c r="N287" s="1364"/>
      <c r="O287" s="1364"/>
      <c r="P287" s="1364"/>
      <c r="Q287" s="1364"/>
      <c r="R287" s="1364"/>
      <c r="T287" s="3" t="s">
        <v>567</v>
      </c>
      <c r="V287" s="3"/>
      <c r="W287" s="3"/>
      <c r="X287" s="3"/>
      <c r="Y287" s="3"/>
      <c r="AA287" s="1364" t="s">
        <v>2650</v>
      </c>
      <c r="AB287" s="1364"/>
      <c r="AC287" s="1364"/>
      <c r="AD287" s="1364"/>
      <c r="AE287" s="1364"/>
      <c r="AF287" s="1364"/>
      <c r="AG287" s="1364"/>
      <c r="AH287" s="1364"/>
      <c r="AI287" s="1364"/>
      <c r="AJ287" s="1364"/>
      <c r="AK287" s="1364"/>
    </row>
    <row r="288" spans="1:51" ht="12.95" customHeight="1">
      <c r="B288" s="3" t="s">
        <v>471</v>
      </c>
      <c r="C288" s="3"/>
      <c r="D288" s="3"/>
      <c r="E288" s="3"/>
      <c r="F288" s="3"/>
      <c r="H288" s="1444" t="s">
        <v>2633</v>
      </c>
      <c r="I288" s="1444"/>
      <c r="J288" s="1444"/>
      <c r="K288" s="1444"/>
      <c r="L288" s="1444"/>
      <c r="M288" s="1444"/>
      <c r="N288" s="1444"/>
      <c r="O288" s="1444"/>
      <c r="P288" s="1444"/>
      <c r="Q288" s="1444"/>
      <c r="R288" s="1444"/>
      <c r="T288" s="3" t="s">
        <v>471</v>
      </c>
      <c r="V288" s="3"/>
      <c r="W288" s="3"/>
      <c r="X288" s="3"/>
      <c r="Y288" s="3"/>
      <c r="AA288" s="1444" t="s">
        <v>2651</v>
      </c>
      <c r="AB288" s="1444"/>
      <c r="AC288" s="1444"/>
      <c r="AD288" s="1444"/>
      <c r="AE288" s="1444"/>
      <c r="AF288" s="1444"/>
      <c r="AG288" s="1444"/>
      <c r="AH288" s="1444"/>
      <c r="AI288" s="1444"/>
      <c r="AJ288" s="1444"/>
      <c r="AK288" s="1444"/>
    </row>
    <row r="289" spans="2:37" ht="12.95" customHeight="1">
      <c r="B289" s="3" t="s">
        <v>472</v>
      </c>
      <c r="C289" s="3"/>
      <c r="D289" s="3"/>
      <c r="E289" s="3"/>
      <c r="F289" s="3"/>
      <c r="H289" s="1444" t="s">
        <v>2649</v>
      </c>
      <c r="I289" s="1444"/>
      <c r="J289" s="1444"/>
      <c r="K289" s="1444"/>
      <c r="L289" s="1444"/>
      <c r="M289" s="1444"/>
      <c r="N289" s="1444"/>
      <c r="O289" s="1444"/>
      <c r="P289" s="1444"/>
      <c r="Q289" s="1444"/>
      <c r="R289" s="1444"/>
      <c r="T289" s="3" t="s">
        <v>75</v>
      </c>
      <c r="V289" s="3"/>
      <c r="W289" s="3"/>
      <c r="X289" s="3"/>
      <c r="Y289" s="3"/>
      <c r="AA289" s="1444" t="s">
        <v>2652</v>
      </c>
      <c r="AB289" s="1444"/>
      <c r="AC289" s="1444"/>
      <c r="AD289" s="1444"/>
      <c r="AE289" s="1444"/>
      <c r="AF289" s="1444"/>
      <c r="AG289" s="1444"/>
      <c r="AH289" s="1444"/>
      <c r="AI289" s="1444"/>
      <c r="AJ289" s="1444"/>
      <c r="AK289" s="1444"/>
    </row>
    <row r="290" spans="2:37" ht="12.95" customHeight="1">
      <c r="B290" s="3" t="s">
        <v>87</v>
      </c>
      <c r="C290" s="3"/>
      <c r="D290" s="3"/>
      <c r="E290" s="3"/>
      <c r="F290" s="3"/>
      <c r="H290" s="1444" t="s">
        <v>2641</v>
      </c>
      <c r="I290" s="1444"/>
      <c r="J290" s="1444"/>
      <c r="K290" s="1444"/>
      <c r="L290" s="1444"/>
      <c r="M290" s="1444"/>
      <c r="N290" s="1444"/>
      <c r="O290" s="1444"/>
      <c r="P290" s="1444"/>
      <c r="Q290" s="1444"/>
      <c r="R290" s="1444"/>
      <c r="T290" s="3" t="s">
        <v>87</v>
      </c>
      <c r="V290" s="3"/>
      <c r="W290" s="3"/>
      <c r="X290" s="3"/>
      <c r="Y290" s="3"/>
      <c r="AA290" s="1444" t="s">
        <v>2654</v>
      </c>
      <c r="AB290" s="1444"/>
      <c r="AC290" s="1444"/>
      <c r="AD290" s="1444"/>
      <c r="AE290" s="1444"/>
      <c r="AF290" s="1444"/>
      <c r="AG290" s="1444"/>
      <c r="AH290" s="1444"/>
      <c r="AI290" s="1444"/>
      <c r="AJ290" s="1444"/>
      <c r="AK290" s="1444"/>
    </row>
    <row r="291" spans="2:37" ht="12.95" customHeight="1">
      <c r="B291" s="3" t="s">
        <v>88</v>
      </c>
      <c r="C291" s="3"/>
      <c r="D291" s="3"/>
      <c r="E291" s="3"/>
      <c r="F291" s="3"/>
      <c r="G291" s="3"/>
      <c r="H291" s="1417" t="s">
        <v>2642</v>
      </c>
      <c r="I291" s="1417"/>
      <c r="J291" s="1417"/>
      <c r="K291" s="1417"/>
      <c r="L291" s="1417"/>
      <c r="M291" s="1417"/>
      <c r="N291" s="4" t="s">
        <v>206</v>
      </c>
      <c r="O291" s="4"/>
      <c r="P291" s="1409" t="s">
        <v>591</v>
      </c>
      <c r="Q291" s="1410"/>
      <c r="R291" s="1410"/>
      <c r="S291" s="3"/>
      <c r="T291" s="3" t="s">
        <v>88</v>
      </c>
      <c r="V291" s="3"/>
      <c r="W291" s="3"/>
      <c r="X291" s="3"/>
      <c r="Y291" s="3"/>
      <c r="AA291" s="1416" t="s">
        <v>2653</v>
      </c>
      <c r="AB291" s="1417"/>
      <c r="AC291" s="1417"/>
      <c r="AD291" s="1417"/>
      <c r="AE291" s="1417"/>
      <c r="AF291" s="1417"/>
      <c r="AG291" s="4" t="s">
        <v>206</v>
      </c>
      <c r="AH291" s="4"/>
      <c r="AI291" s="1409" t="s">
        <v>591</v>
      </c>
      <c r="AJ291" s="1410"/>
      <c r="AK291" s="1410"/>
    </row>
    <row r="292" spans="2:37" ht="12.95" customHeight="1">
      <c r="B292" s="3" t="s">
        <v>89</v>
      </c>
      <c r="C292" s="3"/>
      <c r="D292" s="3"/>
      <c r="E292" s="3"/>
      <c r="F292" s="3"/>
      <c r="G292" s="3"/>
      <c r="H292" s="1443" t="s">
        <v>2636</v>
      </c>
      <c r="I292" s="1443"/>
      <c r="J292" s="1443"/>
      <c r="K292" s="1443"/>
      <c r="L292" s="1443"/>
      <c r="M292" s="1443"/>
      <c r="N292" s="4"/>
      <c r="O292" s="4"/>
      <c r="P292" s="35"/>
      <c r="Q292" s="35"/>
      <c r="R292" s="35"/>
      <c r="S292" s="3"/>
      <c r="T292" s="3" t="s">
        <v>89</v>
      </c>
      <c r="V292" s="3"/>
      <c r="W292" s="3"/>
      <c r="X292" s="3"/>
      <c r="Y292" s="3"/>
      <c r="AA292" s="1442" t="s">
        <v>591</v>
      </c>
      <c r="AB292" s="1443"/>
      <c r="AC292" s="1443"/>
      <c r="AD292" s="1443"/>
      <c r="AE292" s="1443"/>
      <c r="AF292" s="1443"/>
      <c r="AG292" s="4"/>
      <c r="AH292" s="4"/>
      <c r="AI292" s="35"/>
      <c r="AJ292" s="35"/>
      <c r="AK292" s="35"/>
    </row>
    <row r="293" spans="2:37" ht="12.95" customHeight="1">
      <c r="B293" s="3" t="s">
        <v>76</v>
      </c>
      <c r="C293" s="3"/>
      <c r="D293" s="3"/>
      <c r="E293" s="3"/>
      <c r="F293" s="3"/>
      <c r="G293" s="3"/>
      <c r="H293" s="1444" t="s">
        <v>2643</v>
      </c>
      <c r="I293" s="1444"/>
      <c r="J293" s="1444"/>
      <c r="K293" s="1444"/>
      <c r="L293" s="1444"/>
      <c r="M293" s="1444"/>
      <c r="N293" s="1364"/>
      <c r="O293" s="1364"/>
      <c r="P293" s="1364"/>
      <c r="Q293" s="1364"/>
      <c r="R293" s="1364"/>
      <c r="S293" s="3"/>
      <c r="T293" s="3" t="s">
        <v>76</v>
      </c>
      <c r="V293" s="3"/>
      <c r="W293" s="3"/>
      <c r="X293" s="3"/>
      <c r="Y293" s="3"/>
      <c r="AA293" s="1444" t="s">
        <v>2655</v>
      </c>
      <c r="AB293" s="1444"/>
      <c r="AC293" s="1444"/>
      <c r="AD293" s="1444"/>
      <c r="AE293" s="1444"/>
      <c r="AF293" s="1444"/>
      <c r="AG293" s="1364"/>
      <c r="AH293" s="1364"/>
      <c r="AI293" s="1364"/>
      <c r="AJ293" s="1364"/>
      <c r="AK293" s="1364"/>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813" t="s">
        <v>2648</v>
      </c>
      <c r="I295" s="1813"/>
      <c r="J295" s="1813"/>
      <c r="K295" s="1813"/>
      <c r="L295" s="1813"/>
      <c r="M295" s="1813"/>
      <c r="N295" s="1813"/>
      <c r="O295" s="1813"/>
      <c r="P295" s="1813"/>
      <c r="Q295" s="1813"/>
      <c r="R295" s="1813"/>
      <c r="T295" s="3" t="s">
        <v>364</v>
      </c>
      <c r="V295" s="3"/>
      <c r="W295" s="3"/>
      <c r="X295" s="3"/>
      <c r="Y295" s="3"/>
      <c r="AA295" s="1364" t="s">
        <v>2662</v>
      </c>
      <c r="AB295" s="1364"/>
      <c r="AC295" s="1364"/>
      <c r="AD295" s="1364"/>
      <c r="AE295" s="1364"/>
      <c r="AF295" s="1364"/>
      <c r="AG295" s="1364"/>
      <c r="AH295" s="1364"/>
      <c r="AI295" s="1364"/>
      <c r="AJ295" s="1364"/>
      <c r="AK295" s="1364"/>
    </row>
    <row r="296" spans="2:37" ht="12.95" customHeight="1">
      <c r="B296" s="3" t="s">
        <v>471</v>
      </c>
      <c r="C296" s="3"/>
      <c r="D296" s="3"/>
      <c r="E296" s="3"/>
      <c r="F296" s="3"/>
      <c r="H296" s="1814" t="s">
        <v>2656</v>
      </c>
      <c r="I296" s="1814"/>
      <c r="J296" s="1814"/>
      <c r="K296" s="1814"/>
      <c r="L296" s="1814"/>
      <c r="M296" s="1814"/>
      <c r="N296" s="1814"/>
      <c r="O296" s="1814"/>
      <c r="P296" s="1814"/>
      <c r="Q296" s="1814"/>
      <c r="R296" s="1814"/>
      <c r="T296" s="3" t="s">
        <v>471</v>
      </c>
      <c r="V296" s="3"/>
      <c r="W296" s="3"/>
      <c r="X296" s="3"/>
      <c r="Y296" s="3"/>
      <c r="AA296" s="1444" t="s">
        <v>2662</v>
      </c>
      <c r="AB296" s="1444"/>
      <c r="AC296" s="1444"/>
      <c r="AD296" s="1444"/>
      <c r="AE296" s="1444"/>
      <c r="AF296" s="1444"/>
      <c r="AG296" s="1444"/>
      <c r="AH296" s="1444"/>
      <c r="AI296" s="1444"/>
      <c r="AJ296" s="1444"/>
      <c r="AK296" s="1444"/>
    </row>
    <row r="297" spans="2:37" ht="12.95" customHeight="1">
      <c r="B297" s="3" t="s">
        <v>472</v>
      </c>
      <c r="C297" s="3"/>
      <c r="D297" s="3"/>
      <c r="E297" s="3"/>
      <c r="F297" s="3"/>
      <c r="H297" s="251" t="s">
        <v>2657</v>
      </c>
      <c r="I297" s="251"/>
      <c r="J297" s="251"/>
      <c r="K297" s="251"/>
      <c r="L297" s="251"/>
      <c r="M297" s="251"/>
      <c r="N297" s="251"/>
      <c r="O297" s="251"/>
      <c r="P297" s="251"/>
      <c r="Q297" s="251"/>
      <c r="R297" s="251"/>
      <c r="T297" s="3" t="s">
        <v>75</v>
      </c>
      <c r="V297" s="3"/>
      <c r="W297" s="3"/>
      <c r="X297" s="3"/>
      <c r="Y297" s="3"/>
      <c r="AA297" s="1444" t="s">
        <v>2662</v>
      </c>
      <c r="AB297" s="1444"/>
      <c r="AC297" s="1444"/>
      <c r="AD297" s="1444"/>
      <c r="AE297" s="1444"/>
      <c r="AF297" s="1444"/>
      <c r="AG297" s="1444"/>
      <c r="AH297" s="1444"/>
      <c r="AI297" s="1444"/>
      <c r="AJ297" s="1444"/>
      <c r="AK297" s="1444"/>
    </row>
    <row r="298" spans="2:37" ht="12.95" customHeight="1">
      <c r="B298" s="3" t="s">
        <v>87</v>
      </c>
      <c r="C298" s="3"/>
      <c r="D298" s="3"/>
      <c r="E298" s="3"/>
      <c r="F298" s="3"/>
      <c r="H298" s="1444" t="s">
        <v>2659</v>
      </c>
      <c r="I298" s="1444"/>
      <c r="J298" s="1444"/>
      <c r="K298" s="1444"/>
      <c r="L298" s="1444"/>
      <c r="M298" s="1444"/>
      <c r="N298" s="1444"/>
      <c r="O298" s="1444"/>
      <c r="P298" s="1444"/>
      <c r="Q298" s="1444"/>
      <c r="R298" s="1444"/>
      <c r="T298" s="3" t="s">
        <v>87</v>
      </c>
      <c r="V298" s="3"/>
      <c r="W298" s="3"/>
      <c r="X298" s="3"/>
      <c r="Y298" s="3"/>
      <c r="AA298" s="1444" t="s">
        <v>2662</v>
      </c>
      <c r="AB298" s="1444"/>
      <c r="AC298" s="1444"/>
      <c r="AD298" s="1444"/>
      <c r="AE298" s="1444"/>
      <c r="AF298" s="1444"/>
      <c r="AG298" s="1444"/>
      <c r="AH298" s="1444"/>
      <c r="AI298" s="1444"/>
      <c r="AJ298" s="1444"/>
      <c r="AK298" s="1444"/>
    </row>
    <row r="299" spans="2:37" ht="12.95" customHeight="1">
      <c r="B299" s="3" t="s">
        <v>88</v>
      </c>
      <c r="C299" s="3"/>
      <c r="D299" s="3"/>
      <c r="E299" s="3"/>
      <c r="F299" s="3"/>
      <c r="G299" s="3"/>
      <c r="H299" s="1263" t="s">
        <v>2658</v>
      </c>
      <c r="I299" s="1261"/>
      <c r="J299" s="1261"/>
      <c r="K299" s="1261"/>
      <c r="L299" s="1261"/>
      <c r="M299" s="1261"/>
      <c r="N299" s="4" t="s">
        <v>206</v>
      </c>
      <c r="O299" s="4"/>
      <c r="P299" s="1409" t="s">
        <v>591</v>
      </c>
      <c r="Q299" s="1410"/>
      <c r="R299" s="1410"/>
      <c r="S299" s="3"/>
      <c r="T299" s="3" t="s">
        <v>88</v>
      </c>
      <c r="V299" s="3"/>
      <c r="W299" s="3"/>
      <c r="X299" s="3"/>
      <c r="Y299" s="3"/>
      <c r="AA299" s="1417" t="s">
        <v>2662</v>
      </c>
      <c r="AB299" s="1417"/>
      <c r="AC299" s="1417"/>
      <c r="AD299" s="1417"/>
      <c r="AE299" s="1417"/>
      <c r="AF299" s="1417"/>
      <c r="AG299" s="4" t="s">
        <v>206</v>
      </c>
      <c r="AH299" s="4"/>
      <c r="AI299" s="1410" t="s">
        <v>2662</v>
      </c>
      <c r="AJ299" s="1410"/>
      <c r="AK299" s="1410"/>
    </row>
    <row r="300" spans="2:37" ht="12.95" customHeight="1">
      <c r="B300" s="3" t="s">
        <v>89</v>
      </c>
      <c r="C300" s="3"/>
      <c r="D300" s="3"/>
      <c r="E300" s="3"/>
      <c r="F300" s="3"/>
      <c r="G300" s="3"/>
      <c r="H300" s="1264" t="s">
        <v>2661</v>
      </c>
      <c r="I300" s="1260"/>
      <c r="J300" s="1260"/>
      <c r="K300" s="1260"/>
      <c r="L300" s="1260"/>
      <c r="M300" s="1260"/>
      <c r="N300" s="4"/>
      <c r="O300" s="4"/>
      <c r="P300" s="35"/>
      <c r="Q300" s="35"/>
      <c r="R300" s="35"/>
      <c r="S300" s="3"/>
      <c r="T300" s="3" t="s">
        <v>89</v>
      </c>
      <c r="V300" s="3"/>
      <c r="W300" s="3"/>
      <c r="X300" s="3"/>
      <c r="Y300" s="3"/>
      <c r="AA300" s="1443" t="s">
        <v>2662</v>
      </c>
      <c r="AB300" s="1443"/>
      <c r="AC300" s="1443"/>
      <c r="AD300" s="1443"/>
      <c r="AE300" s="1443"/>
      <c r="AF300" s="1443"/>
      <c r="AG300" s="4"/>
      <c r="AH300" s="4"/>
      <c r="AI300" s="35"/>
      <c r="AJ300" s="35"/>
      <c r="AK300" s="35"/>
    </row>
    <row r="301" spans="2:37" ht="12.95" customHeight="1">
      <c r="B301" s="3" t="s">
        <v>76</v>
      </c>
      <c r="C301" s="3"/>
      <c r="D301" s="3"/>
      <c r="E301" s="3"/>
      <c r="F301" s="3"/>
      <c r="G301" s="3"/>
      <c r="H301" s="1444" t="s">
        <v>2660</v>
      </c>
      <c r="I301" s="1444"/>
      <c r="J301" s="1444"/>
      <c r="K301" s="1444"/>
      <c r="L301" s="1444"/>
      <c r="M301" s="1444"/>
      <c r="N301" s="1364"/>
      <c r="O301" s="1364"/>
      <c r="P301" s="1364"/>
      <c r="Q301" s="1364"/>
      <c r="R301" s="1364"/>
      <c r="S301" s="3"/>
      <c r="T301" s="3" t="s">
        <v>76</v>
      </c>
      <c r="V301" s="3"/>
      <c r="W301" s="3"/>
      <c r="X301" s="3"/>
      <c r="Y301" s="3"/>
      <c r="AA301" s="1444" t="s">
        <v>2662</v>
      </c>
      <c r="AB301" s="1444"/>
      <c r="AC301" s="1444"/>
      <c r="AD301" s="1444"/>
      <c r="AE301" s="1444"/>
      <c r="AF301" s="1444"/>
      <c r="AG301" s="1364"/>
      <c r="AH301" s="1364"/>
      <c r="AI301" s="1364"/>
      <c r="AJ301" s="1364"/>
      <c r="AK301" s="1364"/>
    </row>
    <row r="302" spans="2:37" ht="12.95" customHeight="1"/>
    <row r="303" spans="2:37" ht="12.95" customHeight="1">
      <c r="B303" s="3" t="s">
        <v>77</v>
      </c>
      <c r="C303" s="3"/>
      <c r="D303" s="3"/>
      <c r="E303" s="3"/>
      <c r="F303" s="3"/>
      <c r="H303" s="1262" t="s">
        <v>2663</v>
      </c>
      <c r="I303" s="1262"/>
      <c r="J303" s="1262"/>
      <c r="K303" s="1262"/>
      <c r="L303" s="1262"/>
      <c r="M303" s="1262"/>
      <c r="N303" s="1262"/>
      <c r="O303" s="1262"/>
      <c r="P303" s="1262"/>
      <c r="Q303" s="1262"/>
      <c r="R303" s="1262"/>
      <c r="T303" s="4" t="s">
        <v>878</v>
      </c>
      <c r="V303" s="3"/>
      <c r="W303" s="3"/>
      <c r="X303" s="3"/>
      <c r="Y303" s="3"/>
      <c r="AA303" s="1364" t="s">
        <v>2667</v>
      </c>
      <c r="AB303" s="1364"/>
      <c r="AC303" s="1364"/>
      <c r="AD303" s="1364"/>
      <c r="AE303" s="1364"/>
      <c r="AF303" s="1364"/>
      <c r="AG303" s="1364"/>
      <c r="AH303" s="1364"/>
      <c r="AI303" s="1364"/>
      <c r="AJ303" s="1364"/>
      <c r="AK303" s="1364"/>
    </row>
    <row r="304" spans="2:37" ht="12.95" customHeight="1">
      <c r="B304" s="3" t="s">
        <v>471</v>
      </c>
      <c r="C304" s="3"/>
      <c r="D304" s="3"/>
      <c r="E304" s="3"/>
      <c r="F304" s="3"/>
      <c r="H304" s="251" t="s">
        <v>2765</v>
      </c>
      <c r="I304" s="251"/>
      <c r="J304" s="251"/>
      <c r="K304" s="251"/>
      <c r="L304" s="251"/>
      <c r="M304" s="251"/>
      <c r="N304" s="251"/>
      <c r="O304" s="251"/>
      <c r="P304" s="251"/>
      <c r="Q304" s="251"/>
      <c r="R304" s="251"/>
      <c r="T304" s="3" t="s">
        <v>471</v>
      </c>
      <c r="V304" s="3"/>
      <c r="W304" s="3"/>
      <c r="X304" s="3"/>
      <c r="Y304" s="3"/>
      <c r="AA304" s="1444" t="s">
        <v>2671</v>
      </c>
      <c r="AB304" s="1444"/>
      <c r="AC304" s="1444"/>
      <c r="AD304" s="1444"/>
      <c r="AE304" s="1444"/>
      <c r="AF304" s="1444"/>
      <c r="AG304" s="1444"/>
      <c r="AH304" s="1444"/>
      <c r="AI304" s="1444"/>
      <c r="AJ304" s="1444"/>
      <c r="AK304" s="1444"/>
    </row>
    <row r="305" spans="2:37" ht="12.95" customHeight="1">
      <c r="B305" s="3" t="s">
        <v>472</v>
      </c>
      <c r="C305" s="3"/>
      <c r="D305" s="3"/>
      <c r="E305" s="3"/>
      <c r="F305" s="3"/>
      <c r="H305" s="1444" t="s">
        <v>2766</v>
      </c>
      <c r="I305" s="1444"/>
      <c r="J305" s="1444"/>
      <c r="K305" s="1444"/>
      <c r="L305" s="1444"/>
      <c r="M305" s="1444"/>
      <c r="N305" s="1444"/>
      <c r="O305" s="1444"/>
      <c r="P305" s="1444"/>
      <c r="Q305" s="1444"/>
      <c r="R305" s="1444"/>
      <c r="T305" s="3" t="s">
        <v>75</v>
      </c>
      <c r="V305" s="3"/>
      <c r="W305" s="3"/>
      <c r="X305" s="3"/>
      <c r="Y305" s="3"/>
      <c r="AA305" s="1444" t="s">
        <v>2672</v>
      </c>
      <c r="AB305" s="1444"/>
      <c r="AC305" s="1444"/>
      <c r="AD305" s="1444"/>
      <c r="AE305" s="1444"/>
      <c r="AF305" s="1444"/>
      <c r="AG305" s="1444"/>
      <c r="AH305" s="1444"/>
      <c r="AI305" s="1444"/>
      <c r="AJ305" s="1444"/>
      <c r="AK305" s="1444"/>
    </row>
    <row r="306" spans="2:37" ht="12.95" customHeight="1">
      <c r="B306" s="3" t="s">
        <v>87</v>
      </c>
      <c r="C306" s="3"/>
      <c r="D306" s="3"/>
      <c r="E306" s="3"/>
      <c r="F306" s="3"/>
      <c r="H306" s="1444" t="s">
        <v>2664</v>
      </c>
      <c r="I306" s="1444"/>
      <c r="J306" s="1444"/>
      <c r="K306" s="1444"/>
      <c r="L306" s="1444"/>
      <c r="M306" s="1444"/>
      <c r="N306" s="1444"/>
      <c r="O306" s="1444"/>
      <c r="P306" s="1444"/>
      <c r="Q306" s="1444"/>
      <c r="R306" s="1444"/>
      <c r="T306" s="3" t="s">
        <v>87</v>
      </c>
      <c r="V306" s="3"/>
      <c r="W306" s="3"/>
      <c r="X306" s="3"/>
      <c r="Y306" s="3"/>
      <c r="AA306" s="1444" t="s">
        <v>2668</v>
      </c>
      <c r="AB306" s="1444"/>
      <c r="AC306" s="1444"/>
      <c r="AD306" s="1444"/>
      <c r="AE306" s="1444"/>
      <c r="AF306" s="1444"/>
      <c r="AG306" s="1444"/>
      <c r="AH306" s="1444"/>
      <c r="AI306" s="1444"/>
      <c r="AJ306" s="1444"/>
      <c r="AK306" s="1444"/>
    </row>
    <row r="307" spans="2:37" ht="12.95" customHeight="1">
      <c r="B307" s="3" t="s">
        <v>88</v>
      </c>
      <c r="C307" s="3"/>
      <c r="D307" s="3"/>
      <c r="E307" s="3"/>
      <c r="F307" s="3"/>
      <c r="G307" s="3"/>
      <c r="H307" s="1263" t="s">
        <v>2665</v>
      </c>
      <c r="I307" s="1261"/>
      <c r="J307" s="1261"/>
      <c r="K307" s="1261"/>
      <c r="L307" s="1261"/>
      <c r="M307" s="1261"/>
      <c r="N307" s="4" t="s">
        <v>206</v>
      </c>
      <c r="O307" s="4"/>
      <c r="P307" s="1409" t="s">
        <v>591</v>
      </c>
      <c r="Q307" s="1410"/>
      <c r="R307" s="1410"/>
      <c r="S307" s="3"/>
      <c r="T307" s="3" t="s">
        <v>88</v>
      </c>
      <c r="V307" s="3"/>
      <c r="W307" s="3"/>
      <c r="X307" s="3"/>
      <c r="Y307" s="3"/>
      <c r="AA307" s="1416" t="s">
        <v>2669</v>
      </c>
      <c r="AB307" s="1417"/>
      <c r="AC307" s="1417"/>
      <c r="AD307" s="1417"/>
      <c r="AE307" s="1417"/>
      <c r="AF307" s="1417"/>
      <c r="AG307" s="4" t="s">
        <v>206</v>
      </c>
      <c r="AH307" s="4"/>
      <c r="AI307" s="1410">
        <v>1005</v>
      </c>
      <c r="AJ307" s="1410"/>
      <c r="AK307" s="1410"/>
    </row>
    <row r="308" spans="2:37" ht="12.95" customHeight="1">
      <c r="B308" s="3" t="s">
        <v>89</v>
      </c>
      <c r="C308" s="3"/>
      <c r="D308" s="3"/>
      <c r="E308" s="3"/>
      <c r="F308" s="3"/>
      <c r="G308" s="3"/>
      <c r="H308" s="1442" t="s">
        <v>591</v>
      </c>
      <c r="I308" s="1443"/>
      <c r="J308" s="1443"/>
      <c r="K308" s="1443"/>
      <c r="L308" s="1443"/>
      <c r="M308" s="1443"/>
      <c r="N308" s="4"/>
      <c r="O308" s="4"/>
      <c r="P308" s="35"/>
      <c r="Q308" s="35"/>
      <c r="R308" s="35"/>
      <c r="S308" s="3"/>
      <c r="T308" s="3" t="s">
        <v>89</v>
      </c>
      <c r="V308" s="3"/>
      <c r="W308" s="3"/>
      <c r="X308" s="3"/>
      <c r="Y308" s="3"/>
      <c r="AA308" s="1442" t="s">
        <v>591</v>
      </c>
      <c r="AB308" s="1443"/>
      <c r="AC308" s="1443"/>
      <c r="AD308" s="1443"/>
      <c r="AE308" s="1443"/>
      <c r="AF308" s="1443"/>
      <c r="AG308" s="4"/>
      <c r="AH308" s="4"/>
      <c r="AI308" s="35"/>
      <c r="AJ308" s="35"/>
      <c r="AK308" s="35"/>
    </row>
    <row r="309" spans="2:37" ht="12.95" customHeight="1">
      <c r="B309" s="3" t="s">
        <v>76</v>
      </c>
      <c r="C309" s="3"/>
      <c r="D309" s="3"/>
      <c r="E309" s="3"/>
      <c r="F309" s="3"/>
      <c r="G309" s="3"/>
      <c r="H309" s="1444" t="s">
        <v>2666</v>
      </c>
      <c r="I309" s="1444"/>
      <c r="J309" s="1444"/>
      <c r="K309" s="1444"/>
      <c r="L309" s="1444"/>
      <c r="M309" s="1444"/>
      <c r="N309" s="1364"/>
      <c r="O309" s="1364"/>
      <c r="P309" s="1364"/>
      <c r="Q309" s="1364"/>
      <c r="R309" s="1364"/>
      <c r="S309" s="3"/>
      <c r="T309" s="3" t="s">
        <v>76</v>
      </c>
      <c r="V309" s="3"/>
      <c r="W309" s="3"/>
      <c r="X309" s="3"/>
      <c r="Y309" s="3"/>
      <c r="AA309" s="1444" t="s">
        <v>2670</v>
      </c>
      <c r="AB309" s="1444"/>
      <c r="AC309" s="1444"/>
      <c r="AD309" s="1444"/>
      <c r="AE309" s="1444"/>
      <c r="AF309" s="1444"/>
      <c r="AG309" s="1364"/>
      <c r="AH309" s="1364"/>
      <c r="AI309" s="1364"/>
      <c r="AJ309" s="1364"/>
      <c r="AK309" s="1364"/>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64" t="s">
        <v>2663</v>
      </c>
      <c r="I311" s="1364"/>
      <c r="J311" s="1364"/>
      <c r="K311" s="1364"/>
      <c r="L311" s="1364"/>
      <c r="M311" s="1364"/>
      <c r="N311" s="1364"/>
      <c r="O311" s="1364"/>
      <c r="P311" s="1364"/>
      <c r="Q311" s="1364"/>
      <c r="R311" s="1364"/>
      <c r="S311" s="3"/>
      <c r="T311" s="3" t="s">
        <v>365</v>
      </c>
      <c r="V311" s="3"/>
      <c r="W311" s="3"/>
      <c r="X311" s="3"/>
      <c r="Y311" s="3"/>
      <c r="AA311" s="1364" t="s">
        <v>2762</v>
      </c>
      <c r="AB311" s="1364"/>
      <c r="AC311" s="1364"/>
      <c r="AD311" s="1364"/>
      <c r="AE311" s="1364"/>
      <c r="AF311" s="1364"/>
      <c r="AG311" s="1364"/>
      <c r="AH311" s="1364"/>
      <c r="AI311" s="1364"/>
      <c r="AJ311" s="1364"/>
      <c r="AK311" s="1364"/>
    </row>
    <row r="312" spans="2:37" ht="12.95" customHeight="1">
      <c r="B312" s="3" t="s">
        <v>471</v>
      </c>
      <c r="C312" s="3"/>
      <c r="D312" s="3"/>
      <c r="E312" s="3"/>
      <c r="F312" s="3"/>
      <c r="H312" s="1444" t="s">
        <v>2765</v>
      </c>
      <c r="I312" s="1444"/>
      <c r="J312" s="1444"/>
      <c r="K312" s="1444"/>
      <c r="L312" s="1444"/>
      <c r="M312" s="1444"/>
      <c r="N312" s="1444"/>
      <c r="O312" s="1444"/>
      <c r="P312" s="1444"/>
      <c r="Q312" s="1444"/>
      <c r="R312" s="1444"/>
      <c r="S312" s="3"/>
      <c r="T312" s="3" t="s">
        <v>471</v>
      </c>
      <c r="V312" s="3"/>
      <c r="W312" s="3"/>
      <c r="X312" s="3"/>
      <c r="Y312" s="3"/>
      <c r="AA312" s="1444" t="s">
        <v>2758</v>
      </c>
      <c r="AB312" s="1444"/>
      <c r="AC312" s="1444"/>
      <c r="AD312" s="1444"/>
      <c r="AE312" s="1444"/>
      <c r="AF312" s="1444"/>
      <c r="AG312" s="1444"/>
      <c r="AH312" s="1444"/>
      <c r="AI312" s="1444"/>
      <c r="AJ312" s="1444"/>
      <c r="AK312" s="1444"/>
    </row>
    <row r="313" spans="2:37" ht="12.95" customHeight="1">
      <c r="B313" s="3" t="s">
        <v>472</v>
      </c>
      <c r="C313" s="3"/>
      <c r="D313" s="3"/>
      <c r="E313" s="3"/>
      <c r="F313" s="3"/>
      <c r="H313" s="1444" t="s">
        <v>2766</v>
      </c>
      <c r="I313" s="1444"/>
      <c r="J313" s="1444"/>
      <c r="K313" s="1444"/>
      <c r="L313" s="1444"/>
      <c r="M313" s="1444"/>
      <c r="N313" s="1444"/>
      <c r="O313" s="1444"/>
      <c r="P313" s="1444"/>
      <c r="Q313" s="1444"/>
      <c r="R313" s="1444"/>
      <c r="S313" s="3"/>
      <c r="T313" s="3" t="s">
        <v>75</v>
      </c>
      <c r="V313" s="3"/>
      <c r="W313" s="3"/>
      <c r="X313" s="3"/>
      <c r="Y313" s="3"/>
      <c r="AA313" s="1444" t="s">
        <v>2763</v>
      </c>
      <c r="AB313" s="1444"/>
      <c r="AC313" s="1444"/>
      <c r="AD313" s="1444"/>
      <c r="AE313" s="1444"/>
      <c r="AF313" s="1444"/>
      <c r="AG313" s="1444"/>
      <c r="AH313" s="1444"/>
      <c r="AI313" s="1444"/>
      <c r="AJ313" s="1444"/>
      <c r="AK313" s="1444"/>
    </row>
    <row r="314" spans="2:37" ht="12.95" customHeight="1">
      <c r="B314" s="3" t="s">
        <v>87</v>
      </c>
      <c r="C314" s="3"/>
      <c r="D314" s="3"/>
      <c r="E314" s="3"/>
      <c r="F314" s="3"/>
      <c r="H314" s="1444" t="s">
        <v>2664</v>
      </c>
      <c r="I314" s="1444"/>
      <c r="J314" s="1444"/>
      <c r="K314" s="1444"/>
      <c r="L314" s="1444"/>
      <c r="M314" s="1444"/>
      <c r="N314" s="1444"/>
      <c r="O314" s="1444"/>
      <c r="P314" s="1444"/>
      <c r="Q314" s="1444"/>
      <c r="R314" s="1444"/>
      <c r="S314" s="3"/>
      <c r="T314" s="3" t="s">
        <v>87</v>
      </c>
      <c r="V314" s="3"/>
      <c r="W314" s="3"/>
      <c r="X314" s="3"/>
      <c r="Y314" s="3"/>
      <c r="AA314" s="1444" t="s">
        <v>2760</v>
      </c>
      <c r="AB314" s="1444"/>
      <c r="AC314" s="1444"/>
      <c r="AD314" s="1444"/>
      <c r="AE314" s="1444"/>
      <c r="AF314" s="1444"/>
      <c r="AG314" s="1444"/>
      <c r="AH314" s="1444"/>
      <c r="AI314" s="1444"/>
      <c r="AJ314" s="1444"/>
      <c r="AK314" s="1444"/>
    </row>
    <row r="315" spans="2:37" ht="12.95" customHeight="1">
      <c r="B315" s="3" t="s">
        <v>88</v>
      </c>
      <c r="C315" s="3"/>
      <c r="D315" s="3"/>
      <c r="E315" s="3"/>
      <c r="F315" s="3"/>
      <c r="G315" s="3"/>
      <c r="H315" s="1417" t="s">
        <v>2665</v>
      </c>
      <c r="I315" s="1417"/>
      <c r="J315" s="1417"/>
      <c r="K315" s="1417"/>
      <c r="L315" s="1417"/>
      <c r="M315" s="1417"/>
      <c r="N315" s="4" t="s">
        <v>206</v>
      </c>
      <c r="O315" s="4"/>
      <c r="P315" s="1410" t="s">
        <v>591</v>
      </c>
      <c r="Q315" s="1410"/>
      <c r="R315" s="1410"/>
      <c r="S315" s="3"/>
      <c r="T315" s="3" t="s">
        <v>88</v>
      </c>
      <c r="V315" s="3"/>
      <c r="W315" s="3"/>
      <c r="X315" s="3"/>
      <c r="Y315" s="3"/>
      <c r="AA315" s="1416" t="s">
        <v>2761</v>
      </c>
      <c r="AB315" s="1417"/>
      <c r="AC315" s="1417"/>
      <c r="AD315" s="1417"/>
      <c r="AE315" s="1417"/>
      <c r="AF315" s="1417"/>
      <c r="AG315" s="4" t="s">
        <v>206</v>
      </c>
      <c r="AH315" s="4"/>
      <c r="AI315" s="1409" t="s">
        <v>591</v>
      </c>
      <c r="AJ315" s="1410"/>
      <c r="AK315" s="1410"/>
    </row>
    <row r="316" spans="2:37" ht="12.95" customHeight="1">
      <c r="B316" s="3" t="s">
        <v>89</v>
      </c>
      <c r="C316" s="3"/>
      <c r="D316" s="3"/>
      <c r="E316" s="3"/>
      <c r="F316" s="3"/>
      <c r="G316" s="3"/>
      <c r="H316" s="1443" t="s">
        <v>591</v>
      </c>
      <c r="I316" s="1443"/>
      <c r="J316" s="1443"/>
      <c r="K316" s="1443"/>
      <c r="L316" s="1443"/>
      <c r="M316" s="1443"/>
      <c r="N316" s="4"/>
      <c r="O316" s="4"/>
      <c r="P316" s="35"/>
      <c r="Q316" s="35"/>
      <c r="R316" s="35"/>
      <c r="S316" s="3"/>
      <c r="T316" s="3" t="s">
        <v>89</v>
      </c>
      <c r="V316" s="3"/>
      <c r="W316" s="3"/>
      <c r="X316" s="3"/>
      <c r="Y316" s="3"/>
      <c r="AA316" s="1442" t="s">
        <v>591</v>
      </c>
      <c r="AB316" s="1443"/>
      <c r="AC316" s="1443"/>
      <c r="AD316" s="1443"/>
      <c r="AE316" s="1443"/>
      <c r="AF316" s="1443"/>
      <c r="AG316" s="4"/>
      <c r="AH316" s="4"/>
      <c r="AI316" s="35"/>
      <c r="AJ316" s="35"/>
      <c r="AK316" s="35"/>
    </row>
    <row r="317" spans="2:37" ht="12.95" customHeight="1">
      <c r="B317" s="3" t="s">
        <v>76</v>
      </c>
      <c r="C317" s="3"/>
      <c r="D317" s="3"/>
      <c r="E317" s="3"/>
      <c r="F317" s="3"/>
      <c r="G317" s="3"/>
      <c r="H317" s="1444" t="s">
        <v>2666</v>
      </c>
      <c r="I317" s="1444"/>
      <c r="J317" s="1444"/>
      <c r="K317" s="1444"/>
      <c r="L317" s="1444"/>
      <c r="M317" s="1444"/>
      <c r="N317" s="1364"/>
      <c r="O317" s="1364"/>
      <c r="P317" s="1364"/>
      <c r="Q317" s="1364"/>
      <c r="R317" s="1364"/>
      <c r="S317" s="3"/>
      <c r="T317" s="3" t="s">
        <v>76</v>
      </c>
      <c r="V317" s="3"/>
      <c r="W317" s="3"/>
      <c r="X317" s="3"/>
      <c r="Y317" s="3"/>
      <c r="AA317" s="1444" t="s">
        <v>2764</v>
      </c>
      <c r="AB317" s="1444"/>
      <c r="AC317" s="1444"/>
      <c r="AD317" s="1444"/>
      <c r="AE317" s="1444"/>
      <c r="AF317" s="1444"/>
      <c r="AG317" s="1364"/>
      <c r="AH317" s="1364"/>
      <c r="AI317" s="1364"/>
      <c r="AJ317" s="1364"/>
      <c r="AK317" s="1364"/>
    </row>
    <row r="318" spans="2:37" ht="12.95" customHeight="1"/>
    <row r="319" spans="2:37" ht="12.95" customHeight="1">
      <c r="B319" s="4" t="s">
        <v>908</v>
      </c>
      <c r="C319" s="3"/>
      <c r="D319" s="3"/>
      <c r="E319" s="3"/>
      <c r="F319" s="3"/>
      <c r="H319" s="1364" t="s">
        <v>591</v>
      </c>
      <c r="I319" s="1364"/>
      <c r="J319" s="1364"/>
      <c r="K319" s="1364"/>
      <c r="L319" s="1364"/>
      <c r="M319" s="1364"/>
      <c r="N319" s="1364"/>
      <c r="O319" s="1364"/>
      <c r="P319" s="1364"/>
      <c r="Q319" s="1364"/>
      <c r="R319" s="1364"/>
      <c r="T319" s="3" t="s">
        <v>366</v>
      </c>
      <c r="V319" s="3"/>
      <c r="W319" s="3"/>
      <c r="X319" s="3"/>
      <c r="Y319" s="3"/>
      <c r="AA319" s="1364" t="s">
        <v>2680</v>
      </c>
      <c r="AB319" s="1364"/>
      <c r="AC319" s="1364"/>
      <c r="AD319" s="1364"/>
      <c r="AE319" s="1364"/>
      <c r="AF319" s="1364"/>
      <c r="AG319" s="1364"/>
      <c r="AH319" s="1364"/>
      <c r="AI319" s="1364"/>
      <c r="AJ319" s="1364"/>
      <c r="AK319" s="1364"/>
    </row>
    <row r="320" spans="2:37" ht="12.95" customHeight="1">
      <c r="B320" s="3" t="s">
        <v>471</v>
      </c>
      <c r="C320" s="3"/>
      <c r="D320" s="3"/>
      <c r="E320" s="3"/>
      <c r="F320" s="3"/>
      <c r="H320" s="1444" t="s">
        <v>591</v>
      </c>
      <c r="I320" s="1444"/>
      <c r="J320" s="1444"/>
      <c r="K320" s="1444"/>
      <c r="L320" s="1444"/>
      <c r="M320" s="1444"/>
      <c r="N320" s="1444"/>
      <c r="O320" s="1444"/>
      <c r="P320" s="1444"/>
      <c r="Q320" s="1444"/>
      <c r="R320" s="1444"/>
      <c r="T320" s="3" t="s">
        <v>471</v>
      </c>
      <c r="V320" s="3"/>
      <c r="W320" s="3"/>
      <c r="X320" s="3"/>
      <c r="Y320" s="3"/>
      <c r="AA320" s="1444" t="s">
        <v>2681</v>
      </c>
      <c r="AB320" s="1444"/>
      <c r="AC320" s="1444"/>
      <c r="AD320" s="1444"/>
      <c r="AE320" s="1444"/>
      <c r="AF320" s="1444"/>
      <c r="AG320" s="1444"/>
      <c r="AH320" s="1444"/>
      <c r="AI320" s="1444"/>
      <c r="AJ320" s="1444"/>
      <c r="AK320" s="1444"/>
    </row>
    <row r="321" spans="2:37" ht="12.95" customHeight="1">
      <c r="B321" s="3" t="s">
        <v>472</v>
      </c>
      <c r="C321" s="3"/>
      <c r="D321" s="3"/>
      <c r="E321" s="3"/>
      <c r="F321" s="3"/>
      <c r="H321" s="1444" t="s">
        <v>591</v>
      </c>
      <c r="I321" s="1444"/>
      <c r="J321" s="1444"/>
      <c r="K321" s="1444"/>
      <c r="L321" s="1444"/>
      <c r="M321" s="1444"/>
      <c r="N321" s="1444"/>
      <c r="O321" s="1444"/>
      <c r="P321" s="1444"/>
      <c r="Q321" s="1444"/>
      <c r="R321" s="1444"/>
      <c r="T321" s="3" t="s">
        <v>75</v>
      </c>
      <c r="V321" s="3"/>
      <c r="W321" s="3"/>
      <c r="X321" s="3"/>
      <c r="Y321" s="3"/>
      <c r="AA321" s="1444" t="s">
        <v>2682</v>
      </c>
      <c r="AB321" s="1444"/>
      <c r="AC321" s="1444"/>
      <c r="AD321" s="1444"/>
      <c r="AE321" s="1444"/>
      <c r="AF321" s="1444"/>
      <c r="AG321" s="1444"/>
      <c r="AH321" s="1444"/>
      <c r="AI321" s="1444"/>
      <c r="AJ321" s="1444"/>
      <c r="AK321" s="1444"/>
    </row>
    <row r="322" spans="2:37" ht="12.95" customHeight="1">
      <c r="B322" s="3" t="s">
        <v>87</v>
      </c>
      <c r="C322" s="3"/>
      <c r="D322" s="3"/>
      <c r="E322" s="3"/>
      <c r="F322" s="3"/>
      <c r="H322" s="1444" t="s">
        <v>591</v>
      </c>
      <c r="I322" s="1444"/>
      <c r="J322" s="1444"/>
      <c r="K322" s="1444"/>
      <c r="L322" s="1444"/>
      <c r="M322" s="1444"/>
      <c r="N322" s="1444"/>
      <c r="O322" s="1444"/>
      <c r="P322" s="1444"/>
      <c r="Q322" s="1444"/>
      <c r="R322" s="1444"/>
      <c r="T322" s="3" t="s">
        <v>87</v>
      </c>
      <c r="V322" s="3"/>
      <c r="W322" s="3"/>
      <c r="X322" s="3"/>
      <c r="Y322" s="3"/>
      <c r="AA322" s="1444" t="s">
        <v>2683</v>
      </c>
      <c r="AB322" s="1444"/>
      <c r="AC322" s="1444"/>
      <c r="AD322" s="1444"/>
      <c r="AE322" s="1444"/>
      <c r="AF322" s="1444"/>
      <c r="AG322" s="1444"/>
      <c r="AH322" s="1444"/>
      <c r="AI322" s="1444"/>
      <c r="AJ322" s="1444"/>
      <c r="AK322" s="1444"/>
    </row>
    <row r="323" spans="2:37" ht="12.95" customHeight="1">
      <c r="B323" s="3" t="s">
        <v>88</v>
      </c>
      <c r="C323" s="3"/>
      <c r="D323" s="3"/>
      <c r="E323" s="3"/>
      <c r="F323" s="3"/>
      <c r="G323" s="3"/>
      <c r="H323" s="1417" t="s">
        <v>591</v>
      </c>
      <c r="I323" s="1417"/>
      <c r="J323" s="1417"/>
      <c r="K323" s="1417"/>
      <c r="L323" s="1417"/>
      <c r="M323" s="1417"/>
      <c r="N323" s="4" t="s">
        <v>206</v>
      </c>
      <c r="O323" s="4"/>
      <c r="P323" s="1410" t="s">
        <v>591</v>
      </c>
      <c r="Q323" s="1410"/>
      <c r="R323" s="1410"/>
      <c r="S323" s="3"/>
      <c r="T323" s="3" t="s">
        <v>88</v>
      </c>
      <c r="V323" s="3"/>
      <c r="W323" s="3"/>
      <c r="X323" s="3"/>
      <c r="Y323" s="3"/>
      <c r="AA323" s="1416" t="s">
        <v>2684</v>
      </c>
      <c r="AB323" s="1417"/>
      <c r="AC323" s="1417"/>
      <c r="AD323" s="1417"/>
      <c r="AE323" s="1417"/>
      <c r="AF323" s="1417"/>
      <c r="AG323" s="4" t="s">
        <v>206</v>
      </c>
      <c r="AH323" s="4"/>
      <c r="AI323" s="1409" t="s">
        <v>591</v>
      </c>
      <c r="AJ323" s="1410"/>
      <c r="AK323" s="1410"/>
    </row>
    <row r="324" spans="2:37" ht="12.95" customHeight="1">
      <c r="B324" s="3" t="s">
        <v>89</v>
      </c>
      <c r="C324" s="3"/>
      <c r="D324" s="3"/>
      <c r="E324" s="3"/>
      <c r="F324" s="3"/>
      <c r="G324" s="3"/>
      <c r="H324" s="1443" t="s">
        <v>591</v>
      </c>
      <c r="I324" s="1443"/>
      <c r="J324" s="1443"/>
      <c r="K324" s="1443"/>
      <c r="L324" s="1443"/>
      <c r="M324" s="1443"/>
      <c r="N324" s="4"/>
      <c r="O324" s="4"/>
      <c r="P324" s="35"/>
      <c r="Q324" s="35"/>
      <c r="R324" s="35"/>
      <c r="S324" s="3"/>
      <c r="T324" s="3" t="s">
        <v>89</v>
      </c>
      <c r="V324" s="3"/>
      <c r="W324" s="3"/>
      <c r="X324" s="3"/>
      <c r="Y324" s="3"/>
      <c r="AA324" s="1442" t="s">
        <v>2685</v>
      </c>
      <c r="AB324" s="1443"/>
      <c r="AC324" s="1443"/>
      <c r="AD324" s="1443"/>
      <c r="AE324" s="1443"/>
      <c r="AF324" s="1443"/>
      <c r="AG324" s="4"/>
      <c r="AH324" s="4"/>
      <c r="AI324" s="35"/>
      <c r="AJ324" s="35"/>
      <c r="AK324" s="35"/>
    </row>
    <row r="325" spans="2:37" ht="12.95" customHeight="1">
      <c r="B325" s="3" t="s">
        <v>76</v>
      </c>
      <c r="C325" s="3"/>
      <c r="D325" s="3"/>
      <c r="E325" s="3"/>
      <c r="F325" s="3"/>
      <c r="G325" s="3"/>
      <c r="H325" s="1444" t="s">
        <v>591</v>
      </c>
      <c r="I325" s="1444"/>
      <c r="J325" s="1444"/>
      <c r="K325" s="1444"/>
      <c r="L325" s="1444"/>
      <c r="M325" s="1444"/>
      <c r="N325" s="1364"/>
      <c r="O325" s="1364"/>
      <c r="P325" s="1364"/>
      <c r="Q325" s="1364"/>
      <c r="R325" s="1364"/>
      <c r="S325" s="3"/>
      <c r="T325" s="3" t="s">
        <v>76</v>
      </c>
      <c r="V325" s="3"/>
      <c r="W325" s="3"/>
      <c r="X325" s="3"/>
      <c r="Y325" s="3"/>
      <c r="AA325" s="1444" t="s">
        <v>2686</v>
      </c>
      <c r="AB325" s="1444"/>
      <c r="AC325" s="1444"/>
      <c r="AD325" s="1444"/>
      <c r="AE325" s="1444"/>
      <c r="AF325" s="1444"/>
      <c r="AG325" s="1364"/>
      <c r="AH325" s="1364"/>
      <c r="AI325" s="1364"/>
      <c r="AJ325" s="1364"/>
      <c r="AK325" s="1364"/>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262" t="s">
        <v>2674</v>
      </c>
      <c r="I327" s="1262"/>
      <c r="J327" s="1262"/>
      <c r="K327" s="1262"/>
      <c r="L327" s="1262"/>
      <c r="M327" s="1262"/>
      <c r="N327" s="1262"/>
      <c r="O327" s="1262"/>
      <c r="P327" s="1262"/>
      <c r="Q327" s="1262"/>
      <c r="R327" s="1262"/>
      <c r="T327" s="3" t="s">
        <v>368</v>
      </c>
      <c r="V327" s="3"/>
      <c r="W327" s="3"/>
      <c r="X327" s="3"/>
      <c r="Y327" s="3"/>
      <c r="AA327" s="1364" t="s">
        <v>591</v>
      </c>
      <c r="AB327" s="1364"/>
      <c r="AC327" s="1364"/>
      <c r="AD327" s="1364"/>
      <c r="AE327" s="1364"/>
      <c r="AF327" s="1364"/>
      <c r="AG327" s="1364"/>
      <c r="AH327" s="1364"/>
      <c r="AI327" s="1364"/>
      <c r="AJ327" s="1364"/>
      <c r="AK327" s="1364"/>
    </row>
    <row r="328" spans="2:37" ht="12.95" customHeight="1">
      <c r="B328" s="3" t="s">
        <v>471</v>
      </c>
      <c r="C328" s="3"/>
      <c r="D328" s="3"/>
      <c r="E328" s="3"/>
      <c r="F328" s="3"/>
      <c r="H328" s="1444" t="s">
        <v>2675</v>
      </c>
      <c r="I328" s="1444"/>
      <c r="J328" s="1444"/>
      <c r="K328" s="1444"/>
      <c r="L328" s="1444"/>
      <c r="M328" s="1444"/>
      <c r="N328" s="1444"/>
      <c r="O328" s="1444"/>
      <c r="P328" s="1444"/>
      <c r="Q328" s="1444"/>
      <c r="R328" s="1444"/>
      <c r="T328" s="3" t="s">
        <v>471</v>
      </c>
      <c r="V328" s="3"/>
      <c r="W328" s="3"/>
      <c r="X328" s="3"/>
      <c r="Y328" s="3"/>
      <c r="AA328" s="1444" t="s">
        <v>591</v>
      </c>
      <c r="AB328" s="1444"/>
      <c r="AC328" s="1444"/>
      <c r="AD328" s="1444"/>
      <c r="AE328" s="1444"/>
      <c r="AF328" s="1444"/>
      <c r="AG328" s="1444"/>
      <c r="AH328" s="1444"/>
      <c r="AI328" s="1444"/>
      <c r="AJ328" s="1444"/>
      <c r="AK328" s="1444"/>
    </row>
    <row r="329" spans="2:37" ht="12.95" customHeight="1">
      <c r="B329" s="3" t="s">
        <v>472</v>
      </c>
      <c r="C329" s="3"/>
      <c r="D329" s="3"/>
      <c r="E329" s="3"/>
      <c r="F329" s="3"/>
      <c r="H329" s="1444" t="s">
        <v>2676</v>
      </c>
      <c r="I329" s="1444"/>
      <c r="J329" s="1444"/>
      <c r="K329" s="1444"/>
      <c r="L329" s="1444"/>
      <c r="M329" s="1444"/>
      <c r="N329" s="1444"/>
      <c r="O329" s="1444"/>
      <c r="P329" s="1444"/>
      <c r="Q329" s="1444"/>
      <c r="R329" s="1444"/>
      <c r="T329" s="3" t="s">
        <v>75</v>
      </c>
      <c r="V329" s="3"/>
      <c r="W329" s="3"/>
      <c r="X329" s="3"/>
      <c r="Y329" s="3"/>
      <c r="AA329" s="1444" t="s">
        <v>591</v>
      </c>
      <c r="AB329" s="1444"/>
      <c r="AC329" s="1444"/>
      <c r="AD329" s="1444"/>
      <c r="AE329" s="1444"/>
      <c r="AF329" s="1444"/>
      <c r="AG329" s="1444"/>
      <c r="AH329" s="1444"/>
      <c r="AI329" s="1444"/>
      <c r="AJ329" s="1444"/>
      <c r="AK329" s="1444"/>
    </row>
    <row r="330" spans="2:37" ht="12.95" customHeight="1">
      <c r="B330" s="3" t="s">
        <v>87</v>
      </c>
      <c r="C330" s="3"/>
      <c r="D330" s="3"/>
      <c r="E330" s="3"/>
      <c r="F330" s="3"/>
      <c r="H330" s="1444" t="s">
        <v>2677</v>
      </c>
      <c r="I330" s="1444"/>
      <c r="J330" s="1444"/>
      <c r="K330" s="1444"/>
      <c r="L330" s="1444"/>
      <c r="M330" s="1444"/>
      <c r="N330" s="1444"/>
      <c r="O330" s="1444"/>
      <c r="P330" s="1444"/>
      <c r="Q330" s="1444"/>
      <c r="R330" s="1444"/>
      <c r="T330" s="3" t="s">
        <v>87</v>
      </c>
      <c r="V330" s="3"/>
      <c r="W330" s="3"/>
      <c r="X330" s="3"/>
      <c r="Y330" s="3"/>
      <c r="AA330" s="1444" t="s">
        <v>591</v>
      </c>
      <c r="AB330" s="1444"/>
      <c r="AC330" s="1444"/>
      <c r="AD330" s="1444"/>
      <c r="AE330" s="1444"/>
      <c r="AF330" s="1444"/>
      <c r="AG330" s="1444"/>
      <c r="AH330" s="1444"/>
      <c r="AI330" s="1444"/>
      <c r="AJ330" s="1444"/>
      <c r="AK330" s="1444"/>
    </row>
    <row r="331" spans="2:37" ht="12.95" customHeight="1">
      <c r="B331" s="3" t="s">
        <v>88</v>
      </c>
      <c r="C331" s="3"/>
      <c r="D331" s="3"/>
      <c r="E331" s="3"/>
      <c r="F331" s="3"/>
      <c r="G331" s="3"/>
      <c r="H331" s="1416" t="s">
        <v>2678</v>
      </c>
      <c r="I331" s="1417"/>
      <c r="J331" s="1417"/>
      <c r="K331" s="1417"/>
      <c r="L331" s="1417"/>
      <c r="M331" s="1417"/>
      <c r="N331" s="4" t="s">
        <v>206</v>
      </c>
      <c r="O331" s="4"/>
      <c r="P331" s="1409" t="s">
        <v>591</v>
      </c>
      <c r="Q331" s="1410"/>
      <c r="R331" s="1410"/>
      <c r="S331" s="3"/>
      <c r="T331" s="3" t="s">
        <v>88</v>
      </c>
      <c r="V331" s="3"/>
      <c r="W331" s="3"/>
      <c r="X331" s="3"/>
      <c r="Y331" s="3"/>
      <c r="AA331" s="1417" t="s">
        <v>591</v>
      </c>
      <c r="AB331" s="1417"/>
      <c r="AC331" s="1417"/>
      <c r="AD331" s="1417"/>
      <c r="AE331" s="1417"/>
      <c r="AF331" s="1417"/>
      <c r="AG331" s="4" t="s">
        <v>206</v>
      </c>
      <c r="AH331" s="4"/>
      <c r="AI331" s="1410" t="s">
        <v>591</v>
      </c>
      <c r="AJ331" s="1410"/>
      <c r="AK331" s="1410"/>
    </row>
    <row r="332" spans="2:37" ht="12.95" customHeight="1">
      <c r="B332" s="3" t="s">
        <v>89</v>
      </c>
      <c r="C332" s="3"/>
      <c r="D332" s="3"/>
      <c r="E332" s="3"/>
      <c r="F332" s="3"/>
      <c r="G332" s="3"/>
      <c r="H332" s="1442" t="s">
        <v>591</v>
      </c>
      <c r="I332" s="1443"/>
      <c r="J332" s="1443"/>
      <c r="K332" s="1443"/>
      <c r="L332" s="1443"/>
      <c r="M332" s="1443"/>
      <c r="N332" s="4"/>
      <c r="O332" s="4"/>
      <c r="P332" s="35"/>
      <c r="Q332" s="35"/>
      <c r="R332" s="35"/>
      <c r="S332" s="3"/>
      <c r="T332" s="3" t="s">
        <v>89</v>
      </c>
      <c r="V332" s="3"/>
      <c r="W332" s="3"/>
      <c r="X332" s="3"/>
      <c r="Y332" s="3"/>
      <c r="AA332" s="1443" t="s">
        <v>591</v>
      </c>
      <c r="AB332" s="1443"/>
      <c r="AC332" s="1443"/>
      <c r="AD332" s="1443"/>
      <c r="AE332" s="1443"/>
      <c r="AF332" s="1443"/>
      <c r="AG332" s="4"/>
      <c r="AH332" s="4"/>
      <c r="AI332" s="35"/>
      <c r="AJ332" s="35"/>
      <c r="AK332" s="35"/>
    </row>
    <row r="333" spans="2:37" ht="12.95" customHeight="1">
      <c r="B333" s="3" t="s">
        <v>76</v>
      </c>
      <c r="C333" s="3"/>
      <c r="D333" s="3"/>
      <c r="E333" s="3"/>
      <c r="F333" s="3"/>
      <c r="G333" s="3"/>
      <c r="H333" s="1444" t="s">
        <v>2679</v>
      </c>
      <c r="I333" s="1444"/>
      <c r="J333" s="1444"/>
      <c r="K333" s="1444"/>
      <c r="L333" s="1444"/>
      <c r="M333" s="1444"/>
      <c r="N333" s="1364"/>
      <c r="O333" s="1364"/>
      <c r="P333" s="1364"/>
      <c r="Q333" s="1364"/>
      <c r="R333" s="1364"/>
      <c r="S333" s="3"/>
      <c r="T333" s="3" t="s">
        <v>76</v>
      </c>
      <c r="V333" s="3"/>
      <c r="W333" s="3"/>
      <c r="X333" s="3"/>
      <c r="Y333" s="3"/>
      <c r="AA333" s="1444" t="s">
        <v>591</v>
      </c>
      <c r="AB333" s="1444"/>
      <c r="AC333" s="1444"/>
      <c r="AD333" s="1444"/>
      <c r="AE333" s="1444"/>
      <c r="AF333" s="1444"/>
      <c r="AG333" s="1364"/>
      <c r="AH333" s="1364"/>
      <c r="AI333" s="1364"/>
      <c r="AJ333" s="1364"/>
      <c r="AK333" s="1364"/>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64" t="s">
        <v>2614</v>
      </c>
      <c r="I335" s="1364"/>
      <c r="J335" s="1364"/>
      <c r="K335" s="1364"/>
      <c r="L335" s="1364"/>
      <c r="M335" s="1364"/>
      <c r="N335" s="1364"/>
      <c r="O335" s="1364"/>
      <c r="P335" s="1364"/>
      <c r="Q335" s="1364"/>
      <c r="R335" s="1364"/>
      <c r="T335" s="204" t="s">
        <v>886</v>
      </c>
      <c r="V335" s="3"/>
      <c r="W335" s="3"/>
      <c r="X335" s="3"/>
      <c r="Y335" s="3"/>
      <c r="AA335" s="1364" t="s">
        <v>2687</v>
      </c>
      <c r="AB335" s="1364"/>
      <c r="AC335" s="1364"/>
      <c r="AD335" s="1364"/>
      <c r="AE335" s="1364"/>
      <c r="AF335" s="1364"/>
      <c r="AG335" s="1364"/>
      <c r="AH335" s="1364"/>
      <c r="AI335" s="1364"/>
      <c r="AJ335" s="1364"/>
      <c r="AK335" s="1364"/>
    </row>
    <row r="336" spans="2:37" ht="12.95" customHeight="1">
      <c r="B336" s="3" t="s">
        <v>471</v>
      </c>
      <c r="C336" s="3"/>
      <c r="D336" s="3"/>
      <c r="E336" s="3"/>
      <c r="F336" s="3"/>
      <c r="H336" s="1444" t="s">
        <v>2690</v>
      </c>
      <c r="I336" s="1444"/>
      <c r="J336" s="1444"/>
      <c r="K336" s="1444"/>
      <c r="L336" s="1444"/>
      <c r="M336" s="1444"/>
      <c r="N336" s="1444"/>
      <c r="O336" s="1444"/>
      <c r="P336" s="1444"/>
      <c r="Q336" s="1444"/>
      <c r="R336" s="1444"/>
      <c r="T336" s="3" t="s">
        <v>471</v>
      </c>
      <c r="V336" s="3"/>
      <c r="W336" s="3"/>
      <c r="X336" s="3"/>
      <c r="Y336" s="3"/>
      <c r="AA336" s="1444" t="s">
        <v>2693</v>
      </c>
      <c r="AB336" s="1444"/>
      <c r="AC336" s="1444"/>
      <c r="AD336" s="1444"/>
      <c r="AE336" s="1444"/>
      <c r="AF336" s="1444"/>
      <c r="AG336" s="1444"/>
      <c r="AH336" s="1444"/>
      <c r="AI336" s="1444"/>
      <c r="AJ336" s="1444"/>
      <c r="AK336" s="1444"/>
    </row>
    <row r="337" spans="1:66" ht="12.95" customHeight="1">
      <c r="B337" s="3" t="s">
        <v>75</v>
      </c>
      <c r="C337" s="3"/>
      <c r="D337" s="3"/>
      <c r="E337" s="3"/>
      <c r="F337" s="3"/>
      <c r="H337" s="1444" t="s">
        <v>2688</v>
      </c>
      <c r="I337" s="1444"/>
      <c r="J337" s="1444"/>
      <c r="K337" s="1444"/>
      <c r="L337" s="1444"/>
      <c r="M337" s="1444"/>
      <c r="N337" s="1444"/>
      <c r="O337" s="1444"/>
      <c r="P337" s="1444"/>
      <c r="Q337" s="1444"/>
      <c r="R337" s="1444"/>
      <c r="T337" s="3" t="s">
        <v>75</v>
      </c>
      <c r="V337" s="3"/>
      <c r="W337" s="3"/>
      <c r="X337" s="3"/>
      <c r="Y337" s="3"/>
      <c r="AA337" s="1444" t="s">
        <v>2694</v>
      </c>
      <c r="AB337" s="1444"/>
      <c r="AC337" s="1444"/>
      <c r="AD337" s="1444"/>
      <c r="AE337" s="1444"/>
      <c r="AF337" s="1444"/>
      <c r="AG337" s="1444"/>
      <c r="AH337" s="1444"/>
      <c r="AI337" s="1444"/>
      <c r="AJ337" s="1444"/>
      <c r="AK337" s="1444"/>
    </row>
    <row r="338" spans="1:66" ht="12.95" customHeight="1">
      <c r="B338" s="3" t="s">
        <v>87</v>
      </c>
      <c r="C338" s="3"/>
      <c r="D338" s="3"/>
      <c r="E338" s="3"/>
      <c r="F338" s="3"/>
      <c r="G338" s="3"/>
      <c r="H338" s="1444" t="s">
        <v>2689</v>
      </c>
      <c r="I338" s="1444"/>
      <c r="J338" s="1444"/>
      <c r="K338" s="1444"/>
      <c r="L338" s="1444"/>
      <c r="M338" s="1444"/>
      <c r="N338" s="1444"/>
      <c r="O338" s="1444"/>
      <c r="P338" s="1444"/>
      <c r="Q338" s="1444"/>
      <c r="R338" s="1444"/>
      <c r="T338" s="3" t="s">
        <v>87</v>
      </c>
      <c r="V338" s="3"/>
      <c r="W338" s="3"/>
      <c r="X338" s="3"/>
      <c r="Y338" s="3"/>
      <c r="AA338" s="1444" t="s">
        <v>2695</v>
      </c>
      <c r="AB338" s="1444"/>
      <c r="AC338" s="1444"/>
      <c r="AD338" s="1444"/>
      <c r="AE338" s="1444"/>
      <c r="AF338" s="1444"/>
      <c r="AG338" s="1444"/>
      <c r="AH338" s="1444"/>
      <c r="AI338" s="1444"/>
      <c r="AJ338" s="1444"/>
      <c r="AK338" s="1444"/>
    </row>
    <row r="339" spans="1:66" ht="12.95" customHeight="1">
      <c r="B339" s="3" t="s">
        <v>88</v>
      </c>
      <c r="C339" s="3"/>
      <c r="D339" s="3"/>
      <c r="E339" s="3"/>
      <c r="F339" s="3"/>
      <c r="G339" s="3"/>
      <c r="H339" s="1416" t="s">
        <v>2691</v>
      </c>
      <c r="I339" s="1417"/>
      <c r="J339" s="1417"/>
      <c r="K339" s="1417"/>
      <c r="L339" s="1417"/>
      <c r="M339" s="1417"/>
      <c r="N339" s="4" t="s">
        <v>206</v>
      </c>
      <c r="O339" s="4"/>
      <c r="P339" s="1409" t="s">
        <v>591</v>
      </c>
      <c r="Q339" s="1410"/>
      <c r="R339" s="1410"/>
      <c r="S339" s="3"/>
      <c r="T339" s="3" t="s">
        <v>88</v>
      </c>
      <c r="V339" s="3"/>
      <c r="W339" s="3"/>
      <c r="X339" s="3"/>
      <c r="Y339" s="3"/>
      <c r="AA339" s="1416" t="s">
        <v>2696</v>
      </c>
      <c r="AB339" s="1417"/>
      <c r="AC339" s="1417"/>
      <c r="AD339" s="1417"/>
      <c r="AE339" s="1417"/>
      <c r="AF339" s="1417"/>
      <c r="AG339" s="4" t="s">
        <v>206</v>
      </c>
      <c r="AH339" s="4"/>
      <c r="AI339" s="1409" t="s">
        <v>591</v>
      </c>
      <c r="AJ339" s="1410"/>
      <c r="AK339" s="1410"/>
    </row>
    <row r="340" spans="1:66" ht="12.95" customHeight="1">
      <c r="B340" s="3" t="s">
        <v>89</v>
      </c>
      <c r="C340" s="3"/>
      <c r="D340" s="3"/>
      <c r="E340" s="3"/>
      <c r="F340" s="3"/>
      <c r="G340" s="3"/>
      <c r="H340" s="1442" t="s">
        <v>591</v>
      </c>
      <c r="I340" s="1443"/>
      <c r="J340" s="1443"/>
      <c r="K340" s="1443"/>
      <c r="L340" s="1443"/>
      <c r="M340" s="1443"/>
      <c r="N340" s="4"/>
      <c r="O340" s="4"/>
      <c r="P340" s="35"/>
      <c r="Q340" s="35"/>
      <c r="R340" s="35"/>
      <c r="S340" s="3"/>
      <c r="T340" s="3" t="s">
        <v>89</v>
      </c>
      <c r="V340" s="3"/>
      <c r="W340" s="3"/>
      <c r="X340" s="3"/>
      <c r="Y340" s="3"/>
      <c r="AA340" s="1442" t="s">
        <v>591</v>
      </c>
      <c r="AB340" s="1443"/>
      <c r="AC340" s="1443"/>
      <c r="AD340" s="1443"/>
      <c r="AE340" s="1443"/>
      <c r="AF340" s="1443"/>
      <c r="AG340" s="4"/>
      <c r="AH340" s="4"/>
      <c r="AI340" s="35"/>
      <c r="AJ340" s="35"/>
      <c r="AK340" s="35"/>
    </row>
    <row r="341" spans="1:66" ht="12.95" customHeight="1">
      <c r="B341" s="3" t="s">
        <v>76</v>
      </c>
      <c r="C341" s="3"/>
      <c r="D341" s="3"/>
      <c r="E341" s="3"/>
      <c r="F341" s="3"/>
      <c r="G341" s="3"/>
      <c r="H341" s="1444" t="s">
        <v>2692</v>
      </c>
      <c r="I341" s="1444"/>
      <c r="J341" s="1444"/>
      <c r="K341" s="1444"/>
      <c r="L341" s="1444"/>
      <c r="M341" s="1444"/>
      <c r="N341" s="1364"/>
      <c r="O341" s="1364"/>
      <c r="P341" s="1364"/>
      <c r="Q341" s="1364"/>
      <c r="R341" s="1364"/>
      <c r="S341" s="3"/>
      <c r="T341" s="3" t="s">
        <v>76</v>
      </c>
      <c r="V341" s="3"/>
      <c r="W341" s="3"/>
      <c r="X341" s="3"/>
      <c r="Y341" s="3"/>
      <c r="AA341" s="1444" t="s">
        <v>2697</v>
      </c>
      <c r="AB341" s="1444"/>
      <c r="AC341" s="1444"/>
      <c r="AD341" s="1444"/>
      <c r="AE341" s="1444"/>
      <c r="AF341" s="1444"/>
      <c r="AG341" s="1364"/>
      <c r="AH341" s="1364"/>
      <c r="AI341" s="1364"/>
      <c r="AJ341" s="1364"/>
      <c r="AK341" s="136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64" t="s">
        <v>591</v>
      </c>
      <c r="Q343" s="1364"/>
      <c r="R343" s="1364"/>
      <c r="S343" s="1364"/>
      <c r="T343" s="1364"/>
      <c r="U343" s="1364"/>
      <c r="V343" s="1364"/>
      <c r="W343" s="1364"/>
      <c r="X343" s="1364"/>
      <c r="Y343" s="1364"/>
      <c r="Z343" s="1364"/>
      <c r="AA343" s="1364"/>
      <c r="AB343" s="1364"/>
      <c r="AC343" s="1364"/>
      <c r="AD343" s="1364"/>
      <c r="AE343" s="1364"/>
      <c r="BN343" t="s">
        <v>669</v>
      </c>
    </row>
    <row r="344" spans="1:66" ht="12.95" customHeight="1">
      <c r="B344" s="4"/>
      <c r="C344" s="4"/>
      <c r="D344" s="4"/>
      <c r="E344" s="4"/>
      <c r="F344" s="4"/>
      <c r="I344" s="4" t="s">
        <v>471</v>
      </c>
      <c r="P344" s="1444" t="s">
        <v>591</v>
      </c>
      <c r="Q344" s="1444"/>
      <c r="R344" s="1444"/>
      <c r="S344" s="1444"/>
      <c r="T344" s="1444"/>
      <c r="U344" s="1444"/>
      <c r="V344" s="1444"/>
      <c r="W344" s="1444"/>
      <c r="X344" s="1444"/>
      <c r="Y344" s="1444"/>
      <c r="Z344" s="1444"/>
      <c r="AA344" s="1444"/>
      <c r="AB344" s="1444"/>
      <c r="AC344" s="1444"/>
      <c r="AD344" s="1444"/>
      <c r="AE344" s="1444"/>
      <c r="BN344" t="s">
        <v>545</v>
      </c>
    </row>
    <row r="345" spans="1:66" ht="12.95" customHeight="1">
      <c r="B345" s="4"/>
      <c r="C345" s="4"/>
      <c r="D345" s="4"/>
      <c r="E345" s="4"/>
      <c r="F345" s="4"/>
      <c r="I345" s="4" t="s">
        <v>75</v>
      </c>
      <c r="P345" s="1444" t="s">
        <v>591</v>
      </c>
      <c r="Q345" s="1444"/>
      <c r="R345" s="1444"/>
      <c r="S345" s="1444"/>
      <c r="T345" s="1444"/>
      <c r="U345" s="1444"/>
      <c r="V345" s="1444"/>
      <c r="W345" s="1444"/>
      <c r="X345" s="1444"/>
      <c r="Y345" s="1444"/>
      <c r="Z345" s="1444"/>
      <c r="AA345" s="1444"/>
      <c r="AB345" s="1444"/>
      <c r="AC345" s="1444"/>
      <c r="AD345" s="1444"/>
      <c r="AE345" s="1444"/>
    </row>
    <row r="346" spans="1:66" ht="12.95" customHeight="1">
      <c r="B346" s="4"/>
      <c r="C346" s="4"/>
      <c r="D346" s="4"/>
      <c r="E346" s="4"/>
      <c r="F346" s="4"/>
      <c r="G346" s="4"/>
      <c r="I346" s="4" t="s">
        <v>87</v>
      </c>
      <c r="P346" s="1444" t="s">
        <v>591</v>
      </c>
      <c r="Q346" s="1444"/>
      <c r="R346" s="1444"/>
      <c r="S346" s="1444"/>
      <c r="T346" s="1444"/>
      <c r="U346" s="1444"/>
      <c r="V346" s="1444"/>
      <c r="W346" s="1444"/>
      <c r="X346" s="1444"/>
      <c r="Y346" s="1444"/>
      <c r="Z346" s="1444"/>
      <c r="AA346" s="1444"/>
      <c r="AB346" s="1444"/>
      <c r="AC346" s="1444"/>
      <c r="AD346" s="1444"/>
      <c r="AE346" s="1444"/>
    </row>
    <row r="347" spans="1:66" ht="12.95" customHeight="1">
      <c r="B347" s="4"/>
      <c r="C347" s="4"/>
      <c r="D347" s="4"/>
      <c r="E347" s="4"/>
      <c r="F347" s="4"/>
      <c r="G347" s="4"/>
      <c r="H347" s="302"/>
      <c r="I347" s="4" t="s">
        <v>88</v>
      </c>
      <c r="P347" s="1443" t="s">
        <v>591</v>
      </c>
      <c r="Q347" s="1443"/>
      <c r="R347" s="1443"/>
      <c r="S347" s="1443"/>
      <c r="T347" s="1443"/>
      <c r="U347" s="1443"/>
      <c r="V347" s="1443"/>
      <c r="W347" s="1443"/>
      <c r="X347" s="1443"/>
      <c r="Y347" s="1443"/>
      <c r="Z347" s="1443"/>
      <c r="AA347" s="4" t="s">
        <v>206</v>
      </c>
      <c r="AB347" s="4"/>
      <c r="AC347" s="1433" t="s">
        <v>591</v>
      </c>
      <c r="AD347" s="1433"/>
      <c r="AE347" s="1433"/>
      <c r="AF347" s="302"/>
      <c r="AG347" s="4"/>
      <c r="AH347" s="4"/>
      <c r="AI347" s="4"/>
      <c r="AJ347" s="4"/>
      <c r="AK347" s="4"/>
    </row>
    <row r="348" spans="1:66" ht="12.95" customHeight="1">
      <c r="B348" s="4"/>
      <c r="C348" s="4"/>
      <c r="D348" s="4"/>
      <c r="E348" s="4"/>
      <c r="F348" s="4"/>
      <c r="G348" s="4"/>
      <c r="H348" s="302"/>
      <c r="I348" s="4" t="s">
        <v>89</v>
      </c>
      <c r="P348" s="1443" t="s">
        <v>591</v>
      </c>
      <c r="Q348" s="1443"/>
      <c r="R348" s="1443"/>
      <c r="S348" s="1443"/>
      <c r="T348" s="1443"/>
      <c r="U348" s="1443"/>
      <c r="V348" s="1443"/>
      <c r="W348" s="1443"/>
      <c r="X348" s="1443"/>
      <c r="Y348" s="1443"/>
      <c r="Z348" s="1443"/>
      <c r="AF348" s="302"/>
      <c r="AG348" s="4"/>
      <c r="AH348" s="4"/>
      <c r="AI348" s="35"/>
      <c r="AJ348" s="35"/>
      <c r="AK348" s="35"/>
    </row>
    <row r="349" spans="1:66" ht="12.95" customHeight="1">
      <c r="B349" s="4"/>
      <c r="C349" s="4"/>
      <c r="D349" s="4"/>
      <c r="E349" s="4"/>
      <c r="F349" s="4"/>
      <c r="G349" s="4"/>
      <c r="I349" s="4" t="s">
        <v>76</v>
      </c>
      <c r="P349" s="1364" t="s">
        <v>591</v>
      </c>
      <c r="Q349" s="1364"/>
      <c r="R349" s="1364"/>
      <c r="S349" s="1364"/>
      <c r="T349" s="1364"/>
      <c r="U349" s="1364"/>
      <c r="V349" s="1364"/>
      <c r="W349" s="1364"/>
      <c r="X349" s="1364"/>
      <c r="Y349" s="1364"/>
      <c r="Z349" s="1364"/>
      <c r="AA349" s="1364"/>
      <c r="AB349" s="1364"/>
      <c r="AC349" s="1364"/>
      <c r="AD349" s="1364"/>
      <c r="AE349" s="1364"/>
    </row>
    <row r="350" spans="1:66" ht="12.95" customHeight="1">
      <c r="T350" s="8"/>
      <c r="U350" s="8"/>
      <c r="V350" s="8"/>
      <c r="W350" s="8"/>
      <c r="X350" s="8"/>
      <c r="Y350" s="8"/>
      <c r="Z350" s="8"/>
      <c r="AU350" s="95"/>
      <c r="AV350" s="95"/>
      <c r="AW350" s="95"/>
      <c r="AX350" s="95"/>
      <c r="AY350" s="95"/>
    </row>
    <row r="351" spans="1:66" ht="12.95" customHeight="1">
      <c r="A351" s="1415" t="s">
        <v>542</v>
      </c>
      <c r="B351" s="1415"/>
      <c r="C351" s="1415"/>
      <c r="D351" s="1415"/>
      <c r="E351" s="1415"/>
      <c r="F351" s="1415"/>
      <c r="G351" s="1415"/>
      <c r="H351" s="1415"/>
      <c r="I351" s="1415"/>
      <c r="J351" s="1415"/>
      <c r="K351" s="1415"/>
      <c r="L351" s="1415"/>
      <c r="M351" s="1415"/>
      <c r="N351" s="1415"/>
      <c r="O351" s="1415"/>
      <c r="P351" s="1415"/>
      <c r="Q351" s="1415"/>
      <c r="R351" s="1415"/>
      <c r="S351" s="1415"/>
      <c r="T351" s="1415"/>
      <c r="U351" s="1415"/>
      <c r="V351" s="1415"/>
      <c r="W351" s="1415"/>
      <c r="X351" s="1415"/>
      <c r="Y351" s="1415"/>
      <c r="Z351" s="1415"/>
      <c r="AA351" s="1415"/>
      <c r="AB351" s="1415"/>
      <c r="AC351" s="1415"/>
      <c r="AD351" s="1415"/>
      <c r="AE351" s="1415"/>
      <c r="AF351" s="1415"/>
      <c r="AG351" s="1415"/>
      <c r="AH351" s="1415"/>
      <c r="AI351" s="1415"/>
      <c r="AJ351" s="1415"/>
      <c r="AK351" s="1415"/>
      <c r="AL351" s="1415"/>
      <c r="AM351" s="1415"/>
      <c r="AN351" s="1415"/>
      <c r="AO351" s="1415"/>
      <c r="AP351" s="1415"/>
      <c r="AQ351" s="1415"/>
      <c r="AR351" s="1415"/>
      <c r="AS351" s="1415"/>
      <c r="AT351" s="1415"/>
      <c r="AU351" s="95"/>
      <c r="AV351" s="95"/>
      <c r="AW351" s="95"/>
      <c r="AX351" s="95"/>
      <c r="AY351" s="95"/>
    </row>
    <row r="352" spans="1:66" ht="12.95" customHeight="1">
      <c r="A352" s="1415"/>
      <c r="B352" s="1415"/>
      <c r="C352" s="1415"/>
      <c r="D352" s="1415"/>
      <c r="E352" s="1415"/>
      <c r="F352" s="1415"/>
      <c r="G352" s="1415"/>
      <c r="H352" s="1415"/>
      <c r="I352" s="1415"/>
      <c r="J352" s="1415"/>
      <c r="K352" s="1415"/>
      <c r="L352" s="1415"/>
      <c r="M352" s="1415"/>
      <c r="N352" s="1415"/>
      <c r="O352" s="1415"/>
      <c r="P352" s="1415"/>
      <c r="Q352" s="1415"/>
      <c r="R352" s="1415"/>
      <c r="S352" s="1415"/>
      <c r="T352" s="1415"/>
      <c r="U352" s="1415"/>
      <c r="V352" s="1415"/>
      <c r="W352" s="1415"/>
      <c r="X352" s="1415"/>
      <c r="Y352" s="1415"/>
      <c r="Z352" s="1415"/>
      <c r="AA352" s="1415"/>
      <c r="AB352" s="1415"/>
      <c r="AC352" s="1415"/>
      <c r="AD352" s="1415"/>
      <c r="AE352" s="1415"/>
      <c r="AF352" s="1415"/>
      <c r="AG352" s="1415"/>
      <c r="AH352" s="1415"/>
      <c r="AI352" s="1415"/>
      <c r="AJ352" s="1415"/>
      <c r="AK352" s="1415"/>
      <c r="AL352" s="1415"/>
      <c r="AM352" s="1415"/>
      <c r="AN352" s="1415"/>
      <c r="AO352" s="1415"/>
      <c r="AP352" s="1415"/>
      <c r="AQ352" s="1415"/>
      <c r="AR352" s="1415"/>
      <c r="AS352" s="1415"/>
      <c r="AT352" s="141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782</v>
      </c>
    </row>
    <row r="355" spans="1:46" ht="12.95" customHeight="1">
      <c r="D355" s="3" t="s">
        <v>2099</v>
      </c>
      <c r="M355" s="1356" t="s">
        <v>545</v>
      </c>
      <c r="N355" s="1356"/>
      <c r="P355" t="s">
        <v>1650</v>
      </c>
      <c r="AJ355" s="1356" t="s">
        <v>669</v>
      </c>
      <c r="AK355" s="1356"/>
    </row>
    <row r="356" spans="1:46" ht="12.95" customHeight="1">
      <c r="D356" s="3" t="s">
        <v>1639</v>
      </c>
      <c r="M356" s="1356" t="s">
        <v>591</v>
      </c>
      <c r="N356" s="1356"/>
      <c r="P356" s="3" t="s">
        <v>1719</v>
      </c>
      <c r="AJ356" s="1452">
        <v>0</v>
      </c>
      <c r="AK356" s="1452"/>
    </row>
    <row r="357" spans="1:46" ht="12.95" customHeight="1">
      <c r="D357" s="3" t="s">
        <v>704</v>
      </c>
      <c r="M357" s="1356" t="s">
        <v>591</v>
      </c>
      <c r="N357" s="1356"/>
      <c r="P357" t="s">
        <v>1649</v>
      </c>
      <c r="AJ357" s="1356" t="s">
        <v>591</v>
      </c>
      <c r="AK357" s="1356"/>
    </row>
    <row r="358" spans="1:46" ht="12.95" customHeight="1">
      <c r="D358" s="3" t="s">
        <v>705</v>
      </c>
      <c r="M358" s="1356" t="s">
        <v>591</v>
      </c>
      <c r="N358" s="1356"/>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56" t="s">
        <v>591</v>
      </c>
      <c r="O363" s="1356"/>
      <c r="P363" s="40"/>
      <c r="Q363" s="40"/>
      <c r="R363" s="40"/>
      <c r="S363" s="40"/>
      <c r="T363" s="40"/>
      <c r="U363" s="40"/>
      <c r="V363" s="40"/>
      <c r="W363" s="40"/>
      <c r="X363" s="40"/>
      <c r="Y363" s="40"/>
      <c r="Z363" s="40"/>
      <c r="AC363" s="40"/>
      <c r="AD363" s="40"/>
      <c r="AE363" s="40"/>
    </row>
    <row r="364" spans="1:46" ht="12.95" customHeight="1">
      <c r="E364" t="s">
        <v>370</v>
      </c>
      <c r="Y364" s="1356" t="s">
        <v>591</v>
      </c>
      <c r="Z364" s="1356"/>
    </row>
    <row r="365" spans="1:46" ht="12.95" customHeight="1">
      <c r="D365" s="4" t="s">
        <v>978</v>
      </c>
      <c r="Q365" s="1364" t="s">
        <v>591</v>
      </c>
      <c r="R365" s="1364"/>
      <c r="S365" s="1364"/>
      <c r="T365" s="1364"/>
      <c r="U365" s="1364"/>
      <c r="V365" s="1364"/>
      <c r="W365" s="1364"/>
      <c r="X365" s="1364"/>
      <c r="Y365" s="1364"/>
      <c r="Z365" s="1364"/>
      <c r="AA365" s="1364"/>
      <c r="AB365" s="1364"/>
      <c r="AC365" s="1364"/>
      <c r="AD365" s="1364"/>
      <c r="AE365" s="1364"/>
      <c r="AF365" s="1364"/>
      <c r="AG365" s="1364"/>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56" t="s">
        <v>591</v>
      </c>
      <c r="K367" s="1356"/>
      <c r="L367" s="40"/>
      <c r="M367" s="40"/>
      <c r="N367" s="40"/>
      <c r="O367" s="40"/>
      <c r="P367" s="40"/>
      <c r="Q367" s="40"/>
      <c r="R367" s="40"/>
      <c r="S367" s="40"/>
      <c r="T367" s="40"/>
      <c r="U367" s="40"/>
      <c r="V367" s="40"/>
      <c r="W367" s="40"/>
      <c r="X367" s="40"/>
      <c r="Y367" s="40"/>
      <c r="Z367" s="40"/>
      <c r="AC367" s="40"/>
      <c r="AD367" s="40"/>
      <c r="AE367" s="40"/>
    </row>
    <row r="368" spans="1:46" ht="12.95" customHeight="1">
      <c r="E368" s="1408" t="s">
        <v>706</v>
      </c>
      <c r="F368" s="1408"/>
      <c r="G368" s="1408"/>
      <c r="H368" s="1408"/>
      <c r="I368" s="1408"/>
      <c r="J368" s="1408"/>
      <c r="K368" s="1408"/>
      <c r="L368" s="1408"/>
      <c r="M368" s="1408"/>
      <c r="N368" s="1408"/>
      <c r="O368" s="1408"/>
      <c r="P368" s="1408"/>
      <c r="Q368" s="1408"/>
      <c r="R368" s="1408"/>
      <c r="S368" s="1408"/>
      <c r="T368" s="1408"/>
      <c r="U368" s="1408"/>
      <c r="V368" s="1408"/>
      <c r="W368" s="1408"/>
      <c r="X368" s="1408"/>
      <c r="Y368" s="1408"/>
      <c r="Z368" s="1408"/>
      <c r="AA368" s="1408"/>
      <c r="AB368" s="1408"/>
      <c r="AC368" s="1408"/>
      <c r="AD368" s="1408"/>
      <c r="AE368" s="1408"/>
      <c r="AF368" s="1408"/>
      <c r="AG368" s="1408"/>
      <c r="AH368" s="1408"/>
    </row>
    <row r="369" spans="1:34" ht="12.95" customHeight="1">
      <c r="E369" s="1408"/>
      <c r="F369" s="1408"/>
      <c r="G369" s="1408"/>
      <c r="H369" s="1408"/>
      <c r="I369" s="1408"/>
      <c r="J369" s="1408"/>
      <c r="K369" s="1408"/>
      <c r="L369" s="1408"/>
      <c r="M369" s="1408"/>
      <c r="N369" s="1408"/>
      <c r="O369" s="1408"/>
      <c r="P369" s="1408"/>
      <c r="Q369" s="1408"/>
      <c r="R369" s="1408"/>
      <c r="S369" s="1408"/>
      <c r="T369" s="1408"/>
      <c r="U369" s="1408"/>
      <c r="V369" s="1408"/>
      <c r="W369" s="1408"/>
      <c r="X369" s="1408"/>
      <c r="Y369" s="1408"/>
      <c r="Z369" s="1408"/>
      <c r="AA369" s="1408"/>
      <c r="AB369" s="1408"/>
      <c r="AC369" s="1408"/>
      <c r="AD369" s="1408"/>
      <c r="AE369" s="1408"/>
      <c r="AF369" s="1408"/>
      <c r="AG369" s="1408"/>
      <c r="AH369" s="1408"/>
    </row>
    <row r="370" spans="1:34" ht="12.95" customHeight="1">
      <c r="E370" s="4" t="s">
        <v>448</v>
      </c>
      <c r="F370" s="4"/>
      <c r="G370" s="4"/>
      <c r="H370" s="4"/>
      <c r="I370" s="4"/>
      <c r="J370" s="4"/>
      <c r="K370" s="4"/>
      <c r="L370" s="4"/>
      <c r="N370" s="1766" t="s">
        <v>591</v>
      </c>
      <c r="O370" s="1672"/>
      <c r="P370" s="1672"/>
      <c r="Q370" s="1672"/>
      <c r="R370" s="4"/>
      <c r="U370" s="4" t="s">
        <v>449</v>
      </c>
      <c r="V370" s="4"/>
      <c r="W370" s="4"/>
      <c r="X370" s="4"/>
      <c r="Y370" s="4"/>
      <c r="Z370" s="4"/>
      <c r="AA370" s="4"/>
      <c r="AB370" s="4"/>
      <c r="AC370" s="1766" t="s">
        <v>591</v>
      </c>
      <c r="AD370" s="1672"/>
      <c r="AE370" s="1672"/>
      <c r="AF370" s="1672"/>
    </row>
    <row r="371" spans="1:34" ht="12.95" customHeight="1">
      <c r="E371" s="4" t="s">
        <v>450</v>
      </c>
      <c r="F371" s="4"/>
      <c r="G371" s="4"/>
      <c r="H371" s="4"/>
      <c r="I371" s="4"/>
      <c r="J371" s="4"/>
      <c r="K371" s="4"/>
      <c r="L371" s="4"/>
      <c r="N371" s="1766" t="s">
        <v>591</v>
      </c>
      <c r="O371" s="1672"/>
      <c r="P371" s="1672"/>
      <c r="Q371" s="1672"/>
      <c r="R371" s="4"/>
      <c r="U371" s="4" t="s">
        <v>0</v>
      </c>
      <c r="V371" s="4"/>
      <c r="W371" s="4"/>
      <c r="X371" s="4"/>
      <c r="Y371" s="4"/>
      <c r="Z371" s="4"/>
      <c r="AA371" s="4"/>
      <c r="AB371" s="4"/>
      <c r="AC371" s="1766" t="s">
        <v>591</v>
      </c>
      <c r="AD371" s="1672"/>
      <c r="AE371" s="1672"/>
      <c r="AF371" s="1672"/>
    </row>
    <row r="372" spans="1:34" ht="12.95" customHeight="1">
      <c r="E372" s="4" t="s">
        <v>1</v>
      </c>
      <c r="F372" s="4"/>
      <c r="G372" s="4"/>
      <c r="H372" s="4"/>
      <c r="I372" s="4"/>
      <c r="J372" s="4"/>
      <c r="K372" s="4"/>
      <c r="L372" s="4"/>
      <c r="N372" s="1766" t="s">
        <v>591</v>
      </c>
      <c r="O372" s="1672"/>
      <c r="P372" s="1672"/>
      <c r="Q372" s="1672"/>
      <c r="R372" s="4"/>
      <c r="V372" s="4"/>
      <c r="W372" s="4"/>
      <c r="X372" s="4"/>
      <c r="Y372" s="4"/>
      <c r="Z372" s="4"/>
      <c r="AA372" s="4"/>
      <c r="AB372" s="4"/>
    </row>
    <row r="373" spans="1:34" ht="12.95" customHeight="1">
      <c r="E373" s="4" t="s">
        <v>2</v>
      </c>
      <c r="F373" s="4"/>
      <c r="G373" s="4"/>
      <c r="H373" s="4"/>
      <c r="I373" s="4"/>
      <c r="J373" s="4"/>
      <c r="K373" s="4"/>
      <c r="L373" s="4"/>
      <c r="N373" s="1824" t="s">
        <v>591</v>
      </c>
      <c r="O373" s="1825"/>
      <c r="P373" s="1825"/>
      <c r="Q373" s="1825"/>
      <c r="R373" s="1825"/>
      <c r="S373" s="1825"/>
      <c r="T373" s="1825"/>
      <c r="U373" s="1825"/>
      <c r="V373" s="1825"/>
      <c r="W373" s="1825"/>
      <c r="X373" s="1825"/>
      <c r="Y373" s="1825"/>
      <c r="Z373" s="1825"/>
      <c r="AA373" s="1825"/>
      <c r="AB373" s="1825"/>
      <c r="AC373" s="1825"/>
      <c r="AD373" s="1825"/>
      <c r="AE373" s="1825"/>
      <c r="AF373" s="1825"/>
    </row>
    <row r="374" spans="1:34" ht="12.95" customHeight="1">
      <c r="E374" s="4"/>
      <c r="F374" s="4"/>
      <c r="G374" s="4"/>
      <c r="H374" s="4"/>
      <c r="I374" s="4"/>
      <c r="J374" s="4"/>
      <c r="K374" s="4"/>
      <c r="L374" s="4"/>
      <c r="N374" s="1826"/>
      <c r="O374" s="1826"/>
      <c r="P374" s="1826"/>
      <c r="Q374" s="1826"/>
      <c r="R374" s="1826"/>
      <c r="S374" s="1826"/>
      <c r="T374" s="1826"/>
      <c r="U374" s="1826"/>
      <c r="V374" s="1826"/>
      <c r="W374" s="1826"/>
      <c r="X374" s="1826"/>
      <c r="Y374" s="1826"/>
      <c r="Z374" s="1826"/>
      <c r="AA374" s="1826"/>
      <c r="AB374" s="1826"/>
      <c r="AC374" s="1826"/>
      <c r="AD374" s="1826"/>
      <c r="AE374" s="1826"/>
      <c r="AF374" s="1826"/>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305</v>
      </c>
      <c r="S377" s="1772" t="s">
        <v>591</v>
      </c>
      <c r="T377" s="1772"/>
      <c r="U377" s="1" t="s">
        <v>306</v>
      </c>
      <c r="V377" s="1772" t="s">
        <v>591</v>
      </c>
      <c r="W377" s="1772"/>
      <c r="Y377" t="s">
        <v>2080</v>
      </c>
      <c r="AC377" s="27" t="s">
        <v>305</v>
      </c>
      <c r="AD377" s="1772" t="s">
        <v>591</v>
      </c>
      <c r="AE377" s="1772"/>
      <c r="AF377" s="1" t="s">
        <v>306</v>
      </c>
      <c r="AG377" s="1772" t="s">
        <v>591</v>
      </c>
      <c r="AH377" s="1772"/>
    </row>
    <row r="378" spans="1:34" ht="12.95" customHeight="1">
      <c r="E378" s="4" t="s">
        <v>987</v>
      </c>
      <c r="F378" s="4"/>
      <c r="G378" s="4"/>
      <c r="H378" s="4"/>
      <c r="I378" s="4"/>
      <c r="J378" s="4"/>
      <c r="K378" s="4"/>
      <c r="L378" s="4"/>
      <c r="N378" s="1772" t="s">
        <v>591</v>
      </c>
      <c r="O378" s="1772"/>
      <c r="P378" s="1772"/>
    </row>
    <row r="379" spans="1:34" ht="12.95" customHeight="1">
      <c r="E379" s="204" t="s">
        <v>2086</v>
      </c>
      <c r="F379" s="4"/>
      <c r="G379" s="4"/>
      <c r="H379" s="4"/>
      <c r="I379" s="4"/>
      <c r="J379" s="4"/>
      <c r="K379" s="4"/>
      <c r="L379" s="4"/>
      <c r="AG379" s="1803" t="s">
        <v>591</v>
      </c>
      <c r="AH379" s="1803"/>
    </row>
    <row r="380" spans="1:34" ht="12.95" customHeight="1">
      <c r="E380" s="4"/>
      <c r="F380" s="4"/>
      <c r="G380" s="4" t="s">
        <v>2087</v>
      </c>
      <c r="H380" s="4"/>
      <c r="I380" s="4"/>
      <c r="J380" s="4"/>
      <c r="K380" s="4"/>
      <c r="L380" s="4"/>
      <c r="AG380" s="1803" t="s">
        <v>591</v>
      </c>
      <c r="AH380" s="1803"/>
    </row>
    <row r="381" spans="1:34" ht="12.95" customHeight="1">
      <c r="E381" s="4"/>
      <c r="F381" s="4"/>
      <c r="G381" s="320" t="s">
        <v>988</v>
      </c>
      <c r="H381" s="4"/>
      <c r="I381" s="4"/>
      <c r="J381" s="4"/>
      <c r="K381" s="4"/>
      <c r="L381" s="4"/>
      <c r="V381" s="1356" t="s">
        <v>591</v>
      </c>
      <c r="W381" s="1356"/>
      <c r="Y381" s="22" t="s">
        <v>980</v>
      </c>
    </row>
    <row r="382" spans="1:34" ht="12.95" customHeight="1">
      <c r="E382" s="4" t="s">
        <v>981</v>
      </c>
      <c r="F382" s="4"/>
      <c r="G382" s="4"/>
      <c r="H382" s="4"/>
      <c r="I382" s="4"/>
      <c r="J382" s="4"/>
      <c r="K382" s="4"/>
      <c r="L382" s="4"/>
      <c r="V382" s="1356" t="s">
        <v>591</v>
      </c>
      <c r="W382" s="1356"/>
      <c r="Y382" s="4" t="s">
        <v>982</v>
      </c>
    </row>
    <row r="383" spans="1:34" ht="12.95" customHeight="1"/>
    <row r="384" spans="1:34" ht="12.95" customHeight="1">
      <c r="A384" s="2" t="s">
        <v>78</v>
      </c>
      <c r="B384" s="2"/>
    </row>
    <row r="385" spans="4:36" ht="12.95" customHeight="1">
      <c r="D385" t="s">
        <v>428</v>
      </c>
      <c r="J385" s="1364" t="s">
        <v>2698</v>
      </c>
      <c r="K385" s="1364"/>
      <c r="L385" s="1364"/>
      <c r="M385" s="1364"/>
      <c r="N385" s="1364"/>
      <c r="O385" s="1364"/>
      <c r="P385" s="1364"/>
      <c r="Q385" s="1364"/>
      <c r="R385" s="1364"/>
      <c r="S385" s="1364"/>
      <c r="T385" s="1364"/>
      <c r="U385" s="1364"/>
      <c r="V385" s="8" t="s">
        <v>83</v>
      </c>
      <c r="W385" s="8"/>
      <c r="X385" s="8"/>
      <c r="Y385" s="8"/>
      <c r="Z385" s="8"/>
      <c r="AA385" s="8"/>
      <c r="AB385" s="8"/>
      <c r="AC385" s="1364" t="s">
        <v>2699</v>
      </c>
      <c r="AD385" s="1364"/>
      <c r="AE385" s="1364"/>
      <c r="AF385" s="1364"/>
      <c r="AG385" s="1364"/>
      <c r="AH385" s="1364"/>
      <c r="AI385" s="1364"/>
      <c r="AJ385" s="1364"/>
    </row>
    <row r="386" spans="4:36" ht="12.95" customHeight="1">
      <c r="D386" s="3" t="s">
        <v>1182</v>
      </c>
      <c r="J386" s="1444" t="s">
        <v>2699</v>
      </c>
      <c r="K386" s="1444"/>
      <c r="L386" s="1444"/>
      <c r="M386" s="1444"/>
      <c r="N386" s="1444"/>
      <c r="O386" s="1444"/>
      <c r="P386" s="1444"/>
      <c r="Q386" s="1444"/>
      <c r="R386" s="1444"/>
      <c r="S386" s="1444"/>
      <c r="T386" s="1444"/>
      <c r="U386" s="1444"/>
      <c r="V386" s="3" t="s">
        <v>1182</v>
      </c>
      <c r="W386" s="8"/>
      <c r="X386" s="8"/>
      <c r="Y386" s="8"/>
      <c r="Z386" s="8"/>
      <c r="AA386" s="8"/>
      <c r="AB386" s="8"/>
      <c r="AC386" s="1364" t="s">
        <v>2700</v>
      </c>
      <c r="AD386" s="1364"/>
      <c r="AE386" s="1364"/>
      <c r="AF386" s="1364"/>
      <c r="AG386" s="1364"/>
      <c r="AH386" s="1364"/>
      <c r="AI386" s="1364"/>
      <c r="AJ386" s="1364"/>
    </row>
    <row r="387" spans="4:36" ht="12.95" customHeight="1">
      <c r="D387" s="3" t="s">
        <v>441</v>
      </c>
      <c r="J387" s="1444" t="s">
        <v>2701</v>
      </c>
      <c r="K387" s="1444"/>
      <c r="L387" s="1444"/>
      <c r="M387" s="1444"/>
      <c r="N387" s="1444"/>
      <c r="O387" s="1444"/>
      <c r="P387" s="1444"/>
      <c r="Q387" s="1444"/>
      <c r="R387" s="1444"/>
      <c r="S387" s="1444"/>
      <c r="T387" s="1444"/>
      <c r="U387" s="1444"/>
      <c r="V387" s="3" t="s">
        <v>441</v>
      </c>
      <c r="W387" s="8"/>
      <c r="X387" s="8"/>
      <c r="Y387" s="8"/>
      <c r="Z387" s="8"/>
      <c r="AA387" s="8"/>
      <c r="AB387" s="8"/>
      <c r="AC387" s="1364" t="s">
        <v>2702</v>
      </c>
      <c r="AD387" s="1364"/>
      <c r="AE387" s="1364"/>
      <c r="AF387" s="1364"/>
      <c r="AG387" s="1364"/>
      <c r="AH387" s="1364"/>
      <c r="AI387" s="1364"/>
      <c r="AJ387" s="1364"/>
    </row>
    <row r="388" spans="4:36" ht="12.95" customHeight="1">
      <c r="D388" t="s">
        <v>1178</v>
      </c>
      <c r="J388" s="1598" t="s">
        <v>2703</v>
      </c>
      <c r="K388" s="1598"/>
      <c r="L388" s="1598"/>
      <c r="M388" s="1598"/>
      <c r="N388" s="1598"/>
      <c r="O388" s="1598"/>
      <c r="P388" s="1598"/>
      <c r="Q388" s="1598"/>
      <c r="R388" s="1598"/>
      <c r="S388" s="1598"/>
      <c r="T388" s="1598"/>
      <c r="U388" s="1598"/>
      <c r="V388" s="1364"/>
      <c r="W388" s="1364"/>
      <c r="X388" s="1364"/>
      <c r="Y388" s="1364"/>
      <c r="Z388" s="1364"/>
      <c r="AA388" s="1364"/>
      <c r="AB388" s="1364"/>
      <c r="AC388" s="1364"/>
      <c r="AD388" s="1364"/>
      <c r="AE388" s="1364"/>
      <c r="AF388" s="1364"/>
      <c r="AG388" s="1364"/>
      <c r="AH388" s="1364"/>
      <c r="AI388" s="1364"/>
      <c r="AJ388" s="1364"/>
    </row>
    <row r="389" spans="4:36" ht="12.95" customHeight="1">
      <c r="D389" t="s">
        <v>4</v>
      </c>
      <c r="Q389" s="1687">
        <v>45100</v>
      </c>
      <c r="R389" s="1687"/>
      <c r="S389" s="1687"/>
      <c r="T389" s="1687"/>
      <c r="U389" s="1687"/>
      <c r="V389" t="s">
        <v>309</v>
      </c>
      <c r="AI389" s="1356" t="s">
        <v>669</v>
      </c>
      <c r="AJ389" s="1356"/>
    </row>
    <row r="390" spans="4:36" ht="12.95" customHeight="1">
      <c r="D390" t="s">
        <v>5</v>
      </c>
      <c r="Q390" s="1536">
        <f>Q389+(720+180+365)</f>
        <v>46365</v>
      </c>
      <c r="R390" s="1820"/>
      <c r="S390" s="1820"/>
      <c r="T390" s="1820"/>
      <c r="U390" s="1820"/>
      <c r="W390" s="21" t="s">
        <v>74</v>
      </c>
      <c r="AG390" s="1816" t="s">
        <v>591</v>
      </c>
      <c r="AH390" s="1816"/>
      <c r="AI390" s="1816"/>
      <c r="AJ390" s="1816"/>
    </row>
    <row r="391" spans="4:36" ht="12.95" customHeight="1">
      <c r="D391" t="s">
        <v>427</v>
      </c>
      <c r="Q391" s="1838">
        <v>11115000</v>
      </c>
      <c r="R391" s="1838"/>
      <c r="S391" s="1838"/>
      <c r="T391" s="1838"/>
      <c r="U391" s="1838"/>
      <c r="V391" s="3" t="s">
        <v>1181</v>
      </c>
      <c r="AG391" s="1817">
        <v>46051</v>
      </c>
      <c r="AH391" s="1817"/>
      <c r="AI391" s="1817"/>
      <c r="AJ391" s="1817"/>
    </row>
    <row r="392" spans="4:36" ht="12.95" customHeight="1">
      <c r="D392" t="s">
        <v>88</v>
      </c>
      <c r="I392" s="1416" t="s">
        <v>2704</v>
      </c>
      <c r="J392" s="1417"/>
      <c r="K392" s="1417"/>
      <c r="L392" s="1417"/>
      <c r="M392" s="1417"/>
      <c r="N392" s="1417"/>
      <c r="Q392" s="4" t="s">
        <v>206</v>
      </c>
      <c r="S392" s="1837" t="s">
        <v>591</v>
      </c>
      <c r="T392" s="1837"/>
      <c r="U392" s="1837"/>
      <c r="V392" t="s">
        <v>73</v>
      </c>
      <c r="AI392" s="1356" t="s">
        <v>669</v>
      </c>
      <c r="AJ392" s="1356"/>
    </row>
    <row r="393" spans="4:36" ht="12.95" customHeight="1">
      <c r="D393" t="s">
        <v>310</v>
      </c>
      <c r="Q393" s="1553">
        <f>AG393/23</f>
        <v>5752.95652173913</v>
      </c>
      <c r="R393" s="1553"/>
      <c r="S393" s="1553"/>
      <c r="T393" s="1553"/>
      <c r="U393" s="1553"/>
      <c r="V393" t="s">
        <v>311</v>
      </c>
      <c r="AG393" s="1816">
        <v>132318</v>
      </c>
      <c r="AH393" s="1816"/>
      <c r="AI393" s="1816"/>
      <c r="AJ393" s="1816"/>
    </row>
    <row r="394" spans="4:36" ht="12.95" customHeight="1">
      <c r="D394" t="s">
        <v>312</v>
      </c>
      <c r="Q394" s="1767">
        <v>0</v>
      </c>
      <c r="R394" s="1767"/>
      <c r="S394" s="1767"/>
      <c r="T394" s="1767"/>
      <c r="U394" s="1767"/>
      <c r="V394" t="s">
        <v>1163</v>
      </c>
      <c r="AG394" s="1816" t="s">
        <v>591</v>
      </c>
      <c r="AH394" s="1816"/>
      <c r="AI394" s="1816"/>
      <c r="AJ394" s="1816"/>
    </row>
    <row r="395" spans="4:36" ht="12.95" customHeight="1">
      <c r="D395" t="s">
        <v>1162</v>
      </c>
      <c r="AG395" s="1816">
        <v>0</v>
      </c>
      <c r="AH395" s="1816"/>
      <c r="AI395" s="1816"/>
      <c r="AJ395" s="1816"/>
    </row>
    <row r="396" spans="4:36" ht="12.95" customHeight="1">
      <c r="AG396" s="456"/>
      <c r="AH396" s="456"/>
      <c r="AI396" s="456"/>
      <c r="AJ396" s="456"/>
    </row>
    <row r="397" spans="4:36" ht="12.95" customHeight="1">
      <c r="D397" s="3" t="s">
        <v>2143</v>
      </c>
      <c r="AG397" s="456"/>
      <c r="AH397" s="456"/>
      <c r="AI397" s="1356" t="s">
        <v>669</v>
      </c>
      <c r="AJ397" s="1356"/>
    </row>
    <row r="398" spans="4:36" ht="12.95" customHeight="1">
      <c r="D398" s="3" t="s">
        <v>1667</v>
      </c>
      <c r="T398" s="1752" t="s">
        <v>591</v>
      </c>
      <c r="U398" s="1753"/>
      <c r="V398" s="1753"/>
      <c r="W398" s="1753"/>
      <c r="X398" s="1753"/>
      <c r="Y398" s="1753"/>
      <c r="Z398" s="1753"/>
      <c r="AA398" s="1753"/>
      <c r="AB398" s="1753"/>
      <c r="AC398" s="1753"/>
      <c r="AD398" s="1753"/>
      <c r="AE398" s="1753"/>
      <c r="AF398" s="1753"/>
      <c r="AG398" s="1753"/>
      <c r="AH398" s="1753"/>
      <c r="AI398" s="1753"/>
      <c r="AJ398" s="1753"/>
    </row>
    <row r="399" spans="4:36" ht="12.95" customHeight="1">
      <c r="D399" s="3" t="s">
        <v>1666</v>
      </c>
      <c r="T399" s="1752" t="s">
        <v>591</v>
      </c>
      <c r="U399" s="1753"/>
      <c r="V399" s="1753"/>
      <c r="W399" s="1753"/>
      <c r="X399" s="1753"/>
      <c r="Y399" s="1753"/>
      <c r="Z399" s="1753"/>
      <c r="AA399" s="1753"/>
      <c r="AB399" s="1753"/>
      <c r="AC399" s="1753"/>
      <c r="AD399" s="1753"/>
      <c r="AE399" s="1753"/>
      <c r="AF399" s="1753"/>
      <c r="AG399" s="1753"/>
      <c r="AH399" s="1753"/>
      <c r="AI399" s="1753"/>
      <c r="AJ399" s="1753"/>
    </row>
    <row r="400" spans="4:36" ht="12.95" customHeight="1">
      <c r="AG400" s="456"/>
      <c r="AH400" s="456"/>
      <c r="AI400" s="456"/>
      <c r="AJ400" s="456"/>
    </row>
    <row r="401" spans="1:36" ht="12.95" customHeight="1">
      <c r="D401" s="3" t="s">
        <v>1660</v>
      </c>
      <c r="S401" s="1753" t="s">
        <v>545</v>
      </c>
      <c r="T401" s="1753"/>
      <c r="U401" s="1753"/>
      <c r="V401" t="s">
        <v>1661</v>
      </c>
      <c r="AG401" s="1821">
        <v>99</v>
      </c>
      <c r="AH401" s="1821"/>
      <c r="AI401" s="1821"/>
      <c r="AJ401" s="1821"/>
    </row>
    <row r="402" spans="1:36" ht="12.95" customHeight="1">
      <c r="D402" s="3" t="s">
        <v>1658</v>
      </c>
      <c r="S402" s="1753" t="s">
        <v>545</v>
      </c>
      <c r="T402" s="1753"/>
      <c r="U402" s="1753"/>
      <c r="V402" t="s">
        <v>1663</v>
      </c>
      <c r="AE402" s="1815">
        <v>0</v>
      </c>
      <c r="AF402" s="1815"/>
      <c r="AG402" s="1815"/>
      <c r="AH402" s="1815"/>
      <c r="AI402" s="1815"/>
      <c r="AJ402" s="1815"/>
    </row>
    <row r="403" spans="1:36" ht="12.95" customHeight="1">
      <c r="D403" s="3" t="s">
        <v>1659</v>
      </c>
      <c r="K403" s="1796" t="s">
        <v>591</v>
      </c>
      <c r="L403" s="1796"/>
      <c r="M403" s="1796"/>
      <c r="N403" s="1796"/>
      <c r="O403" s="1796"/>
      <c r="P403" s="1796"/>
      <c r="Q403" s="1796"/>
      <c r="R403" s="1796"/>
      <c r="S403" s="1796"/>
      <c r="T403" s="1796"/>
      <c r="U403" s="1796"/>
      <c r="V403" s="1796"/>
      <c r="W403" s="1796"/>
      <c r="X403" s="1796"/>
      <c r="Y403" s="1796"/>
      <c r="Z403" s="1796"/>
      <c r="AA403" s="1796"/>
      <c r="AB403" s="1796"/>
      <c r="AC403" s="1796"/>
      <c r="AD403" s="1796"/>
      <c r="AE403" s="1796"/>
      <c r="AF403" s="1796"/>
      <c r="AG403" s="1796"/>
      <c r="AH403" s="1796"/>
      <c r="AI403" s="1796"/>
      <c r="AJ403" s="1796"/>
    </row>
    <row r="404" spans="1:36" ht="12.95" customHeight="1">
      <c r="D404" s="3" t="s">
        <v>1662</v>
      </c>
      <c r="K404" s="1796" t="s">
        <v>2706</v>
      </c>
      <c r="L404" s="1796"/>
      <c r="M404" s="1796"/>
      <c r="N404" s="1796"/>
      <c r="O404" s="1796"/>
      <c r="P404" s="1796"/>
      <c r="Q404" s="1796"/>
      <c r="R404" s="1796"/>
      <c r="S404" s="1796"/>
      <c r="T404" s="1796"/>
      <c r="U404" s="1796"/>
      <c r="V404" s="1796"/>
      <c r="W404" s="1796"/>
      <c r="X404" s="1796"/>
      <c r="Y404" s="1796"/>
      <c r="Z404" s="1796"/>
      <c r="AA404" s="1796"/>
      <c r="AB404" s="1796"/>
      <c r="AC404" s="1796"/>
      <c r="AD404" s="1796"/>
      <c r="AE404" s="1796"/>
      <c r="AF404" s="1796"/>
      <c r="AG404" s="1796"/>
      <c r="AH404" s="1796"/>
      <c r="AI404" s="1796"/>
      <c r="AJ404" s="1796"/>
    </row>
    <row r="405" spans="1:36" ht="12.95" customHeight="1">
      <c r="D405" s="3" t="s">
        <v>1665</v>
      </c>
      <c r="E405" s="477"/>
      <c r="F405" s="477"/>
      <c r="G405" s="477"/>
      <c r="H405" s="477"/>
      <c r="I405" s="477"/>
      <c r="J405" s="477"/>
      <c r="K405" s="477"/>
      <c r="L405" s="477"/>
      <c r="M405" s="477"/>
      <c r="N405" s="477"/>
      <c r="O405" s="477"/>
      <c r="P405" s="477"/>
      <c r="Q405" s="477"/>
      <c r="R405" s="477"/>
      <c r="S405" s="1827" t="s">
        <v>2705</v>
      </c>
      <c r="T405" s="1827"/>
      <c r="U405" s="1827"/>
      <c r="V405" s="1827"/>
      <c r="W405" s="1827"/>
      <c r="X405" s="1827"/>
      <c r="Y405" s="1827"/>
      <c r="Z405" s="1827"/>
      <c r="AA405" s="1827"/>
      <c r="AB405" s="1827"/>
      <c r="AC405" s="1827"/>
      <c r="AD405" s="1827"/>
      <c r="AE405" s="1827"/>
      <c r="AF405" s="1827"/>
      <c r="AG405" s="1827"/>
      <c r="AH405" s="1827"/>
      <c r="AI405" s="1827"/>
      <c r="AJ405" s="1827"/>
    </row>
    <row r="406" spans="1:36" ht="12.95" customHeight="1">
      <c r="D406" s="1273" t="s">
        <v>1664</v>
      </c>
      <c r="E406" s="1273"/>
      <c r="F406" s="1273"/>
      <c r="G406" s="1273"/>
      <c r="H406" s="1273"/>
      <c r="I406" s="1273"/>
      <c r="J406" s="1273"/>
      <c r="K406" s="1273"/>
      <c r="L406" s="1273"/>
      <c r="M406" s="1273"/>
      <c r="N406" s="1273"/>
      <c r="O406" s="1273"/>
      <c r="P406" s="1273"/>
      <c r="Q406" s="1273"/>
      <c r="R406" s="1273"/>
      <c r="S406" s="1273"/>
      <c r="T406" s="1273"/>
      <c r="U406" s="1273"/>
      <c r="V406" s="1273"/>
      <c r="W406" s="1273"/>
      <c r="X406" s="1273"/>
      <c r="Y406" s="1273"/>
      <c r="Z406" s="1273"/>
      <c r="AA406" s="1273"/>
      <c r="AB406" s="1273"/>
      <c r="AC406" s="1273"/>
      <c r="AD406" s="1273"/>
      <c r="AE406" s="1273"/>
      <c r="AF406" s="1273"/>
      <c r="AG406" s="1273"/>
      <c r="AH406" s="1273"/>
      <c r="AI406" s="1273"/>
      <c r="AJ406" s="1273"/>
    </row>
    <row r="407" spans="1:36" ht="12.95" customHeight="1">
      <c r="D407" s="1273"/>
      <c r="E407" s="1273"/>
      <c r="F407" s="1273"/>
      <c r="G407" s="1273"/>
      <c r="H407" s="1273"/>
      <c r="I407" s="1273"/>
      <c r="J407" s="1273"/>
      <c r="K407" s="1273"/>
      <c r="L407" s="1273"/>
      <c r="M407" s="1273"/>
      <c r="N407" s="1273"/>
      <c r="O407" s="1273"/>
      <c r="P407" s="1273"/>
      <c r="Q407" s="1273"/>
      <c r="R407" s="1273"/>
      <c r="S407" s="1273"/>
      <c r="T407" s="1273"/>
      <c r="U407" s="1273"/>
      <c r="V407" s="1273"/>
      <c r="W407" s="1273"/>
      <c r="X407" s="1273"/>
      <c r="Y407" s="1273"/>
      <c r="Z407" s="1273"/>
      <c r="AA407" s="1273"/>
      <c r="AB407" s="1273"/>
      <c r="AC407" s="1273"/>
      <c r="AD407" s="1273"/>
      <c r="AE407" s="1273"/>
      <c r="AF407" s="1273"/>
      <c r="AG407" s="1273"/>
      <c r="AH407" s="1273"/>
      <c r="AI407" s="1273"/>
      <c r="AJ407" s="1273"/>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409" t="s">
        <v>2707</v>
      </c>
      <c r="J410" s="1409"/>
      <c r="K410" s="1409"/>
      <c r="L410" s="1409"/>
      <c r="M410" s="1409"/>
      <c r="N410" s="1409"/>
      <c r="O410" s="1409"/>
      <c r="P410" s="1409"/>
      <c r="Q410" s="1409"/>
      <c r="R410" s="1409"/>
      <c r="S410" s="1409"/>
      <c r="T410" s="1409"/>
      <c r="U410" s="1409"/>
      <c r="V410" s="1409"/>
      <c r="W410" s="1409"/>
      <c r="X410" s="1409"/>
      <c r="Y410" s="1409"/>
      <c r="Z410" s="1409"/>
      <c r="AA410" s="1409"/>
      <c r="AB410" s="1409"/>
      <c r="AC410" s="1409"/>
      <c r="AD410" s="1409"/>
      <c r="AE410" s="1409"/>
    </row>
    <row r="411" spans="1:36" ht="12.95" customHeight="1">
      <c r="E411" t="s">
        <v>106</v>
      </c>
      <c r="R411" s="1356" t="s">
        <v>545</v>
      </c>
      <c r="S411" s="1356"/>
      <c r="AC411" s="27" t="s">
        <v>570</v>
      </c>
      <c r="AD411" s="1672">
        <v>10</v>
      </c>
      <c r="AE411" s="1672"/>
    </row>
    <row r="412" spans="1:36" ht="12.95" customHeight="1">
      <c r="E412" t="s">
        <v>107</v>
      </c>
      <c r="R412" s="1356" t="s">
        <v>591</v>
      </c>
      <c r="S412" s="1356"/>
      <c r="AC412" s="27" t="s">
        <v>570</v>
      </c>
      <c r="AD412" s="1672"/>
      <c r="AE412" s="1672"/>
    </row>
    <row r="413" spans="1:36" ht="12.95" customHeight="1">
      <c r="E413" t="s">
        <v>108</v>
      </c>
      <c r="S413" s="1356" t="s">
        <v>591</v>
      </c>
      <c r="T413" s="1356"/>
    </row>
    <row r="414" spans="1:36" ht="12.95" customHeight="1">
      <c r="E414" t="s">
        <v>170</v>
      </c>
      <c r="H414" s="1840" t="s">
        <v>591</v>
      </c>
      <c r="I414" s="1840"/>
      <c r="J414" s="1840"/>
      <c r="K414" s="1840"/>
      <c r="L414" s="1840"/>
      <c r="M414" s="1840"/>
      <c r="N414" s="1840"/>
      <c r="O414" s="1840"/>
      <c r="P414" s="1840"/>
      <c r="Q414" s="1840"/>
      <c r="R414" s="1840"/>
      <c r="S414" s="1840"/>
      <c r="T414" s="1840"/>
      <c r="U414" s="1840"/>
      <c r="V414" s="1840"/>
      <c r="W414" s="1840"/>
      <c r="X414" s="1840"/>
      <c r="Y414" s="1840"/>
      <c r="Z414" s="1840"/>
      <c r="AA414" s="1840"/>
      <c r="AB414" s="1840"/>
      <c r="AC414" s="1840"/>
      <c r="AD414" s="1840"/>
      <c r="AE414" s="1840"/>
    </row>
    <row r="415" spans="1:36" ht="12.95" customHeight="1">
      <c r="H415" s="1841"/>
      <c r="I415" s="1841"/>
      <c r="J415" s="1841"/>
      <c r="K415" s="1841"/>
      <c r="L415" s="1841"/>
      <c r="M415" s="1841"/>
      <c r="N415" s="1841"/>
      <c r="O415" s="1841"/>
      <c r="P415" s="1841"/>
      <c r="Q415" s="1841"/>
      <c r="R415" s="1841"/>
      <c r="S415" s="1841"/>
      <c r="T415" s="1841"/>
      <c r="U415" s="1841"/>
      <c r="V415" s="1841"/>
      <c r="W415" s="1841"/>
      <c r="X415" s="1841"/>
      <c r="Y415" s="1841"/>
      <c r="Z415" s="1841"/>
      <c r="AA415" s="1841"/>
      <c r="AB415" s="1841"/>
      <c r="AC415" s="1841"/>
      <c r="AD415" s="1841"/>
      <c r="AE415" s="1841"/>
    </row>
    <row r="416" spans="1:36" ht="12.95" customHeight="1"/>
    <row r="417" spans="1:39" ht="12.95" customHeight="1">
      <c r="A417" s="2" t="s">
        <v>590</v>
      </c>
      <c r="B417" s="2"/>
      <c r="C417" s="2"/>
      <c r="D417" s="2" t="s">
        <v>114</v>
      </c>
      <c r="AF417" s="2" t="s">
        <v>957</v>
      </c>
    </row>
    <row r="418" spans="1:39" ht="12.95" customHeight="1">
      <c r="E418" s="1772"/>
      <c r="F418" s="1772"/>
      <c r="G418" s="1772"/>
      <c r="H418" s="13" t="s">
        <v>115</v>
      </c>
      <c r="I418" s="1772"/>
      <c r="J418" s="1772"/>
      <c r="K418" s="1772"/>
      <c r="L418" t="s">
        <v>116</v>
      </c>
      <c r="N418" s="27" t="s">
        <v>575</v>
      </c>
      <c r="P418" s="1769">
        <v>0.80100000000000005</v>
      </c>
      <c r="Q418" s="1769"/>
      <c r="R418" s="1769"/>
      <c r="S418" t="s">
        <v>117</v>
      </c>
      <c r="W418" s="1818">
        <f>IF(E418&gt;0,(E418*I418),(P418*43560))</f>
        <v>34891.560000000005</v>
      </c>
      <c r="X418" s="1818"/>
      <c r="Y418" s="1818"/>
      <c r="Z418" t="s">
        <v>118</v>
      </c>
      <c r="AF418" s="1770">
        <f>IFERROR(IF(P418&gt;0,(AG437/P418),(AG437/(W418/43560))),0)</f>
        <v>243.44569288389511</v>
      </c>
      <c r="AG418" s="1770"/>
      <c r="AH418" s="1770"/>
      <c r="AM418" s="3"/>
    </row>
    <row r="419" spans="1:39" ht="12.95" customHeight="1">
      <c r="E419" t="s">
        <v>51</v>
      </c>
    </row>
    <row r="420" spans="1:39" ht="12.95" customHeight="1">
      <c r="E420" s="1822"/>
      <c r="F420" s="1822"/>
      <c r="G420" s="1822"/>
      <c r="H420" s="1822"/>
      <c r="I420" s="1822"/>
      <c r="J420" s="1822"/>
      <c r="K420" s="1822"/>
      <c r="L420" s="1822"/>
      <c r="M420" s="1822"/>
      <c r="N420" s="1822"/>
      <c r="O420" s="1822"/>
      <c r="P420" s="1822"/>
      <c r="Q420" s="1822"/>
      <c r="R420" s="1822"/>
      <c r="S420" s="1822"/>
      <c r="T420" s="1822"/>
      <c r="U420" s="1822"/>
      <c r="V420" s="1822"/>
      <c r="W420" s="1822"/>
      <c r="X420" s="1822"/>
      <c r="Y420" s="1822"/>
      <c r="Z420" s="1822"/>
      <c r="AA420" s="1822"/>
      <c r="AB420" s="1822"/>
      <c r="AC420" s="1822"/>
      <c r="AD420" s="1822"/>
      <c r="AE420" s="1822"/>
      <c r="AF420" s="1822"/>
      <c r="AG420" s="1822"/>
      <c r="AH420" s="1822"/>
      <c r="AI420" s="1822"/>
      <c r="AJ420" s="1822"/>
    </row>
    <row r="421" spans="1:39" ht="12.95" customHeight="1">
      <c r="E421" s="118" t="s">
        <v>1736</v>
      </c>
      <c r="F421" s="1013"/>
      <c r="G421" s="1013"/>
      <c r="H421" s="1013"/>
      <c r="I421" s="1768">
        <v>0.80100000000000005</v>
      </c>
      <c r="J421" s="1768"/>
      <c r="K421" s="1768"/>
      <c r="L421" s="1013"/>
      <c r="M421" s="118"/>
      <c r="N421" s="1013"/>
      <c r="O421" s="1013"/>
      <c r="P421" s="1437">
        <f>(DU755+DU778+DU800)/I421</f>
        <v>443.19600499375775</v>
      </c>
      <c r="Q421" s="1437"/>
      <c r="R421" s="1437"/>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56">
        <v>1</v>
      </c>
      <c r="Q424" s="1356"/>
      <c r="S424" t="s">
        <v>189</v>
      </c>
      <c r="AE424" s="1356">
        <v>1</v>
      </c>
      <c r="AF424" s="1356"/>
    </row>
    <row r="425" spans="1:39" ht="12.95" customHeight="1">
      <c r="E425" t="s">
        <v>190</v>
      </c>
      <c r="P425" s="1356">
        <v>0</v>
      </c>
      <c r="Q425" s="1356"/>
      <c r="S425" t="s">
        <v>131</v>
      </c>
      <c r="AE425" s="1356" t="s">
        <v>591</v>
      </c>
      <c r="AF425" s="1356"/>
    </row>
    <row r="426" spans="1:39" ht="12.95" customHeight="1">
      <c r="F426" s="28" t="s">
        <v>132</v>
      </c>
    </row>
    <row r="427" spans="1:39" ht="12.95" customHeight="1">
      <c r="F427" s="1824" t="s">
        <v>591</v>
      </c>
      <c r="G427" s="1801"/>
      <c r="H427" s="1801"/>
      <c r="I427" s="1801"/>
      <c r="J427" s="1801"/>
      <c r="K427" s="1801"/>
      <c r="L427" s="1801"/>
      <c r="M427" s="1801"/>
      <c r="N427" s="1801"/>
      <c r="O427" s="1801"/>
      <c r="P427" s="1801"/>
      <c r="Q427" s="1801"/>
      <c r="R427" s="1801"/>
      <c r="S427" s="1801"/>
      <c r="T427" s="1801"/>
      <c r="U427" s="1801"/>
      <c r="V427" s="1801"/>
      <c r="W427" s="1801"/>
      <c r="X427" s="1801"/>
      <c r="Y427" s="1801"/>
      <c r="Z427" s="1801"/>
      <c r="AA427" s="1801"/>
      <c r="AB427" s="1801"/>
      <c r="AC427" s="1801"/>
      <c r="AD427" s="1801"/>
      <c r="AE427" s="1801"/>
      <c r="AF427" s="1801"/>
      <c r="AG427" s="1801"/>
      <c r="AH427" s="1801"/>
    </row>
    <row r="428" spans="1:39" ht="12.95" customHeight="1">
      <c r="F428" s="1802"/>
      <c r="G428" s="1802"/>
      <c r="H428" s="1802"/>
      <c r="I428" s="1802"/>
      <c r="J428" s="1802"/>
      <c r="K428" s="1802"/>
      <c r="L428" s="1802"/>
      <c r="M428" s="1802"/>
      <c r="N428" s="1802"/>
      <c r="O428" s="1802"/>
      <c r="P428" s="1802"/>
      <c r="Q428" s="1802"/>
      <c r="R428" s="1802"/>
      <c r="S428" s="1802"/>
      <c r="T428" s="1802"/>
      <c r="U428" s="1802"/>
      <c r="V428" s="1802"/>
      <c r="W428" s="1802"/>
      <c r="X428" s="1802"/>
      <c r="Y428" s="1802"/>
      <c r="Z428" s="1802"/>
      <c r="AA428" s="1802"/>
      <c r="AB428" s="1802"/>
      <c r="AC428" s="1802"/>
      <c r="AD428" s="1802"/>
      <c r="AE428" s="1802"/>
      <c r="AF428" s="1802"/>
      <c r="AG428" s="1802"/>
      <c r="AH428" s="1802"/>
    </row>
    <row r="429" spans="1:39" ht="12.95" customHeight="1">
      <c r="E429" t="s">
        <v>608</v>
      </c>
      <c r="P429" s="1"/>
      <c r="Q429" s="1356" t="s">
        <v>545</v>
      </c>
      <c r="R429" s="1356"/>
    </row>
    <row r="430" spans="1:39" ht="12.95" customHeight="1">
      <c r="F430" t="s">
        <v>609</v>
      </c>
      <c r="P430" s="1"/>
      <c r="Q430" s="1"/>
      <c r="AF430" s="1356" t="s">
        <v>591</v>
      </c>
      <c r="AG430" s="1823"/>
    </row>
    <row r="431" spans="1:39" ht="12.95" customHeight="1"/>
    <row r="432" spans="1:39" ht="12.95" customHeight="1">
      <c r="A432" s="2"/>
      <c r="B432" s="2"/>
      <c r="C432" s="2"/>
      <c r="E432" s="4" t="s">
        <v>308</v>
      </c>
      <c r="Z432" s="1356" t="s">
        <v>669</v>
      </c>
      <c r="AA432" s="1356"/>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56" t="s">
        <v>591</v>
      </c>
      <c r="AA434" s="1356"/>
    </row>
    <row r="435" spans="1:55" ht="12.95" customHeight="1"/>
    <row r="436" spans="1:55" ht="12.95" customHeight="1">
      <c r="A436" s="2" t="s">
        <v>467</v>
      </c>
      <c r="B436" s="2"/>
      <c r="C436" s="2"/>
      <c r="D436" s="2" t="s">
        <v>764</v>
      </c>
      <c r="AF436" s="48"/>
    </row>
    <row r="437" spans="1:55" ht="12.95" customHeight="1">
      <c r="D437" s="1617" t="s">
        <v>43</v>
      </c>
      <c r="E437" s="1618"/>
      <c r="F437" s="1618"/>
      <c r="G437" s="1618"/>
      <c r="H437" s="1618"/>
      <c r="I437" s="1618"/>
      <c r="J437" s="1618"/>
      <c r="K437" s="1618"/>
      <c r="L437" s="1618"/>
      <c r="M437" s="1618"/>
      <c r="N437" s="1618"/>
      <c r="O437" s="1618"/>
      <c r="P437" s="1618"/>
      <c r="Q437" s="1618"/>
      <c r="R437" s="1618"/>
      <c r="S437" s="1618"/>
      <c r="T437" s="1618"/>
      <c r="U437" s="1618"/>
      <c r="V437" s="1618"/>
      <c r="W437" s="1618"/>
      <c r="X437" s="1618"/>
      <c r="Y437" s="1618"/>
      <c r="Z437" s="1618"/>
      <c r="AA437" s="1618"/>
      <c r="AB437" s="1618"/>
      <c r="AC437" s="1618"/>
      <c r="AD437" s="1618"/>
      <c r="AE437" s="1618"/>
      <c r="AF437" s="1688"/>
      <c r="AG437" s="1819">
        <v>195</v>
      </c>
      <c r="AH437" s="1819"/>
      <c r="AI437" s="1819"/>
      <c r="AJ437" s="1819"/>
    </row>
    <row r="438" spans="1:55" ht="12.95" customHeight="1">
      <c r="D438" s="1698" t="s">
        <v>1222</v>
      </c>
      <c r="E438" s="1699"/>
      <c r="F438" s="1699"/>
      <c r="G438" s="1699"/>
      <c r="H438" s="1699"/>
      <c r="I438" s="1699"/>
      <c r="J438" s="1699"/>
      <c r="K438" s="1699"/>
      <c r="L438" s="1699"/>
      <c r="M438" s="1699"/>
      <c r="N438" s="1699"/>
      <c r="O438" s="1699"/>
      <c r="P438" s="1699"/>
      <c r="Q438" s="1699"/>
      <c r="R438" s="1699"/>
      <c r="S438" s="1699"/>
      <c r="T438" s="1699"/>
      <c r="U438" s="1699"/>
      <c r="V438" s="1699"/>
      <c r="W438" s="1699"/>
      <c r="X438" s="1699"/>
      <c r="Y438" s="1699"/>
      <c r="Z438" s="1699"/>
      <c r="AA438" s="1699"/>
      <c r="AB438" s="1699"/>
      <c r="AC438" s="1699"/>
      <c r="AD438" s="1699"/>
      <c r="AE438" s="1699"/>
      <c r="AF438" s="1700"/>
      <c r="AG438" s="1839">
        <v>0</v>
      </c>
      <c r="AH438" s="1619"/>
      <c r="AI438" s="1619"/>
      <c r="AJ438" s="1619"/>
    </row>
    <row r="439" spans="1:55" ht="12.95" customHeight="1">
      <c r="D439" s="1698" t="s">
        <v>1031</v>
      </c>
      <c r="E439" s="1699"/>
      <c r="F439" s="1699"/>
      <c r="G439" s="1699"/>
      <c r="H439" s="1699"/>
      <c r="I439" s="1699"/>
      <c r="J439" s="1699"/>
      <c r="K439" s="1699"/>
      <c r="L439" s="1699"/>
      <c r="M439" s="1699"/>
      <c r="N439" s="1699"/>
      <c r="O439" s="1699"/>
      <c r="P439" s="1699"/>
      <c r="Q439" s="1699"/>
      <c r="R439" s="1699"/>
      <c r="S439" s="1699"/>
      <c r="T439" s="1699"/>
      <c r="U439" s="1699"/>
      <c r="V439" s="1699"/>
      <c r="W439" s="1699"/>
      <c r="X439" s="1699"/>
      <c r="Y439" s="1699"/>
      <c r="Z439" s="1699"/>
      <c r="AA439" s="1699"/>
      <c r="AB439" s="1699"/>
      <c r="AC439" s="1699"/>
      <c r="AD439" s="1699"/>
      <c r="AE439" s="1699"/>
      <c r="AF439" s="1700"/>
      <c r="AG439" s="1819">
        <v>193</v>
      </c>
      <c r="AH439" s="1819"/>
      <c r="AI439" s="1819"/>
      <c r="AJ439" s="1819"/>
    </row>
    <row r="440" spans="1:55" ht="12.95" customHeight="1">
      <c r="D440" s="1698" t="s">
        <v>1032</v>
      </c>
      <c r="E440" s="1699"/>
      <c r="F440" s="1699"/>
      <c r="G440" s="1699"/>
      <c r="H440" s="1699"/>
      <c r="I440" s="1699"/>
      <c r="J440" s="1699"/>
      <c r="K440" s="1699"/>
      <c r="L440" s="1699"/>
      <c r="M440" s="1699"/>
      <c r="N440" s="1699"/>
      <c r="O440" s="1699"/>
      <c r="P440" s="1699"/>
      <c r="Q440" s="1699"/>
      <c r="R440" s="1699"/>
      <c r="S440" s="1699"/>
      <c r="T440" s="1699"/>
      <c r="U440" s="1699"/>
      <c r="V440" s="1699"/>
      <c r="W440" s="1699"/>
      <c r="X440" s="1699"/>
      <c r="Y440" s="1699"/>
      <c r="Z440" s="1699"/>
      <c r="AA440" s="1699"/>
      <c r="AB440" s="1699"/>
      <c r="AC440" s="1699"/>
      <c r="AD440" s="1699"/>
      <c r="AE440" s="1699"/>
      <c r="AF440" s="1700"/>
      <c r="AG440" s="1819">
        <v>193</v>
      </c>
      <c r="AH440" s="1819"/>
      <c r="AI440" s="1819"/>
      <c r="AJ440" s="1819"/>
    </row>
    <row r="441" spans="1:55" ht="12.95" customHeight="1">
      <c r="D441" s="1698" t="s">
        <v>1034</v>
      </c>
      <c r="E441" s="1699"/>
      <c r="F441" s="1699"/>
      <c r="G441" s="1699"/>
      <c r="H441" s="1699"/>
      <c r="I441" s="1699"/>
      <c r="J441" s="1699"/>
      <c r="K441" s="1699"/>
      <c r="L441" s="1699"/>
      <c r="M441" s="1699"/>
      <c r="N441" s="1699"/>
      <c r="O441" s="1699"/>
      <c r="P441" s="1699"/>
      <c r="Q441" s="1699"/>
      <c r="R441" s="1699"/>
      <c r="S441" s="1699"/>
      <c r="T441" s="1699"/>
      <c r="U441" s="1699"/>
      <c r="V441" s="1699"/>
      <c r="W441" s="1699"/>
      <c r="X441" s="1699"/>
      <c r="Y441" s="1699"/>
      <c r="Z441" s="1699"/>
      <c r="AA441" s="1699"/>
      <c r="AB441" s="1699"/>
      <c r="AC441" s="1699"/>
      <c r="AD441" s="1699"/>
      <c r="AE441" s="1699"/>
      <c r="AF441" s="1700"/>
      <c r="AG441" s="1771">
        <f>IF(ISERROR(AG440/AG439),0,AG440/AG439)</f>
        <v>1</v>
      </c>
      <c r="AH441" s="1771"/>
      <c r="AI441" s="1771"/>
      <c r="AJ441" s="1771"/>
    </row>
    <row r="442" spans="1:55" ht="12.95" customHeight="1">
      <c r="D442" s="1698" t="s">
        <v>1033</v>
      </c>
      <c r="E442" s="1699"/>
      <c r="F442" s="1699"/>
      <c r="G442" s="1699"/>
      <c r="H442" s="1699"/>
      <c r="I442" s="1699"/>
      <c r="J442" s="1699"/>
      <c r="K442" s="1699"/>
      <c r="L442" s="1699"/>
      <c r="M442" s="1699"/>
      <c r="N442" s="1699"/>
      <c r="O442" s="1699"/>
      <c r="P442" s="1699"/>
      <c r="Q442" s="1699"/>
      <c r="R442" s="1699"/>
      <c r="S442" s="1699"/>
      <c r="T442" s="1699"/>
      <c r="U442" s="1699"/>
      <c r="V442" s="1699"/>
      <c r="W442" s="1699"/>
      <c r="X442" s="1699"/>
      <c r="Y442" s="1699"/>
      <c r="Z442" s="1699"/>
      <c r="AA442" s="1699"/>
      <c r="AB442" s="1699"/>
      <c r="AC442" s="1699"/>
      <c r="AD442" s="1699"/>
      <c r="AE442" s="1699"/>
      <c r="AF442" s="1700"/>
      <c r="AG442" s="1689">
        <v>137902</v>
      </c>
      <c r="AH442" s="1689"/>
      <c r="AI442" s="1689"/>
      <c r="AJ442" s="1689"/>
    </row>
    <row r="443" spans="1:55" ht="12.95" customHeight="1">
      <c r="D443" s="1698" t="s">
        <v>1035</v>
      </c>
      <c r="E443" s="1699"/>
      <c r="F443" s="1699"/>
      <c r="G443" s="1699"/>
      <c r="H443" s="1699"/>
      <c r="I443" s="1699"/>
      <c r="J443" s="1699"/>
      <c r="K443" s="1699"/>
      <c r="L443" s="1699"/>
      <c r="M443" s="1699"/>
      <c r="N443" s="1699"/>
      <c r="O443" s="1699"/>
      <c r="P443" s="1699"/>
      <c r="Q443" s="1699"/>
      <c r="R443" s="1699"/>
      <c r="S443" s="1699"/>
      <c r="T443" s="1699"/>
      <c r="U443" s="1699"/>
      <c r="V443" s="1699"/>
      <c r="W443" s="1699"/>
      <c r="X443" s="1699"/>
      <c r="Y443" s="1699"/>
      <c r="Z443" s="1699"/>
      <c r="AA443" s="1699"/>
      <c r="AB443" s="1699"/>
      <c r="AC443" s="1699"/>
      <c r="AD443" s="1699"/>
      <c r="AE443" s="1699"/>
      <c r="AF443" s="1700"/>
      <c r="AG443" s="1689">
        <v>137902</v>
      </c>
      <c r="AH443" s="1689"/>
      <c r="AI443" s="1689"/>
      <c r="AJ443" s="1689"/>
    </row>
    <row r="444" spans="1:55" ht="12.95" customHeight="1">
      <c r="D444" s="1698" t="s">
        <v>1036</v>
      </c>
      <c r="E444" s="1699"/>
      <c r="F444" s="1699"/>
      <c r="G444" s="1699"/>
      <c r="H444" s="1699"/>
      <c r="I444" s="1699"/>
      <c r="J444" s="1699"/>
      <c r="K444" s="1699"/>
      <c r="L444" s="1699"/>
      <c r="M444" s="1699"/>
      <c r="N444" s="1699"/>
      <c r="O444" s="1699"/>
      <c r="P444" s="1699"/>
      <c r="Q444" s="1699"/>
      <c r="R444" s="1699"/>
      <c r="S444" s="1699"/>
      <c r="T444" s="1699"/>
      <c r="U444" s="1699"/>
      <c r="V444" s="1699"/>
      <c r="W444" s="1699"/>
      <c r="X444" s="1699"/>
      <c r="Y444" s="1699"/>
      <c r="Z444" s="1699"/>
      <c r="AA444" s="1699"/>
      <c r="AB444" s="1699"/>
      <c r="AC444" s="1699"/>
      <c r="AD444" s="1699"/>
      <c r="AE444" s="1699"/>
      <c r="AF444" s="1700"/>
      <c r="AG444" s="1771">
        <f>IF(ISERROR(AG443/AG442),0,AG443/AG442)</f>
        <v>1</v>
      </c>
      <c r="AH444" s="1771"/>
      <c r="AI444" s="1771"/>
      <c r="AJ444" s="1771"/>
    </row>
    <row r="445" spans="1:55" ht="12.95" customHeight="1">
      <c r="D445" s="1698" t="s">
        <v>1037</v>
      </c>
      <c r="E445" s="1699"/>
      <c r="F445" s="1699"/>
      <c r="G445" s="1699"/>
      <c r="H445" s="1699"/>
      <c r="I445" s="1699"/>
      <c r="J445" s="1699"/>
      <c r="K445" s="1699"/>
      <c r="L445" s="1699"/>
      <c r="M445" s="1699"/>
      <c r="N445" s="1699"/>
      <c r="O445" s="1699"/>
      <c r="P445" s="1699"/>
      <c r="Q445" s="1699"/>
      <c r="R445" s="1699"/>
      <c r="S445" s="1699"/>
      <c r="T445" s="1699"/>
      <c r="U445" s="1699"/>
      <c r="V445" s="1699"/>
      <c r="W445" s="1699"/>
      <c r="X445" s="1699"/>
      <c r="Y445" s="1699"/>
      <c r="Z445" s="1699"/>
      <c r="AA445" s="1699"/>
      <c r="AB445" s="1699"/>
      <c r="AC445" s="1699"/>
      <c r="AD445" s="1699"/>
      <c r="AE445" s="1699"/>
      <c r="AF445" s="1700"/>
      <c r="AG445" s="1771">
        <f>MIN(IF(AG441&gt;AG444,AG444,AG441),1)</f>
        <v>1</v>
      </c>
      <c r="AH445" s="1771"/>
      <c r="AI445" s="1771"/>
      <c r="AJ445" s="1771"/>
    </row>
    <row r="446" spans="1:55" ht="12.95" customHeight="1">
      <c r="D446" s="1698" t="s">
        <v>2088</v>
      </c>
      <c r="E446" s="1618"/>
      <c r="F446" s="1618"/>
      <c r="G446" s="1618"/>
      <c r="H446" s="1618"/>
      <c r="I446" s="1618"/>
      <c r="J446" s="1618"/>
      <c r="K446" s="1618"/>
      <c r="L446" s="1618"/>
      <c r="M446" s="1618"/>
      <c r="N446" s="1618"/>
      <c r="O446" s="1618"/>
      <c r="P446" s="1618"/>
      <c r="Q446" s="1618"/>
      <c r="R446" s="1618"/>
      <c r="S446" s="1618"/>
      <c r="T446" s="1618"/>
      <c r="U446" s="1618"/>
      <c r="V446" s="1618"/>
      <c r="W446" s="1618"/>
      <c r="X446" s="1618"/>
      <c r="Y446" s="1618"/>
      <c r="Z446" s="1618"/>
      <c r="AA446" s="1618"/>
      <c r="AB446" s="1618"/>
      <c r="AC446" s="1618"/>
      <c r="AD446" s="1618"/>
      <c r="AE446" s="1618"/>
      <c r="AF446" s="1688"/>
      <c r="AG446" s="1689">
        <v>2200</v>
      </c>
      <c r="AH446" s="1689"/>
      <c r="AI446" s="1689"/>
      <c r="AJ446" s="1689"/>
      <c r="AZ446" s="34"/>
      <c r="BA446" s="34"/>
      <c r="BB446" s="34"/>
      <c r="BC446" s="34"/>
    </row>
    <row r="447" spans="1:55" ht="12.95" customHeight="1">
      <c r="D447" s="1617" t="s">
        <v>569</v>
      </c>
      <c r="E447" s="1618"/>
      <c r="F447" s="1618"/>
      <c r="G447" s="1618"/>
      <c r="H447" s="1618"/>
      <c r="I447" s="1618"/>
      <c r="J447" s="1618"/>
      <c r="K447" s="1618"/>
      <c r="L447" s="1618"/>
      <c r="M447" s="1618"/>
      <c r="N447" s="1618"/>
      <c r="O447" s="1618"/>
      <c r="P447" s="1618"/>
      <c r="Q447" s="1618"/>
      <c r="R447" s="1618"/>
      <c r="S447" s="1618"/>
      <c r="T447" s="1618"/>
      <c r="U447" s="1618"/>
      <c r="V447" s="1618"/>
      <c r="W447" s="1618"/>
      <c r="X447" s="1618"/>
      <c r="Y447" s="1618"/>
      <c r="Z447" s="1618"/>
      <c r="AA447" s="1618"/>
      <c r="AB447" s="1618"/>
      <c r="AC447" s="1618"/>
      <c r="AD447" s="1618"/>
      <c r="AE447" s="1618"/>
      <c r="AF447" s="1688"/>
      <c r="AG447" s="1689">
        <v>0</v>
      </c>
      <c r="AH447" s="1689"/>
      <c r="AI447" s="1689"/>
      <c r="AJ447" s="1689"/>
      <c r="AZ447" s="3"/>
      <c r="BA447" s="3"/>
      <c r="BB447" s="3"/>
      <c r="BC447" s="3"/>
    </row>
    <row r="448" spans="1:55" ht="12.95" customHeight="1">
      <c r="D448" s="1698" t="s">
        <v>1205</v>
      </c>
      <c r="E448" s="1618"/>
      <c r="F448" s="1618"/>
      <c r="G448" s="1618"/>
      <c r="H448" s="1618"/>
      <c r="I448" s="1618"/>
      <c r="J448" s="1618"/>
      <c r="K448" s="1618"/>
      <c r="L448" s="1618"/>
      <c r="M448" s="1618"/>
      <c r="N448" s="1618"/>
      <c r="O448" s="1618"/>
      <c r="P448" s="1618"/>
      <c r="Q448" s="1618"/>
      <c r="R448" s="1618"/>
      <c r="S448" s="1618"/>
      <c r="T448" s="1618"/>
      <c r="U448" s="1618"/>
      <c r="V448" s="1618"/>
      <c r="W448" s="1618"/>
      <c r="X448" s="1618"/>
      <c r="Y448" s="1618"/>
      <c r="Z448" s="1618"/>
      <c r="AA448" s="1618"/>
      <c r="AB448" s="1618"/>
      <c r="AC448" s="1618"/>
      <c r="AD448" s="1618"/>
      <c r="AE448" s="1618"/>
      <c r="AF448" s="1688"/>
      <c r="AG448" s="1689">
        <v>68901</v>
      </c>
      <c r="AH448" s="1689"/>
      <c r="AI448" s="1689"/>
      <c r="AJ448" s="1689"/>
      <c r="AZ448" s="3"/>
      <c r="BA448" s="3"/>
      <c r="BB448" s="3"/>
      <c r="BC448" s="3"/>
    </row>
    <row r="449" spans="1:55" ht="12.95" customHeight="1">
      <c r="D449" s="1698" t="s">
        <v>1038</v>
      </c>
      <c r="E449" s="1618"/>
      <c r="F449" s="1618"/>
      <c r="G449" s="1618"/>
      <c r="H449" s="1618"/>
      <c r="I449" s="1618"/>
      <c r="J449" s="1618"/>
      <c r="K449" s="1618"/>
      <c r="L449" s="1618"/>
      <c r="M449" s="1618"/>
      <c r="N449" s="1618"/>
      <c r="O449" s="1618"/>
      <c r="P449" s="1618"/>
      <c r="Q449" s="1618"/>
      <c r="R449" s="1618"/>
      <c r="S449" s="1618"/>
      <c r="T449" s="1618"/>
      <c r="U449" s="1618"/>
      <c r="V449" s="1618"/>
      <c r="W449" s="1618"/>
      <c r="X449" s="1618"/>
      <c r="Y449" s="1618"/>
      <c r="Z449" s="1618"/>
      <c r="AA449" s="1618"/>
      <c r="AB449" s="1618"/>
      <c r="AC449" s="1618"/>
      <c r="AD449" s="1618"/>
      <c r="AE449" s="1618"/>
      <c r="AF449" s="1688"/>
      <c r="AG449" s="1689">
        <v>2816</v>
      </c>
      <c r="AH449" s="1689"/>
      <c r="AI449" s="1689"/>
      <c r="AJ449" s="1689"/>
      <c r="BB449" s="3"/>
      <c r="BC449" s="3"/>
    </row>
    <row r="450" spans="1:55" ht="12.95" customHeight="1">
      <c r="D450" s="1763" t="s">
        <v>1039</v>
      </c>
      <c r="E450" s="1764"/>
      <c r="F450" s="1764"/>
      <c r="G450" s="1764"/>
      <c r="H450" s="1764"/>
      <c r="I450" s="1764"/>
      <c r="J450" s="1764"/>
      <c r="K450" s="1764"/>
      <c r="L450" s="1764"/>
      <c r="M450" s="1764"/>
      <c r="N450" s="1764"/>
      <c r="O450" s="1764"/>
      <c r="P450" s="1764"/>
      <c r="Q450" s="1764"/>
      <c r="R450" s="1764"/>
      <c r="S450" s="1764"/>
      <c r="T450" s="1764"/>
      <c r="U450" s="1764"/>
      <c r="V450" s="1764"/>
      <c r="W450" s="1764"/>
      <c r="X450" s="1764"/>
      <c r="Y450" s="1764"/>
      <c r="Z450" s="1764"/>
      <c r="AA450" s="1764"/>
      <c r="AB450" s="1764"/>
      <c r="AC450" s="1764"/>
      <c r="AD450" s="1764"/>
      <c r="AE450" s="1764"/>
      <c r="AF450" s="1765"/>
      <c r="AG450" s="1856">
        <f>AG442+AG446+AG448+AG449</f>
        <v>211819</v>
      </c>
      <c r="AH450" s="1856"/>
      <c r="AI450" s="1856"/>
      <c r="AJ450" s="1856"/>
      <c r="AZ450" s="3"/>
      <c r="BA450" s="3"/>
      <c r="BB450" s="3"/>
      <c r="BC450" s="3"/>
    </row>
    <row r="451" spans="1:55" ht="12.95" customHeight="1">
      <c r="D451" s="1755" t="s">
        <v>1206</v>
      </c>
      <c r="E451" s="1755"/>
      <c r="F451" s="1755"/>
      <c r="G451" s="1755"/>
      <c r="H451" s="1755"/>
      <c r="I451" s="1755"/>
      <c r="J451" s="1755"/>
      <c r="K451" s="1755"/>
      <c r="L451" s="1755"/>
      <c r="M451" s="1755"/>
      <c r="N451" s="1755"/>
      <c r="O451" s="1755"/>
      <c r="P451" s="1755"/>
      <c r="Q451" s="1755"/>
      <c r="R451" s="1755"/>
      <c r="S451" s="1755"/>
      <c r="T451" s="1755"/>
      <c r="U451" s="1755"/>
      <c r="V451" s="1755"/>
      <c r="W451" s="1755"/>
      <c r="X451" s="1755"/>
      <c r="Y451" s="1755"/>
      <c r="Z451" s="1755"/>
      <c r="AA451" s="1755"/>
      <c r="AB451" s="1755"/>
      <c r="AC451" s="1755"/>
      <c r="AD451" s="1755"/>
      <c r="AE451" s="1755"/>
      <c r="AF451" s="1755"/>
      <c r="AG451" s="1755"/>
      <c r="AH451" s="1755"/>
      <c r="AI451" s="1755"/>
      <c r="AJ451" s="1755"/>
      <c r="AZ451" s="3"/>
      <c r="BA451" s="3"/>
      <c r="BB451" s="3"/>
      <c r="BC451" s="3"/>
    </row>
    <row r="452" spans="1:55" ht="12.95" customHeight="1">
      <c r="D452" s="1756"/>
      <c r="E452" s="1756"/>
      <c r="F452" s="1756"/>
      <c r="G452" s="1756"/>
      <c r="H452" s="1756"/>
      <c r="I452" s="1756"/>
      <c r="J452" s="1756"/>
      <c r="K452" s="1756"/>
      <c r="L452" s="1756"/>
      <c r="M452" s="1756"/>
      <c r="N452" s="1756"/>
      <c r="O452" s="1756"/>
      <c r="P452" s="1756"/>
      <c r="Q452" s="1756"/>
      <c r="R452" s="1756"/>
      <c r="S452" s="1756"/>
      <c r="T452" s="1756"/>
      <c r="U452" s="1756"/>
      <c r="V452" s="1756"/>
      <c r="W452" s="1756"/>
      <c r="X452" s="1756"/>
      <c r="Y452" s="1756"/>
      <c r="Z452" s="1756"/>
      <c r="AA452" s="1756"/>
      <c r="AB452" s="1756"/>
      <c r="AC452" s="1756"/>
      <c r="AD452" s="1756"/>
      <c r="AE452" s="1756"/>
      <c r="AF452" s="1756"/>
      <c r="AG452" s="1756"/>
      <c r="AH452" s="1756"/>
      <c r="AI452" s="1756"/>
      <c r="AJ452" s="1756"/>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754">
        <f>IF(AG437=0,"",'Sources and Uses Budget'!B105/Application!AG437)</f>
        <v>833809.6102564102</v>
      </c>
      <c r="AD454" s="1754"/>
      <c r="AE454" s="1754"/>
      <c r="AF454" s="1754"/>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754">
        <f>IF(AG437=0,"",'Sources and Uses Budget'!C105/Application!AG437)</f>
        <v>833809.6102564102</v>
      </c>
      <c r="AD455" s="1754"/>
      <c r="AE455" s="1754"/>
      <c r="AF455" s="1754"/>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754">
        <f>IF(AG437=0,"",('Sources and Uses Budget'!$S$107+'Sources and Uses Budget'!$T$107)/Application!AG437)</f>
        <v>730561.39487179485</v>
      </c>
      <c r="AD456" s="1754"/>
      <c r="AE456" s="1754"/>
      <c r="AF456" s="1754"/>
      <c r="AG456" s="177"/>
      <c r="AH456" s="177"/>
      <c r="AI456" s="177"/>
      <c r="AJ456" s="183"/>
      <c r="AZ456" s="3"/>
      <c r="BA456" s="3"/>
      <c r="BB456" s="3"/>
      <c r="BC456" s="3"/>
    </row>
    <row r="457" spans="1:55" ht="12.95" customHeight="1">
      <c r="D457" s="177"/>
      <c r="E457" s="177"/>
      <c r="F457" s="174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45"/>
      <c r="H457" s="1745"/>
      <c r="I457" s="1745"/>
      <c r="J457" s="1745"/>
      <c r="K457" s="1745"/>
      <c r="L457" s="1745"/>
      <c r="M457" s="1745"/>
      <c r="N457" s="1745"/>
      <c r="O457" s="1745"/>
      <c r="P457" s="1745"/>
      <c r="Q457" s="1745"/>
      <c r="R457" s="1745"/>
      <c r="S457" s="1745"/>
      <c r="T457" s="1745"/>
      <c r="U457" s="1745"/>
      <c r="V457" s="1745"/>
      <c r="W457" s="1745"/>
      <c r="X457" s="1745"/>
      <c r="Y457" s="1745"/>
      <c r="Z457" s="1745"/>
      <c r="AA457" s="1745"/>
      <c r="AB457" s="1745"/>
      <c r="AC457" s="515"/>
      <c r="AD457" s="177"/>
      <c r="AE457" s="177"/>
      <c r="AF457" s="177"/>
      <c r="AG457" s="177"/>
      <c r="AH457" s="177"/>
      <c r="AI457" s="177"/>
      <c r="AJ457" s="183"/>
      <c r="AZ457" s="3"/>
      <c r="BA457" s="3"/>
      <c r="BB457" s="3"/>
      <c r="BC457" s="3"/>
    </row>
    <row r="458" spans="1:55" ht="12.95" customHeight="1">
      <c r="A458" s="2"/>
      <c r="D458" s="2"/>
      <c r="E458" s="177"/>
      <c r="F458" s="1745"/>
      <c r="G458" s="1745"/>
      <c r="H458" s="1745"/>
      <c r="I458" s="1745"/>
      <c r="J458" s="1745"/>
      <c r="K458" s="1745"/>
      <c r="L458" s="1745"/>
      <c r="M458" s="1745"/>
      <c r="N458" s="1745"/>
      <c r="O458" s="1745"/>
      <c r="P458" s="1745"/>
      <c r="Q458" s="1745"/>
      <c r="R458" s="1745"/>
      <c r="S458" s="1745"/>
      <c r="T458" s="1745"/>
      <c r="U458" s="1745"/>
      <c r="V458" s="1745"/>
      <c r="W458" s="1745"/>
      <c r="X458" s="1745"/>
      <c r="Y458" s="1745"/>
      <c r="Z458" s="1745"/>
      <c r="AA458" s="1745"/>
      <c r="AB458" s="1745"/>
      <c r="AC458" s="177"/>
      <c r="AD458" s="177"/>
      <c r="AE458" s="177"/>
      <c r="AF458" s="177"/>
      <c r="AG458" s="177"/>
      <c r="AH458" s="177"/>
      <c r="AI458" s="177"/>
      <c r="AJ458" s="183"/>
      <c r="AZ458" s="3"/>
      <c r="BA458" s="3"/>
      <c r="BB458" s="3"/>
      <c r="BC458" s="3"/>
    </row>
    <row r="459" spans="1:55" ht="12.95"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77" t="s">
        <v>2100</v>
      </c>
      <c r="E465" s="1750"/>
      <c r="F465" s="1750"/>
      <c r="G465" s="1750"/>
      <c r="H465" s="1750"/>
      <c r="I465" s="1750"/>
      <c r="J465" s="1750"/>
      <c r="K465" s="1750"/>
      <c r="L465" s="1750"/>
      <c r="M465" s="1750"/>
      <c r="N465" s="1750"/>
      <c r="O465" s="1750"/>
      <c r="P465" s="1750"/>
      <c r="Q465" s="1750"/>
      <c r="R465" s="1750"/>
      <c r="S465" s="1750"/>
      <c r="T465" s="1750"/>
      <c r="U465" s="1750"/>
      <c r="V465" s="1751"/>
      <c r="W465" s="1673">
        <v>49</v>
      </c>
      <c r="X465" s="1674"/>
      <c r="Y465" s="1675"/>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49" t="s">
        <v>693</v>
      </c>
      <c r="E466" s="1750"/>
      <c r="F466" s="1750"/>
      <c r="G466" s="1750"/>
      <c r="H466" s="1750"/>
      <c r="I466" s="1750"/>
      <c r="J466" s="1750"/>
      <c r="K466" s="1750"/>
      <c r="L466" s="1750"/>
      <c r="M466" s="1750"/>
      <c r="N466" s="1750"/>
      <c r="O466" s="1750"/>
      <c r="P466" s="1750"/>
      <c r="Q466" s="1750"/>
      <c r="R466" s="1750"/>
      <c r="S466" s="1750"/>
      <c r="T466" s="1750"/>
      <c r="U466" s="1750"/>
      <c r="V466" s="1751"/>
      <c r="W466" s="1673">
        <v>0</v>
      </c>
      <c r="X466" s="1674"/>
      <c r="Y466" s="1675"/>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49" t="s">
        <v>694</v>
      </c>
      <c r="E467" s="1750"/>
      <c r="F467" s="1750"/>
      <c r="G467" s="1750"/>
      <c r="H467" s="1750"/>
      <c r="I467" s="1750"/>
      <c r="J467" s="1750"/>
      <c r="K467" s="1750"/>
      <c r="L467" s="1750"/>
      <c r="M467" s="1750"/>
      <c r="N467" s="1750"/>
      <c r="O467" s="1750"/>
      <c r="P467" s="1750"/>
      <c r="Q467" s="1750"/>
      <c r="R467" s="1750"/>
      <c r="S467" s="1750"/>
      <c r="T467" s="1750"/>
      <c r="U467" s="1750"/>
      <c r="V467" s="1751"/>
      <c r="W467" s="1673">
        <v>0</v>
      </c>
      <c r="X467" s="1674"/>
      <c r="Y467" s="1675"/>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49" t="s">
        <v>695</v>
      </c>
      <c r="E468" s="1750"/>
      <c r="F468" s="1750"/>
      <c r="G468" s="1750"/>
      <c r="H468" s="1750"/>
      <c r="I468" s="1750"/>
      <c r="J468" s="1750"/>
      <c r="K468" s="1750"/>
      <c r="L468" s="1750"/>
      <c r="M468" s="1750"/>
      <c r="N468" s="1750"/>
      <c r="O468" s="1750"/>
      <c r="P468" s="1750"/>
      <c r="Q468" s="1750"/>
      <c r="R468" s="1750"/>
      <c r="S468" s="1750"/>
      <c r="T468" s="1750"/>
      <c r="U468" s="1750"/>
      <c r="V468" s="1751"/>
      <c r="W468" s="1673">
        <v>0</v>
      </c>
      <c r="X468" s="1674"/>
      <c r="Y468" s="1675"/>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49" t="s">
        <v>881</v>
      </c>
      <c r="E469" s="1750"/>
      <c r="F469" s="1750"/>
      <c r="G469" s="1750"/>
      <c r="H469" s="1750"/>
      <c r="I469" s="1750"/>
      <c r="J469" s="1750"/>
      <c r="K469" s="1750"/>
      <c r="L469" s="1750"/>
      <c r="M469" s="1750"/>
      <c r="N469" s="1750"/>
      <c r="O469" s="1750"/>
      <c r="P469" s="1750"/>
      <c r="Q469" s="1750"/>
      <c r="R469" s="1750"/>
      <c r="S469" s="1750"/>
      <c r="T469" s="1750"/>
      <c r="U469" s="1750"/>
      <c r="V469" s="1751"/>
      <c r="W469" s="1673">
        <v>0</v>
      </c>
      <c r="X469" s="1674"/>
      <c r="Y469" s="1675"/>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49" t="s">
        <v>696</v>
      </c>
      <c r="E470" s="1750"/>
      <c r="F470" s="1750"/>
      <c r="G470" s="1750"/>
      <c r="H470" s="1750"/>
      <c r="I470" s="1750"/>
      <c r="J470" s="1750"/>
      <c r="K470" s="1750"/>
      <c r="L470" s="1750"/>
      <c r="M470" s="1750"/>
      <c r="N470" s="1750"/>
      <c r="O470" s="1750"/>
      <c r="P470" s="1750"/>
      <c r="Q470" s="1750"/>
      <c r="R470" s="1750"/>
      <c r="S470" s="1750"/>
      <c r="T470" s="1750"/>
      <c r="U470" s="1750"/>
      <c r="V470" s="1751"/>
      <c r="W470" s="1673">
        <v>0</v>
      </c>
      <c r="X470" s="1674"/>
      <c r="Y470" s="1675"/>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49" t="s">
        <v>1012</v>
      </c>
      <c r="E471" s="1750"/>
      <c r="F471" s="1750"/>
      <c r="G471" s="1750"/>
      <c r="H471" s="1750"/>
      <c r="I471" s="1750"/>
      <c r="J471" s="1750"/>
      <c r="K471" s="1750"/>
      <c r="L471" s="1750"/>
      <c r="M471" s="1750"/>
      <c r="N471" s="1750"/>
      <c r="O471" s="1750"/>
      <c r="P471" s="1750"/>
      <c r="Q471" s="1750"/>
      <c r="R471" s="1750"/>
      <c r="S471" s="1750"/>
      <c r="T471" s="1750"/>
      <c r="U471" s="1750"/>
      <c r="V471" s="1751"/>
      <c r="W471" s="1673">
        <v>0</v>
      </c>
      <c r="X471" s="1674"/>
      <c r="Y471" s="1675"/>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77" t="s">
        <v>2191</v>
      </c>
      <c r="E472" s="1865"/>
      <c r="F472" s="1865"/>
      <c r="G472" s="1865"/>
      <c r="H472" s="1865"/>
      <c r="I472" s="1865"/>
      <c r="J472" s="1865"/>
      <c r="K472" s="1865"/>
      <c r="L472" s="1865"/>
      <c r="M472" s="1865"/>
      <c r="N472" s="1865"/>
      <c r="O472" s="1865"/>
      <c r="P472" s="1865"/>
      <c r="Q472" s="1865"/>
      <c r="R472" s="1865"/>
      <c r="S472" s="1865"/>
      <c r="T472" s="1865"/>
      <c r="U472" s="1865"/>
      <c r="V472" s="1866"/>
      <c r="W472" s="1673">
        <v>0</v>
      </c>
      <c r="X472" s="1674"/>
      <c r="Y472" s="1675"/>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77" t="s">
        <v>1654</v>
      </c>
      <c r="E473" s="1750"/>
      <c r="F473" s="1750"/>
      <c r="G473" s="1750"/>
      <c r="H473" s="1750"/>
      <c r="I473" s="1750"/>
      <c r="J473" s="1750"/>
      <c r="K473" s="1750"/>
      <c r="L473" s="1750"/>
      <c r="M473" s="1750"/>
      <c r="N473" s="1750"/>
      <c r="O473" s="1750"/>
      <c r="P473" s="1750"/>
      <c r="Q473" s="1750"/>
      <c r="R473" s="1750"/>
      <c r="S473" s="1750"/>
      <c r="T473" s="1750"/>
      <c r="U473" s="1750"/>
      <c r="V473" s="1751"/>
      <c r="W473" s="1673">
        <v>0</v>
      </c>
      <c r="X473" s="1674"/>
      <c r="Y473" s="1675"/>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5"/>
      <c r="H474" s="1696"/>
      <c r="I474" s="1696"/>
      <c r="J474" s="1696"/>
      <c r="K474" s="1696"/>
      <c r="L474" s="1696"/>
      <c r="M474" s="1696"/>
      <c r="N474" s="1696"/>
      <c r="O474" s="1696"/>
      <c r="P474" s="1696"/>
      <c r="Q474" s="1696"/>
      <c r="R474" s="1696"/>
      <c r="S474" s="1696"/>
      <c r="T474" s="1696"/>
      <c r="U474" s="1696"/>
      <c r="V474" s="1697"/>
      <c r="W474" s="1673">
        <v>0</v>
      </c>
      <c r="X474" s="1674"/>
      <c r="Y474" s="1675"/>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t="s">
        <v>2645</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t="s">
        <v>2646</v>
      </c>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t="s">
        <v>2647</v>
      </c>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415" t="s">
        <v>810</v>
      </c>
      <c r="B480" s="1415"/>
      <c r="C480" s="1415"/>
      <c r="D480" s="1415"/>
      <c r="E480" s="1415"/>
      <c r="F480" s="1415"/>
      <c r="G480" s="1415"/>
      <c r="H480" s="1415"/>
      <c r="I480" s="1415"/>
      <c r="J480" s="1415"/>
      <c r="K480" s="1415"/>
      <c r="L480" s="1415"/>
      <c r="M480" s="1415"/>
      <c r="N480" s="1415"/>
      <c r="O480" s="1415"/>
      <c r="P480" s="1415"/>
      <c r="Q480" s="1415"/>
      <c r="R480" s="1415"/>
      <c r="S480" s="1415"/>
      <c r="T480" s="1415"/>
      <c r="U480" s="1415"/>
      <c r="V480" s="1415"/>
      <c r="W480" s="1415"/>
      <c r="X480" s="1415"/>
      <c r="Y480" s="1415"/>
      <c r="Z480" s="1415"/>
      <c r="AA480" s="1415"/>
      <c r="AB480" s="1415"/>
      <c r="AC480" s="1415"/>
      <c r="AD480" s="1415"/>
      <c r="AE480" s="1415"/>
      <c r="AF480" s="1415"/>
      <c r="AG480" s="1415"/>
      <c r="AH480" s="1415"/>
      <c r="AI480" s="1415"/>
      <c r="AJ480" s="1415"/>
      <c r="AK480" s="1415"/>
      <c r="AL480" s="1415"/>
      <c r="AM480" s="1415"/>
      <c r="AN480" s="1415"/>
      <c r="AO480" s="1415"/>
      <c r="AP480" s="1415"/>
      <c r="AQ480" s="1415"/>
      <c r="AR480" s="1415"/>
      <c r="AS480" s="1415"/>
      <c r="AT480" s="1415"/>
      <c r="AU480" s="95"/>
      <c r="AV480" s="95"/>
      <c r="AW480" s="95"/>
      <c r="AX480" s="95"/>
      <c r="AY480" s="95"/>
      <c r="AZ480" s="3"/>
      <c r="BB480" s="3"/>
      <c r="BC480" s="3"/>
    </row>
    <row r="481" spans="1:55" ht="12.95" customHeight="1">
      <c r="A481" s="1415"/>
      <c r="B481" s="1415"/>
      <c r="C481" s="1415"/>
      <c r="D481" s="1415"/>
      <c r="E481" s="1415"/>
      <c r="F481" s="1415"/>
      <c r="G481" s="1415"/>
      <c r="H481" s="1415"/>
      <c r="I481" s="1415"/>
      <c r="J481" s="1415"/>
      <c r="K481" s="1415"/>
      <c r="L481" s="1415"/>
      <c r="M481" s="1415"/>
      <c r="N481" s="1415"/>
      <c r="O481" s="1415"/>
      <c r="P481" s="1415"/>
      <c r="Q481" s="1415"/>
      <c r="R481" s="1415"/>
      <c r="S481" s="1415"/>
      <c r="T481" s="1415"/>
      <c r="U481" s="1415"/>
      <c r="V481" s="1415"/>
      <c r="W481" s="1415"/>
      <c r="X481" s="1415"/>
      <c r="Y481" s="1415"/>
      <c r="Z481" s="1415"/>
      <c r="AA481" s="1415"/>
      <c r="AB481" s="1415"/>
      <c r="AC481" s="1415"/>
      <c r="AD481" s="1415"/>
      <c r="AE481" s="1415"/>
      <c r="AF481" s="1415"/>
      <c r="AG481" s="1415"/>
      <c r="AH481" s="1415"/>
      <c r="AI481" s="1415"/>
      <c r="AJ481" s="1415"/>
      <c r="AK481" s="1415"/>
      <c r="AL481" s="1415"/>
      <c r="AM481" s="1415"/>
      <c r="AN481" s="1415"/>
      <c r="AO481" s="1415"/>
      <c r="AP481" s="1415"/>
      <c r="AQ481" s="1415"/>
      <c r="AR481" s="1415"/>
      <c r="AS481" s="1415"/>
      <c r="AT481" s="1415"/>
      <c r="AZ481" s="3"/>
      <c r="BB481" s="3"/>
      <c r="BC481" s="3"/>
    </row>
    <row r="482" spans="1:55" ht="12.95" customHeight="1">
      <c r="AZ482" s="3"/>
      <c r="BB482" s="3"/>
      <c r="BC482" s="3"/>
    </row>
    <row r="483" spans="1:55" ht="12.95" customHeight="1">
      <c r="A483" s="2" t="s">
        <v>319</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0" t="s">
        <v>393</v>
      </c>
      <c r="R485" s="1761"/>
      <c r="S485" s="1761"/>
      <c r="T485" s="1761"/>
      <c r="U485" s="1761"/>
      <c r="V485" s="1761"/>
      <c r="W485" s="1761"/>
      <c r="X485" s="1761"/>
      <c r="Y485" s="1761"/>
      <c r="Z485" s="1761"/>
      <c r="AA485" s="1761"/>
      <c r="AB485" s="1761"/>
      <c r="AC485" s="1761"/>
      <c r="AD485" s="1761"/>
      <c r="AE485" s="1761"/>
      <c r="AF485" s="1761"/>
      <c r="AG485" s="1761"/>
      <c r="AH485" s="1761"/>
      <c r="AI485" s="1761"/>
      <c r="AJ485" s="1761"/>
      <c r="AK485" s="1762"/>
      <c r="AZ485" s="3"/>
      <c r="BB485" s="3"/>
      <c r="BC485" s="3"/>
    </row>
    <row r="486" spans="1:55" ht="12.95" customHeight="1">
      <c r="B486" s="45" t="s">
        <v>394</v>
      </c>
      <c r="C486" s="5"/>
      <c r="D486" s="5"/>
      <c r="E486" s="5"/>
      <c r="F486" s="5"/>
      <c r="G486" s="5"/>
      <c r="H486" s="5"/>
      <c r="I486" s="5"/>
      <c r="J486" s="5"/>
      <c r="K486" s="5"/>
      <c r="L486" s="5"/>
      <c r="M486" s="5"/>
      <c r="N486" s="5"/>
      <c r="O486" s="5"/>
      <c r="P486" s="5"/>
      <c r="Q486" s="1547" t="s">
        <v>2708</v>
      </c>
      <c r="R486" s="1444"/>
      <c r="S486" s="1444"/>
      <c r="T486" s="1444"/>
      <c r="U486" s="1444"/>
      <c r="V486" s="1444"/>
      <c r="W486" s="1444"/>
      <c r="X486" s="1444"/>
      <c r="Y486" s="1444"/>
      <c r="Z486" s="1444"/>
      <c r="AA486" s="1444"/>
      <c r="AB486" s="1444"/>
      <c r="AC486" s="1444"/>
      <c r="AD486" s="1444"/>
      <c r="AE486" s="1444"/>
      <c r="AF486" s="1444"/>
      <c r="AG486" s="1444"/>
      <c r="AH486" s="1444"/>
      <c r="AI486" s="1444"/>
      <c r="AJ486" s="1444"/>
      <c r="AK486" s="1517"/>
      <c r="AZ486" s="3"/>
      <c r="BB486" s="3"/>
      <c r="BC486" s="3"/>
    </row>
    <row r="487" spans="1:55" ht="12.95" customHeight="1">
      <c r="B487" s="45" t="s">
        <v>395</v>
      </c>
      <c r="C487" s="5"/>
      <c r="D487" s="5"/>
      <c r="E487" s="5"/>
      <c r="F487" s="5"/>
      <c r="G487" s="5"/>
      <c r="H487" s="5"/>
      <c r="I487" s="5"/>
      <c r="J487" s="5"/>
      <c r="K487" s="5"/>
      <c r="L487" s="5"/>
      <c r="M487" s="5"/>
      <c r="N487" s="5"/>
      <c r="O487" s="5"/>
      <c r="P487" s="5"/>
      <c r="Q487" s="1547" t="s">
        <v>2709</v>
      </c>
      <c r="R487" s="1444"/>
      <c r="S487" s="1444"/>
      <c r="T487" s="1444"/>
      <c r="U487" s="1444"/>
      <c r="V487" s="1444"/>
      <c r="W487" s="1444"/>
      <c r="X487" s="1444"/>
      <c r="Y487" s="1444"/>
      <c r="Z487" s="1444"/>
      <c r="AA487" s="1444"/>
      <c r="AB487" s="1444"/>
      <c r="AC487" s="1444"/>
      <c r="AD487" s="1444"/>
      <c r="AE487" s="1444"/>
      <c r="AF487" s="1444"/>
      <c r="AG487" s="1444"/>
      <c r="AH487" s="1444"/>
      <c r="AI487" s="1444"/>
      <c r="AJ487" s="1444"/>
      <c r="AK487" s="1517"/>
      <c r="AZ487" s="3"/>
      <c r="BB487" s="3"/>
      <c r="BC487" s="3"/>
    </row>
    <row r="488" spans="1:55" ht="12.95" customHeight="1">
      <c r="B488" s="45" t="s">
        <v>396</v>
      </c>
      <c r="C488" s="5"/>
      <c r="D488" s="5"/>
      <c r="E488" s="5"/>
      <c r="F488" s="5"/>
      <c r="G488" s="5"/>
      <c r="H488" s="5"/>
      <c r="I488" s="5"/>
      <c r="J488" s="5"/>
      <c r="K488" s="5"/>
      <c r="L488" s="5"/>
      <c r="M488" s="5"/>
      <c r="N488" s="5"/>
      <c r="O488" s="5"/>
      <c r="P488" s="5"/>
      <c r="Q488" s="1516" t="s">
        <v>2709</v>
      </c>
      <c r="R488" s="1444"/>
      <c r="S488" s="1444"/>
      <c r="T488" s="1444"/>
      <c r="U488" s="1444"/>
      <c r="V488" s="1444"/>
      <c r="W488" s="1444"/>
      <c r="X488" s="1444"/>
      <c r="Y488" s="1444"/>
      <c r="Z488" s="1444"/>
      <c r="AA488" s="1444"/>
      <c r="AB488" s="1444"/>
      <c r="AC488" s="1444"/>
      <c r="AD488" s="1444"/>
      <c r="AE488" s="1444"/>
      <c r="AF488" s="1444"/>
      <c r="AG488" s="1444"/>
      <c r="AH488" s="1444"/>
      <c r="AI488" s="1444"/>
      <c r="AJ488" s="1444"/>
      <c r="AK488" s="1517"/>
      <c r="AZ488" s="3"/>
      <c r="BA488" s="3"/>
      <c r="BB488" s="3"/>
      <c r="BC488" s="3"/>
    </row>
    <row r="489" spans="1:55" ht="12.95" customHeight="1">
      <c r="B489" s="1842" t="s">
        <v>397</v>
      </c>
      <c r="C489" s="1843"/>
      <c r="D489" s="1843"/>
      <c r="E489" s="1843"/>
      <c r="F489" s="1843"/>
      <c r="G489" s="1843"/>
      <c r="H489" s="1843"/>
      <c r="I489" s="1843"/>
      <c r="J489" s="1843"/>
      <c r="K489" s="1843"/>
      <c r="L489" s="1843"/>
      <c r="M489" s="1843"/>
      <c r="N489" s="1843"/>
      <c r="O489" s="1843"/>
      <c r="P489" s="1844"/>
      <c r="Q489" s="1848" t="s">
        <v>669</v>
      </c>
      <c r="R489" s="1849"/>
      <c r="S489" s="1857" t="s">
        <v>166</v>
      </c>
      <c r="T489" s="1858"/>
      <c r="U489" s="1858"/>
      <c r="V489" s="1858"/>
      <c r="W489" s="1858"/>
      <c r="X489" s="1858"/>
      <c r="Y489" s="1858"/>
      <c r="Z489" s="1858"/>
      <c r="AA489" s="1858"/>
      <c r="AB489" s="1858"/>
      <c r="AC489" s="1858"/>
      <c r="AD489" s="1858"/>
      <c r="AE489" s="1858"/>
      <c r="AF489" s="1858"/>
      <c r="AG489" s="1858"/>
      <c r="AH489" s="1858"/>
      <c r="AI489" s="1858"/>
      <c r="AJ489" s="1858"/>
      <c r="AK489" s="1859"/>
      <c r="AZ489" s="3"/>
      <c r="BA489" s="3"/>
      <c r="BB489" s="3"/>
      <c r="BC489" s="3"/>
    </row>
    <row r="490" spans="1:55" ht="12.95" customHeight="1">
      <c r="B490" s="1845"/>
      <c r="C490" s="1846"/>
      <c r="D490" s="1846"/>
      <c r="E490" s="1846"/>
      <c r="F490" s="1846"/>
      <c r="G490" s="1846"/>
      <c r="H490" s="1846"/>
      <c r="I490" s="1846"/>
      <c r="J490" s="1846"/>
      <c r="K490" s="1846"/>
      <c r="L490" s="1846"/>
      <c r="M490" s="1846"/>
      <c r="N490" s="1846"/>
      <c r="O490" s="1846"/>
      <c r="P490" s="1847"/>
      <c r="Q490" s="1850"/>
      <c r="R490" s="1851"/>
      <c r="S490" s="1860"/>
      <c r="T490" s="1802"/>
      <c r="U490" s="1802"/>
      <c r="V490" s="1802"/>
      <c r="W490" s="1802"/>
      <c r="X490" s="1802"/>
      <c r="Y490" s="1802"/>
      <c r="Z490" s="1802"/>
      <c r="AA490" s="1802"/>
      <c r="AB490" s="1802"/>
      <c r="AC490" s="1802"/>
      <c r="AD490" s="1802"/>
      <c r="AE490" s="1802"/>
      <c r="AF490" s="1802"/>
      <c r="AG490" s="1802"/>
      <c r="AH490" s="1802"/>
      <c r="AI490" s="1802"/>
      <c r="AJ490" s="1802"/>
      <c r="AK490" s="1861"/>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62" t="s">
        <v>669</v>
      </c>
      <c r="R491" s="1863"/>
      <c r="S491" s="1863"/>
      <c r="T491" s="1863"/>
      <c r="U491" s="1863"/>
      <c r="V491" s="1863"/>
      <c r="W491" s="1863"/>
      <c r="X491" s="1863"/>
      <c r="Y491" s="1863"/>
      <c r="Z491" s="1863"/>
      <c r="AA491" s="1863"/>
      <c r="AB491" s="1863"/>
      <c r="AC491" s="1863"/>
      <c r="AD491" s="1863"/>
      <c r="AE491" s="1863"/>
      <c r="AF491" s="1863"/>
      <c r="AG491" s="1863"/>
      <c r="AH491" s="1863"/>
      <c r="AI491" s="1863"/>
      <c r="AJ491" s="1863"/>
      <c r="AK491" s="1864"/>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47" t="s">
        <v>2710</v>
      </c>
      <c r="R492" s="1444"/>
      <c r="S492" s="1444"/>
      <c r="T492" s="1444"/>
      <c r="U492" s="1444"/>
      <c r="V492" s="1444"/>
      <c r="W492" s="1444"/>
      <c r="X492" s="1444"/>
      <c r="Y492" s="1444"/>
      <c r="Z492" s="1444"/>
      <c r="AA492" s="1444"/>
      <c r="AB492" s="1444"/>
      <c r="AC492" s="1444"/>
      <c r="AD492" s="1444"/>
      <c r="AE492" s="1444"/>
      <c r="AF492" s="1444"/>
      <c r="AG492" s="1444"/>
      <c r="AH492" s="1444"/>
      <c r="AI492" s="1444"/>
      <c r="AJ492" s="1444"/>
      <c r="AK492" s="1517"/>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16">
        <v>0</v>
      </c>
      <c r="R493" s="1444"/>
      <c r="S493" s="1444"/>
      <c r="T493" s="1444"/>
      <c r="U493" s="1444"/>
      <c r="V493" s="1444"/>
      <c r="W493" s="1444"/>
      <c r="X493" s="1444"/>
      <c r="Y493" s="1444"/>
      <c r="Z493" s="1444"/>
      <c r="AA493" s="1444"/>
      <c r="AB493" s="1444"/>
      <c r="AC493" s="1444"/>
      <c r="AD493" s="1444"/>
      <c r="AE493" s="1444"/>
      <c r="AF493" s="1444"/>
      <c r="AG493" s="1444"/>
      <c r="AH493" s="1444"/>
      <c r="AI493" s="1444"/>
      <c r="AJ493" s="1444"/>
      <c r="AK493" s="1517"/>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16">
        <v>48</v>
      </c>
      <c r="R494" s="1444"/>
      <c r="S494" s="1444"/>
      <c r="T494" s="1444"/>
      <c r="U494" s="1444"/>
      <c r="V494" s="1444"/>
      <c r="W494" s="1444"/>
      <c r="X494" s="1444"/>
      <c r="Y494" s="1444"/>
      <c r="Z494" s="1444"/>
      <c r="AA494" s="1444"/>
      <c r="AB494" s="1444"/>
      <c r="AC494" s="1444"/>
      <c r="AD494" s="1444"/>
      <c r="AE494" s="1444"/>
      <c r="AF494" s="1444"/>
      <c r="AG494" s="1444"/>
      <c r="AH494" s="1444"/>
      <c r="AI494" s="1444"/>
      <c r="AJ494" s="1444"/>
      <c r="AK494" s="1517"/>
      <c r="AZ494" s="3"/>
      <c r="BA494" s="3"/>
      <c r="BB494" s="3"/>
      <c r="BC494" s="3"/>
    </row>
    <row r="495" spans="1:55" ht="12.95" customHeight="1">
      <c r="B495" s="121" t="s">
        <v>1669</v>
      </c>
      <c r="C495" s="5"/>
      <c r="D495" s="5"/>
      <c r="E495" s="5"/>
      <c r="F495" s="5"/>
      <c r="G495" s="5"/>
      <c r="H495" s="5"/>
      <c r="I495" s="5"/>
      <c r="J495" s="5"/>
      <c r="K495" s="5"/>
      <c r="L495" s="5"/>
      <c r="M495" s="1451" t="s">
        <v>2711</v>
      </c>
      <c r="N495" s="1452"/>
      <c r="O495" s="1452"/>
      <c r="P495" s="1453"/>
      <c r="Q495" s="121" t="s">
        <v>1670</v>
      </c>
      <c r="R495" s="5"/>
      <c r="S495" s="5"/>
      <c r="T495" s="5"/>
      <c r="U495" s="5"/>
      <c r="V495" s="5"/>
      <c r="W495" s="5"/>
      <c r="X495" s="5"/>
      <c r="Y495" s="5"/>
      <c r="Z495" s="5"/>
      <c r="AA495" s="5"/>
      <c r="AB495" s="5"/>
      <c r="AC495" s="5"/>
      <c r="AD495" s="5"/>
      <c r="AE495" s="5"/>
      <c r="AF495" s="5"/>
      <c r="AG495" s="5"/>
      <c r="AH495" s="1451">
        <v>0</v>
      </c>
      <c r="AI495" s="1452"/>
      <c r="AJ495" s="1452"/>
      <c r="AK495" s="145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0" t="s">
        <v>401</v>
      </c>
      <c r="AD499" s="1761"/>
      <c r="AE499" s="1761"/>
      <c r="AF499" s="1761"/>
      <c r="AG499" s="1761"/>
      <c r="AH499" s="1761"/>
      <c r="AI499" s="1761"/>
      <c r="AJ499" s="1761"/>
      <c r="AK499" s="1762"/>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0" t="s">
        <v>402</v>
      </c>
      <c r="AD500" s="1761"/>
      <c r="AE500" s="1761"/>
      <c r="AF500" s="1761"/>
      <c r="AG500" s="50" t="s">
        <v>403</v>
      </c>
      <c r="AH500" s="1761" t="s">
        <v>404</v>
      </c>
      <c r="AI500" s="1761"/>
      <c r="AJ500" s="1761"/>
      <c r="AK500" s="1762"/>
      <c r="AZ500" s="3"/>
      <c r="BA500" s="3"/>
      <c r="BB500" s="3"/>
      <c r="BC500" s="3"/>
      <c r="BD500" s="3"/>
      <c r="BE500" s="3"/>
      <c r="BF500" s="3"/>
      <c r="BG500" s="3"/>
      <c r="BH500" s="3"/>
      <c r="BI500" s="3"/>
      <c r="BJ500" s="3"/>
      <c r="BK500" s="3"/>
      <c r="BL500" s="3"/>
      <c r="BM500" s="3"/>
      <c r="BN500" s="3"/>
    </row>
    <row r="501" spans="1:66" ht="12.95" customHeight="1">
      <c r="B501" s="1682" t="s">
        <v>405</v>
      </c>
      <c r="C501" s="1427"/>
      <c r="D501" s="1427"/>
      <c r="E501" s="1427"/>
      <c r="F501" s="1427"/>
      <c r="G501" s="1427"/>
      <c r="H501" s="1428"/>
      <c r="I501" s="42" t="s">
        <v>406</v>
      </c>
      <c r="J501" s="42"/>
      <c r="K501" s="42"/>
      <c r="L501" s="42"/>
      <c r="M501" s="42"/>
      <c r="N501" s="42"/>
      <c r="O501" s="42"/>
      <c r="P501" s="42"/>
      <c r="Q501" s="42"/>
      <c r="R501" s="42"/>
      <c r="S501" s="42"/>
      <c r="T501" s="42"/>
      <c r="U501" s="42"/>
      <c r="V501" s="42"/>
      <c r="W501" s="42"/>
      <c r="AC501" s="1671">
        <v>6</v>
      </c>
      <c r="AD501" s="1672"/>
      <c r="AE501" s="1672"/>
      <c r="AF501" s="1672"/>
      <c r="AG501" s="13" t="s">
        <v>403</v>
      </c>
      <c r="AH501" s="1598">
        <v>2025</v>
      </c>
      <c r="AI501" s="1598"/>
      <c r="AJ501" s="1598"/>
      <c r="AK501" s="1599"/>
      <c r="AZ501" s="3"/>
      <c r="BA501" s="3"/>
      <c r="BB501" s="3"/>
      <c r="BC501" s="3"/>
      <c r="BD501" s="3"/>
      <c r="BE501" s="3"/>
      <c r="BF501" s="3"/>
      <c r="BG501" s="3"/>
      <c r="BH501" s="3"/>
      <c r="BI501" s="3"/>
      <c r="BJ501" s="3"/>
      <c r="BK501" s="3"/>
      <c r="BL501" s="3"/>
      <c r="BM501" s="3"/>
      <c r="BN501" s="3"/>
    </row>
    <row r="502" spans="1:66" ht="12.95" customHeight="1">
      <c r="B502" s="1683"/>
      <c r="C502" s="1429"/>
      <c r="D502" s="1429"/>
      <c r="E502" s="1429"/>
      <c r="F502" s="1429"/>
      <c r="G502" s="1429"/>
      <c r="H502" s="1430"/>
      <c r="I502" s="48" t="s">
        <v>407</v>
      </c>
      <c r="J502" s="48"/>
      <c r="K502" s="48"/>
      <c r="L502" s="48"/>
      <c r="M502" s="48"/>
      <c r="N502" s="48"/>
      <c r="O502" s="48"/>
      <c r="P502" s="48"/>
      <c r="Q502" s="48"/>
      <c r="R502" s="48"/>
      <c r="S502" s="48"/>
      <c r="T502" s="48"/>
      <c r="U502" s="48"/>
      <c r="V502" s="48"/>
      <c r="W502" s="48"/>
      <c r="X502" s="48"/>
      <c r="Y502" s="48"/>
      <c r="Z502" s="48"/>
      <c r="AA502" s="48"/>
      <c r="AB502" s="48"/>
      <c r="AC502" s="1671">
        <v>6</v>
      </c>
      <c r="AD502" s="1672"/>
      <c r="AE502" s="1672"/>
      <c r="AF502" s="1672"/>
      <c r="AG502" s="38" t="s">
        <v>403</v>
      </c>
      <c r="AH502" s="1598">
        <v>2023</v>
      </c>
      <c r="AI502" s="1598"/>
      <c r="AJ502" s="1598"/>
      <c r="AK502" s="1599"/>
      <c r="AZ502" s="3"/>
      <c r="BA502" s="3"/>
      <c r="BB502" s="3"/>
      <c r="BC502" s="3"/>
      <c r="BD502" s="3"/>
      <c r="BE502" s="3"/>
      <c r="BF502" s="3"/>
      <c r="BG502" s="3"/>
      <c r="BH502" s="3"/>
      <c r="BI502" s="3"/>
      <c r="BJ502" s="3"/>
      <c r="BK502" s="3"/>
      <c r="BL502" s="3"/>
      <c r="BM502" s="3"/>
      <c r="BN502" s="3"/>
    </row>
    <row r="503" spans="1:66" ht="12.95" customHeight="1">
      <c r="B503" s="1682" t="s">
        <v>408</v>
      </c>
      <c r="C503" s="1427"/>
      <c r="D503" s="1427"/>
      <c r="E503" s="1427"/>
      <c r="F503" s="1427"/>
      <c r="G503" s="1427"/>
      <c r="H503" s="1428"/>
      <c r="I503" s="42" t="s">
        <v>409</v>
      </c>
      <c r="J503" s="42"/>
      <c r="K503" s="42"/>
      <c r="L503" s="42"/>
      <c r="M503" s="42"/>
      <c r="N503" s="42"/>
      <c r="O503" s="42"/>
      <c r="P503" s="42"/>
      <c r="Q503" s="42"/>
      <c r="R503" s="42"/>
      <c r="S503" s="42"/>
      <c r="T503" s="42"/>
      <c r="U503" s="42"/>
      <c r="V503" s="42"/>
      <c r="W503" s="42"/>
      <c r="AC503" s="1671" t="s">
        <v>591</v>
      </c>
      <c r="AD503" s="1672"/>
      <c r="AE503" s="1672"/>
      <c r="AF503" s="1672"/>
      <c r="AG503" s="13" t="s">
        <v>403</v>
      </c>
      <c r="AH503" s="1598"/>
      <c r="AI503" s="1598"/>
      <c r="AJ503" s="1598"/>
      <c r="AK503" s="1599"/>
      <c r="AZ503" s="3"/>
      <c r="BA503" s="3"/>
      <c r="BB503" s="3"/>
      <c r="BC503" s="3"/>
      <c r="BD503" s="3"/>
      <c r="BE503" s="3"/>
      <c r="BF503" s="3"/>
      <c r="BG503" s="3"/>
      <c r="BH503" s="3"/>
      <c r="BI503" s="3"/>
      <c r="BJ503" s="3"/>
      <c r="BK503" s="3"/>
      <c r="BL503" s="3"/>
      <c r="BM503" s="3"/>
      <c r="BN503" s="3"/>
    </row>
    <row r="504" spans="1:66" ht="12.95" customHeight="1">
      <c r="B504" s="1683"/>
      <c r="C504" s="1429"/>
      <c r="D504" s="1429"/>
      <c r="E504" s="1429"/>
      <c r="F504" s="1429"/>
      <c r="G504" s="1429"/>
      <c r="H504" s="1430"/>
      <c r="I504" t="s">
        <v>410</v>
      </c>
      <c r="AC504" s="1671" t="s">
        <v>591</v>
      </c>
      <c r="AD504" s="1672"/>
      <c r="AE504" s="1672"/>
      <c r="AF504" s="1672"/>
      <c r="AG504" s="13" t="s">
        <v>403</v>
      </c>
      <c r="AH504" s="1598"/>
      <c r="AI504" s="1598"/>
      <c r="AJ504" s="1598"/>
      <c r="AK504" s="1599"/>
      <c r="AZ504" s="3"/>
      <c r="BA504" s="3"/>
      <c r="BB504" s="3"/>
      <c r="BC504" s="3"/>
      <c r="BD504" s="3"/>
      <c r="BE504" s="3"/>
      <c r="BF504" s="3"/>
      <c r="BG504" s="3"/>
      <c r="BH504" s="3"/>
      <c r="BI504" s="3"/>
      <c r="BJ504" s="3"/>
      <c r="BK504" s="3"/>
      <c r="BL504" s="3"/>
      <c r="BM504" s="3"/>
      <c r="BN504" s="3"/>
    </row>
    <row r="505" spans="1:66" ht="12.95" customHeight="1">
      <c r="B505" s="1683"/>
      <c r="C505" s="1429"/>
      <c r="D505" s="1429"/>
      <c r="E505" s="1429"/>
      <c r="F505" s="1429"/>
      <c r="G505" s="1429"/>
      <c r="H505" s="1430"/>
      <c r="I505" t="s">
        <v>411</v>
      </c>
      <c r="AC505" s="1671" t="s">
        <v>591</v>
      </c>
      <c r="AD505" s="1672"/>
      <c r="AE505" s="1672"/>
      <c r="AF505" s="1672"/>
      <c r="AG505" s="13" t="s">
        <v>403</v>
      </c>
      <c r="AH505" s="1598"/>
      <c r="AI505" s="1598"/>
      <c r="AJ505" s="1598"/>
      <c r="AK505" s="1599"/>
      <c r="AZ505" s="3"/>
      <c r="BA505" s="3"/>
      <c r="BB505" s="3"/>
      <c r="BC505" s="3"/>
      <c r="BD505" s="3"/>
      <c r="BE505" s="3"/>
      <c r="BF505" s="3"/>
      <c r="BG505" s="3"/>
      <c r="BH505" s="3"/>
      <c r="BI505" s="3"/>
      <c r="BJ505" s="3"/>
      <c r="BK505" s="3"/>
      <c r="BL505" s="3"/>
      <c r="BM505" s="3"/>
      <c r="BN505" s="3"/>
    </row>
    <row r="506" spans="1:66" ht="12.95" customHeight="1">
      <c r="B506" s="1683"/>
      <c r="C506" s="1429"/>
      <c r="D506" s="1429"/>
      <c r="E506" s="1429"/>
      <c r="F506" s="1429"/>
      <c r="G506" s="1429"/>
      <c r="H506" s="1430"/>
      <c r="I506" t="s">
        <v>412</v>
      </c>
      <c r="AC506" s="1671" t="s">
        <v>591</v>
      </c>
      <c r="AD506" s="1672"/>
      <c r="AE506" s="1672"/>
      <c r="AF506" s="1672"/>
      <c r="AG506" s="13" t="s">
        <v>403</v>
      </c>
      <c r="AH506" s="1598"/>
      <c r="AI506" s="1598"/>
      <c r="AJ506" s="1598"/>
      <c r="AK506" s="1599"/>
      <c r="AZ506" s="3"/>
      <c r="BA506" s="3"/>
      <c r="BB506" s="3"/>
      <c r="BC506" s="3"/>
      <c r="BD506" s="3"/>
      <c r="BE506" s="3"/>
      <c r="BF506" s="3"/>
      <c r="BG506" s="3"/>
      <c r="BH506" s="3"/>
      <c r="BI506" s="3"/>
      <c r="BJ506" s="3"/>
      <c r="BK506" s="3"/>
      <c r="BL506" s="3"/>
      <c r="BM506" s="3"/>
      <c r="BN506" s="3"/>
    </row>
    <row r="507" spans="1:66" ht="12.95" customHeight="1">
      <c r="B507" s="1683"/>
      <c r="C507" s="1429"/>
      <c r="D507" s="1429"/>
      <c r="E507" s="1429"/>
      <c r="F507" s="1429"/>
      <c r="G507" s="1429"/>
      <c r="H507" s="1430"/>
      <c r="I507" s="3" t="s">
        <v>413</v>
      </c>
      <c r="AC507" s="1341" t="s">
        <v>591</v>
      </c>
      <c r="AD507" s="1342"/>
      <c r="AE507" s="1342"/>
      <c r="AF507" s="1342"/>
      <c r="AG507" s="13" t="s">
        <v>403</v>
      </c>
      <c r="AH507" s="1598"/>
      <c r="AI507" s="1598"/>
      <c r="AJ507" s="1598"/>
      <c r="AK507" s="1599"/>
      <c r="AZ507" s="3"/>
      <c r="BA507" s="3"/>
      <c r="BB507" s="3"/>
      <c r="BC507" s="3"/>
      <c r="BD507" s="3"/>
      <c r="BE507" s="3"/>
      <c r="BF507" s="3"/>
      <c r="BG507" s="3"/>
      <c r="BH507" s="3"/>
      <c r="BI507" s="3"/>
      <c r="BJ507" s="3"/>
      <c r="BK507" s="3"/>
      <c r="BL507" s="3"/>
      <c r="BM507" s="3"/>
      <c r="BN507" s="3"/>
    </row>
    <row r="508" spans="1:66" ht="12.95" customHeight="1">
      <c r="B508" s="1683"/>
      <c r="C508" s="1429"/>
      <c r="D508" s="1429"/>
      <c r="E508" s="1429"/>
      <c r="F508" s="1429"/>
      <c r="G508" s="1429"/>
      <c r="H508" s="1430"/>
      <c r="I508" s="896" t="s">
        <v>170</v>
      </c>
      <c r="J508" s="48"/>
      <c r="K508" s="48"/>
      <c r="L508" s="1752" t="s">
        <v>334</v>
      </c>
      <c r="M508" s="1753"/>
      <c r="N508" s="1753"/>
      <c r="O508" s="1753"/>
      <c r="P508" s="1753"/>
      <c r="Q508" s="1753"/>
      <c r="R508" s="1753"/>
      <c r="S508" s="1753"/>
      <c r="T508" s="1753"/>
      <c r="U508" s="1753"/>
      <c r="V508" s="1753"/>
      <c r="W508" s="1753"/>
      <c r="X508" s="1753"/>
      <c r="Y508" s="1753"/>
      <c r="Z508" s="1753"/>
      <c r="AA508" s="1753"/>
      <c r="AB508" s="1855"/>
      <c r="AC508" s="1671" t="s">
        <v>591</v>
      </c>
      <c r="AD508" s="1672"/>
      <c r="AE508" s="1672"/>
      <c r="AF508" s="1672"/>
      <c r="AG508" s="38" t="s">
        <v>403</v>
      </c>
      <c r="AH508" s="1598"/>
      <c r="AI508" s="1598"/>
      <c r="AJ508" s="1598"/>
      <c r="AK508" s="1599"/>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19" t="s">
        <v>669</v>
      </c>
      <c r="AD509" s="1819"/>
      <c r="AE509" s="1819"/>
      <c r="AF509" s="1819"/>
      <c r="AG509" s="13"/>
      <c r="AH509" s="1359"/>
      <c r="AI509" s="1359"/>
      <c r="AJ509" s="1359"/>
      <c r="AK509" s="1759"/>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41">
        <v>0</v>
      </c>
      <c r="AD510" s="1342"/>
      <c r="AE510" s="1342"/>
      <c r="AF510" s="1343"/>
      <c r="AG510" s="13"/>
      <c r="AH510" s="1359"/>
      <c r="AI510" s="1359"/>
      <c r="AJ510" s="1359"/>
      <c r="AK510" s="1759"/>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52">
        <v>0.25</v>
      </c>
      <c r="AD512" s="1853"/>
      <c r="AE512" s="1853"/>
      <c r="AF512" s="1854"/>
      <c r="AG512" s="38"/>
      <c r="AH512" s="1757"/>
      <c r="AI512" s="1757"/>
      <c r="AJ512" s="1757"/>
      <c r="AK512" s="1758"/>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9" t="s">
        <v>402</v>
      </c>
      <c r="AD513" s="1632"/>
      <c r="AE513" s="1632"/>
      <c r="AF513" s="1632"/>
      <c r="AG513" s="38" t="s">
        <v>403</v>
      </c>
      <c r="AH513" s="1632" t="s">
        <v>404</v>
      </c>
      <c r="AI513" s="1632"/>
      <c r="AJ513" s="1632"/>
      <c r="AK513" s="1867"/>
      <c r="AZ513" s="3"/>
      <c r="BA513" s="3"/>
      <c r="BB513" s="3"/>
      <c r="BC513" s="3"/>
      <c r="BD513" s="3"/>
      <c r="BE513" s="3"/>
      <c r="BF513" s="3"/>
      <c r="BG513" s="3"/>
      <c r="BH513" s="3"/>
      <c r="BI513" s="3"/>
      <c r="BJ513" s="3"/>
      <c r="BK513" s="3"/>
      <c r="BL513" s="3"/>
      <c r="BM513" s="3"/>
      <c r="BN513" s="3" t="s">
        <v>2105</v>
      </c>
    </row>
    <row r="514" spans="2:66" ht="12.95" customHeight="1">
      <c r="B514" s="1682" t="s">
        <v>414</v>
      </c>
      <c r="C514" s="1427"/>
      <c r="D514" s="1427"/>
      <c r="E514" s="1427"/>
      <c r="F514" s="1427"/>
      <c r="G514" s="1427"/>
      <c r="H514" s="1428"/>
      <c r="I514" s="42" t="s">
        <v>415</v>
      </c>
      <c r="J514" s="42"/>
      <c r="K514" s="42"/>
      <c r="L514" s="42"/>
      <c r="M514" s="42"/>
      <c r="N514" s="42"/>
      <c r="O514" s="42"/>
      <c r="P514" s="42"/>
      <c r="Q514" s="42"/>
      <c r="R514" s="42"/>
      <c r="S514" s="42"/>
      <c r="T514" s="42"/>
      <c r="U514" s="42"/>
      <c r="V514" s="42"/>
      <c r="W514" s="42"/>
      <c r="AC514" s="1671">
        <v>5</v>
      </c>
      <c r="AD514" s="1672"/>
      <c r="AE514" s="1672"/>
      <c r="AF514" s="1672"/>
      <c r="AG514" s="13" t="s">
        <v>403</v>
      </c>
      <c r="AH514" s="1598">
        <v>2025</v>
      </c>
      <c r="AI514" s="1598"/>
      <c r="AJ514" s="1598"/>
      <c r="AK514" s="1599"/>
      <c r="AZ514" s="3"/>
      <c r="BA514" s="3"/>
      <c r="BB514" s="3"/>
      <c r="BC514" s="3"/>
      <c r="BD514" s="3"/>
      <c r="BE514" s="3"/>
      <c r="BF514" s="3"/>
      <c r="BG514" s="3"/>
      <c r="BH514" s="3"/>
      <c r="BI514" s="3"/>
      <c r="BJ514" s="3"/>
      <c r="BK514" s="3"/>
      <c r="BL514" s="3"/>
      <c r="BM514" s="3"/>
      <c r="BN514" s="3" t="s">
        <v>2106</v>
      </c>
    </row>
    <row r="515" spans="2:66" ht="12.95" customHeight="1">
      <c r="B515" s="1683"/>
      <c r="C515" s="1429"/>
      <c r="D515" s="1429"/>
      <c r="E515" s="1429"/>
      <c r="F515" s="1429"/>
      <c r="G515" s="1429"/>
      <c r="H515" s="1430"/>
      <c r="I515" t="s">
        <v>416</v>
      </c>
      <c r="AC515" s="1671">
        <v>6</v>
      </c>
      <c r="AD515" s="1672"/>
      <c r="AE515" s="1672"/>
      <c r="AF515" s="1672"/>
      <c r="AG515" s="13" t="s">
        <v>403</v>
      </c>
      <c r="AH515" s="1598">
        <v>2025</v>
      </c>
      <c r="AI515" s="1598"/>
      <c r="AJ515" s="1598"/>
      <c r="AK515" s="1599"/>
      <c r="AZ515" s="3"/>
      <c r="BA515" s="3"/>
      <c r="BB515" s="3"/>
      <c r="BC515" s="3"/>
      <c r="BD515" s="3"/>
      <c r="BE515" s="3"/>
      <c r="BF515" s="3"/>
      <c r="BG515" s="3"/>
      <c r="BH515" s="3"/>
      <c r="BI515" s="3"/>
      <c r="BJ515" s="3"/>
      <c r="BK515" s="3"/>
      <c r="BL515" s="3"/>
      <c r="BM515" s="3"/>
      <c r="BN515" s="3" t="s">
        <v>2107</v>
      </c>
    </row>
    <row r="516" spans="2:66" ht="12.95" customHeight="1">
      <c r="B516" s="1683"/>
      <c r="C516" s="1429"/>
      <c r="D516" s="1429"/>
      <c r="E516" s="1429"/>
      <c r="F516" s="1429"/>
      <c r="G516" s="1429"/>
      <c r="H516" s="1430"/>
      <c r="I516" s="48" t="s">
        <v>417</v>
      </c>
      <c r="J516" s="48"/>
      <c r="K516" s="48"/>
      <c r="L516" s="48"/>
      <c r="M516" s="48"/>
      <c r="N516" s="48"/>
      <c r="O516" s="48"/>
      <c r="P516" s="48"/>
      <c r="Q516" s="48"/>
      <c r="R516" s="48"/>
      <c r="S516" s="48"/>
      <c r="T516" s="48"/>
      <c r="U516" s="48"/>
      <c r="V516" s="48"/>
      <c r="W516" s="48"/>
      <c r="X516" s="48"/>
      <c r="Y516" s="48"/>
      <c r="Z516" s="48"/>
      <c r="AA516" s="48"/>
      <c r="AB516" s="48"/>
      <c r="AC516" s="1671">
        <v>1</v>
      </c>
      <c r="AD516" s="1672"/>
      <c r="AE516" s="1672"/>
      <c r="AF516" s="1672"/>
      <c r="AG516" s="38" t="s">
        <v>403</v>
      </c>
      <c r="AH516" s="1598">
        <v>2026</v>
      </c>
      <c r="AI516" s="1598"/>
      <c r="AJ516" s="1598"/>
      <c r="AK516" s="1599"/>
      <c r="AZ516" s="3"/>
      <c r="BA516" s="3"/>
      <c r="BB516" s="3"/>
      <c r="BC516" s="3"/>
      <c r="BD516" s="3"/>
      <c r="BE516" s="3"/>
      <c r="BF516" s="3"/>
      <c r="BG516" s="3"/>
      <c r="BH516" s="3"/>
      <c r="BI516" s="3"/>
      <c r="BJ516" s="3"/>
      <c r="BK516" s="3"/>
      <c r="BL516" s="3"/>
      <c r="BM516" s="3"/>
      <c r="BN516" s="3" t="s">
        <v>2108</v>
      </c>
    </row>
    <row r="517" spans="2:66" ht="12.95" customHeight="1">
      <c r="B517" s="1682" t="s">
        <v>418</v>
      </c>
      <c r="C517" s="1427"/>
      <c r="D517" s="1427"/>
      <c r="E517" s="1427"/>
      <c r="F517" s="1427"/>
      <c r="G517" s="1427"/>
      <c r="H517" s="1428"/>
      <c r="I517" s="42" t="s">
        <v>415</v>
      </c>
      <c r="J517" s="42"/>
      <c r="K517" s="42"/>
      <c r="L517" s="42"/>
      <c r="M517" s="42"/>
      <c r="N517" s="42"/>
      <c r="O517" s="42"/>
      <c r="P517" s="42"/>
      <c r="Q517" s="42"/>
      <c r="R517" s="42"/>
      <c r="S517" s="42"/>
      <c r="T517" s="42"/>
      <c r="U517" s="42"/>
      <c r="V517" s="42"/>
      <c r="W517" s="42"/>
      <c r="X517" s="42"/>
      <c r="Y517" s="42"/>
      <c r="Z517" s="42"/>
      <c r="AA517" s="42"/>
      <c r="AB517" s="42"/>
      <c r="AC517" s="1341">
        <v>5</v>
      </c>
      <c r="AD517" s="1342"/>
      <c r="AE517" s="1342"/>
      <c r="AF517" s="1342"/>
      <c r="AG517" s="129" t="s">
        <v>403</v>
      </c>
      <c r="AH517" s="1598">
        <v>2025</v>
      </c>
      <c r="AI517" s="1598"/>
      <c r="AJ517" s="1598"/>
      <c r="AK517" s="1599"/>
      <c r="AZ517" s="3"/>
      <c r="BB517" s="3"/>
      <c r="BC517" s="3"/>
      <c r="BD517" s="3"/>
      <c r="BE517" s="3"/>
      <c r="BF517" s="3"/>
      <c r="BG517" s="3"/>
      <c r="BH517" s="3"/>
      <c r="BI517" s="3"/>
      <c r="BJ517" s="3"/>
      <c r="BK517" s="3"/>
      <c r="BL517" s="3"/>
      <c r="BM517" s="3"/>
      <c r="BN517" s="3" t="s">
        <v>2109</v>
      </c>
    </row>
    <row r="518" spans="2:66" ht="12.95" customHeight="1">
      <c r="B518" s="1683"/>
      <c r="C518" s="1429"/>
      <c r="D518" s="1429"/>
      <c r="E518" s="1429"/>
      <c r="F518" s="1429"/>
      <c r="G518" s="1429"/>
      <c r="H518" s="1430"/>
      <c r="I518" t="s">
        <v>416</v>
      </c>
      <c r="AC518" s="1671">
        <v>6</v>
      </c>
      <c r="AD518" s="1672"/>
      <c r="AE518" s="1672"/>
      <c r="AF518" s="1672"/>
      <c r="AG518" s="13" t="s">
        <v>403</v>
      </c>
      <c r="AH518" s="1598">
        <v>2025</v>
      </c>
      <c r="AI518" s="1598"/>
      <c r="AJ518" s="1598"/>
      <c r="AK518" s="1599"/>
      <c r="BB518" s="3"/>
      <c r="BC518" s="3"/>
      <c r="BD518" s="3"/>
      <c r="BE518" s="3"/>
      <c r="BF518" s="3"/>
      <c r="BG518" s="3"/>
      <c r="BH518" s="3"/>
      <c r="BI518" s="3"/>
      <c r="BJ518" s="3"/>
      <c r="BK518" s="3"/>
      <c r="BL518" s="3"/>
      <c r="BM518" s="3"/>
      <c r="BN518" s="3" t="s">
        <v>2110</v>
      </c>
    </row>
    <row r="519" spans="2:66" ht="12.95" customHeight="1">
      <c r="B519" s="1684"/>
      <c r="C519" s="1431"/>
      <c r="D519" s="1431"/>
      <c r="E519" s="1431"/>
      <c r="F519" s="1431"/>
      <c r="G519" s="1431"/>
      <c r="H519" s="1432"/>
      <c r="I519" s="48" t="s">
        <v>417</v>
      </c>
      <c r="J519" s="48"/>
      <c r="K519" s="48"/>
      <c r="L519" s="48"/>
      <c r="M519" s="48"/>
      <c r="N519" s="48"/>
      <c r="O519" s="48"/>
      <c r="P519" s="48"/>
      <c r="Q519" s="48"/>
      <c r="R519" s="48"/>
      <c r="S519" s="48"/>
      <c r="T519" s="48"/>
      <c r="U519" s="48"/>
      <c r="V519" s="48"/>
      <c r="W519" s="48"/>
      <c r="X519" s="48"/>
      <c r="Y519" s="48"/>
      <c r="Z519" s="48"/>
      <c r="AA519" s="48"/>
      <c r="AB519" s="48"/>
      <c r="AC519" s="1671">
        <v>1</v>
      </c>
      <c r="AD519" s="1672"/>
      <c r="AE519" s="1672"/>
      <c r="AF519" s="1672"/>
      <c r="AG519" s="38" t="s">
        <v>403</v>
      </c>
      <c r="AH519" s="1598">
        <v>2026</v>
      </c>
      <c r="AI519" s="1598"/>
      <c r="AJ519" s="1598"/>
      <c r="AK519" s="1599"/>
      <c r="BB519" s="3"/>
      <c r="BC519" s="3"/>
      <c r="BD519" s="3"/>
      <c r="BE519" s="3"/>
      <c r="BF519" s="3"/>
      <c r="BG519" s="3"/>
      <c r="BH519" s="3"/>
      <c r="BI519" s="3"/>
      <c r="BJ519" s="3"/>
      <c r="BK519" s="3"/>
      <c r="BL519" s="3"/>
      <c r="BM519" s="3"/>
      <c r="BN519" s="3" t="s">
        <v>2111</v>
      </c>
    </row>
    <row r="520" spans="2:66" ht="12.95" customHeight="1">
      <c r="B520" s="1682" t="s">
        <v>419</v>
      </c>
      <c r="C520" s="1427"/>
      <c r="D520" s="1427"/>
      <c r="E520" s="1427"/>
      <c r="F520" s="1427"/>
      <c r="G520" s="1427"/>
      <c r="H520" s="1428"/>
      <c r="I520" s="41" t="s">
        <v>420</v>
      </c>
      <c r="J520" s="42"/>
      <c r="K520" s="42"/>
      <c r="L520" s="42"/>
      <c r="M520" s="42"/>
      <c r="N520" s="42"/>
      <c r="O520" s="1752" t="s">
        <v>2712</v>
      </c>
      <c r="P520" s="1753"/>
      <c r="Q520" s="1753"/>
      <c r="R520" s="1753"/>
      <c r="S520" s="1753"/>
      <c r="T520" s="1753"/>
      <c r="U520" s="1753"/>
      <c r="V520" s="1753"/>
      <c r="W520" s="1753"/>
      <c r="X520" s="1753"/>
      <c r="Y520" s="1753"/>
      <c r="Z520" s="1753"/>
      <c r="AA520" s="1753"/>
      <c r="AB520" s="58"/>
      <c r="AC520" s="1341" t="s">
        <v>591</v>
      </c>
      <c r="AD520" s="1342"/>
      <c r="AE520" s="1342"/>
      <c r="AF520" s="1342"/>
      <c r="AG520" s="129" t="s">
        <v>403</v>
      </c>
      <c r="AH520" s="1598"/>
      <c r="AI520" s="1598"/>
      <c r="AJ520" s="1598"/>
      <c r="AK520" s="1599"/>
      <c r="AZ520" s="3"/>
      <c r="BB520" s="3"/>
      <c r="BC520" s="3"/>
      <c r="BD520" s="3"/>
      <c r="BE520" s="3"/>
      <c r="BF520" s="3"/>
      <c r="BG520" s="3"/>
      <c r="BH520" s="3"/>
      <c r="BI520" s="3"/>
      <c r="BJ520" s="3"/>
      <c r="BK520" s="3"/>
      <c r="BL520" s="3"/>
      <c r="BM520" s="3"/>
      <c r="BN520" s="3" t="s">
        <v>2112</v>
      </c>
    </row>
    <row r="521" spans="2:66" ht="12.95" customHeight="1">
      <c r="B521" s="1683"/>
      <c r="C521" s="1429"/>
      <c r="D521" s="1429"/>
      <c r="E521" s="1429"/>
      <c r="F521" s="1429"/>
      <c r="G521" s="1429"/>
      <c r="H521" s="1430"/>
      <c r="I521" s="114" t="s">
        <v>421</v>
      </c>
      <c r="AB521" s="65"/>
      <c r="AC521" s="1671">
        <v>3</v>
      </c>
      <c r="AD521" s="1672"/>
      <c r="AE521" s="1672"/>
      <c r="AF521" s="1672"/>
      <c r="AG521" s="13" t="s">
        <v>403</v>
      </c>
      <c r="AH521" s="1598">
        <v>2024</v>
      </c>
      <c r="AI521" s="1598"/>
      <c r="AJ521" s="1598"/>
      <c r="AK521" s="1599"/>
      <c r="AZ521" s="3"/>
      <c r="BB521" s="3"/>
      <c r="BC521" s="3"/>
      <c r="BD521" s="3"/>
      <c r="BE521" s="3"/>
      <c r="BF521" s="3"/>
      <c r="BG521" s="3"/>
      <c r="BH521" s="3"/>
      <c r="BI521" s="3"/>
      <c r="BJ521" s="3"/>
      <c r="BK521" s="3"/>
      <c r="BL521" s="3"/>
      <c r="BM521" s="3"/>
      <c r="BN521" s="3" t="s">
        <v>2113</v>
      </c>
    </row>
    <row r="522" spans="2:66" ht="12.95" customHeight="1">
      <c r="B522" s="1683"/>
      <c r="C522" s="1429"/>
      <c r="D522" s="1429"/>
      <c r="E522" s="1429"/>
      <c r="F522" s="1429"/>
      <c r="G522" s="1429"/>
      <c r="H522" s="1430"/>
      <c r="I522" s="47" t="s">
        <v>422</v>
      </c>
      <c r="J522" s="48"/>
      <c r="K522" s="48"/>
      <c r="L522" s="48"/>
      <c r="M522" s="48"/>
      <c r="N522" s="48"/>
      <c r="O522" s="48"/>
      <c r="P522" s="48"/>
      <c r="Q522" s="48"/>
      <c r="R522" s="48"/>
      <c r="S522" s="48"/>
      <c r="T522" s="48"/>
      <c r="U522" s="48"/>
      <c r="V522" s="48"/>
      <c r="W522" s="48"/>
      <c r="X522" s="48"/>
      <c r="Y522" s="48"/>
      <c r="Z522" s="48"/>
      <c r="AA522" s="48"/>
      <c r="AB522" s="49"/>
      <c r="AC522" s="1671">
        <v>8</v>
      </c>
      <c r="AD522" s="1672"/>
      <c r="AE522" s="1672"/>
      <c r="AF522" s="1672"/>
      <c r="AG522" s="38" t="s">
        <v>403</v>
      </c>
      <c r="AH522" s="1598">
        <v>2024</v>
      </c>
      <c r="AI522" s="1598"/>
      <c r="AJ522" s="1598"/>
      <c r="AK522" s="1599"/>
      <c r="AZ522" s="3"/>
      <c r="BA522" s="3"/>
      <c r="BB522" s="3"/>
      <c r="BC522" s="3"/>
      <c r="BD522" s="3"/>
      <c r="BE522" s="3"/>
      <c r="BF522" s="3"/>
      <c r="BG522" s="3"/>
      <c r="BH522" s="3"/>
      <c r="BI522" s="3"/>
      <c r="BJ522" s="3"/>
      <c r="BK522" s="3"/>
      <c r="BL522" s="3"/>
      <c r="BM522" s="3"/>
      <c r="BN522" s="3" t="s">
        <v>2114</v>
      </c>
    </row>
    <row r="523" spans="2:66" ht="12.95" customHeight="1">
      <c r="B523" s="1683"/>
      <c r="C523" s="1429"/>
      <c r="D523" s="1429"/>
      <c r="E523" s="1429"/>
      <c r="F523" s="1429"/>
      <c r="G523" s="1429"/>
      <c r="H523" s="1430"/>
      <c r="I523" s="42" t="s">
        <v>423</v>
      </c>
      <c r="J523" s="42"/>
      <c r="K523" s="42"/>
      <c r="L523" s="42"/>
      <c r="M523" s="42"/>
      <c r="N523" s="42"/>
      <c r="O523" s="1752" t="s">
        <v>2716</v>
      </c>
      <c r="P523" s="1753"/>
      <c r="Q523" s="1753"/>
      <c r="R523" s="1753"/>
      <c r="S523" s="1753"/>
      <c r="T523" s="1753"/>
      <c r="U523" s="1753"/>
      <c r="V523" s="1753"/>
      <c r="W523" s="1753"/>
      <c r="X523" s="1753"/>
      <c r="Y523" s="1753"/>
      <c r="Z523" s="1753"/>
      <c r="AA523" s="1753"/>
      <c r="AC523" s="1671" t="s">
        <v>591</v>
      </c>
      <c r="AD523" s="1672"/>
      <c r="AE523" s="1672"/>
      <c r="AF523" s="1672"/>
      <c r="AG523" s="13" t="s">
        <v>403</v>
      </c>
      <c r="AH523" s="1598"/>
      <c r="AI523" s="1598"/>
      <c r="AJ523" s="1598"/>
      <c r="AK523" s="1599"/>
      <c r="AZ523" s="3"/>
      <c r="BA523" s="3"/>
      <c r="BB523" s="3"/>
      <c r="BC523" s="3"/>
      <c r="BD523" s="3"/>
      <c r="BE523" s="3"/>
      <c r="BF523" s="3"/>
      <c r="BG523" s="3"/>
      <c r="BH523" s="3"/>
      <c r="BI523" s="3"/>
      <c r="BJ523" s="3"/>
      <c r="BK523" s="3"/>
      <c r="BL523" s="3"/>
      <c r="BM523" s="3"/>
      <c r="BN523" s="3" t="s">
        <v>2115</v>
      </c>
    </row>
    <row r="524" spans="2:66" ht="12.95" customHeight="1">
      <c r="B524" s="1683"/>
      <c r="C524" s="1429"/>
      <c r="D524" s="1429"/>
      <c r="E524" s="1429"/>
      <c r="F524" s="1429"/>
      <c r="G524" s="1429"/>
      <c r="H524" s="1430"/>
      <c r="I524" t="s">
        <v>421</v>
      </c>
      <c r="AC524" s="1671">
        <v>2</v>
      </c>
      <c r="AD524" s="1672"/>
      <c r="AE524" s="1672"/>
      <c r="AF524" s="1672"/>
      <c r="AG524" s="13" t="s">
        <v>403</v>
      </c>
      <c r="AH524" s="1598">
        <v>2025</v>
      </c>
      <c r="AI524" s="1598"/>
      <c r="AJ524" s="1598"/>
      <c r="AK524" s="1599"/>
      <c r="AZ524" s="3"/>
      <c r="BA524" s="3"/>
      <c r="BB524" s="3"/>
      <c r="BC524" s="3"/>
      <c r="BD524" s="3"/>
      <c r="BE524" s="3"/>
      <c r="BF524" s="3"/>
      <c r="BG524" s="3"/>
      <c r="BH524" s="3"/>
      <c r="BI524" s="3"/>
      <c r="BJ524" s="3"/>
      <c r="BK524" s="3"/>
      <c r="BL524" s="3"/>
      <c r="BM524" s="3"/>
      <c r="BN524" s="3" t="s">
        <v>2116</v>
      </c>
    </row>
    <row r="525" spans="2:66" ht="12.95" customHeight="1">
      <c r="B525" s="1683"/>
      <c r="C525" s="1429"/>
      <c r="D525" s="1429"/>
      <c r="E525" s="1429"/>
      <c r="F525" s="1429"/>
      <c r="G525" s="1429"/>
      <c r="H525" s="1430"/>
      <c r="I525" s="48" t="s">
        <v>422</v>
      </c>
      <c r="J525" s="48"/>
      <c r="K525" s="48"/>
      <c r="L525" s="48"/>
      <c r="M525" s="48"/>
      <c r="N525" s="48"/>
      <c r="O525" s="48"/>
      <c r="P525" s="48"/>
      <c r="Q525" s="48"/>
      <c r="R525" s="48"/>
      <c r="S525" s="48"/>
      <c r="T525" s="48"/>
      <c r="U525" s="48"/>
      <c r="V525" s="48"/>
      <c r="W525" s="48"/>
      <c r="X525" s="48"/>
      <c r="Y525" s="48"/>
      <c r="Z525" s="48"/>
      <c r="AA525" s="48"/>
      <c r="AB525" s="48"/>
      <c r="AC525" s="1671">
        <v>5</v>
      </c>
      <c r="AD525" s="1672"/>
      <c r="AE525" s="1672"/>
      <c r="AF525" s="1672"/>
      <c r="AG525" s="38" t="s">
        <v>403</v>
      </c>
      <c r="AH525" s="1598">
        <v>2025</v>
      </c>
      <c r="AI525" s="1598"/>
      <c r="AJ525" s="1598"/>
      <c r="AK525" s="1599"/>
      <c r="AZ525" s="3"/>
      <c r="BA525" s="3"/>
      <c r="BB525" s="3"/>
      <c r="BC525" s="3"/>
      <c r="BD525" s="3"/>
      <c r="BE525" s="3"/>
      <c r="BF525" s="3"/>
      <c r="BG525" s="3"/>
      <c r="BH525" s="3"/>
      <c r="BI525" s="3"/>
      <c r="BJ525" s="3"/>
      <c r="BK525" s="3"/>
      <c r="BL525" s="3"/>
      <c r="BM525" s="3"/>
      <c r="BN525" s="3" t="s">
        <v>2117</v>
      </c>
    </row>
    <row r="526" spans="2:66" ht="12.95" customHeight="1">
      <c r="B526" s="1683"/>
      <c r="C526" s="1429"/>
      <c r="D526" s="1429"/>
      <c r="E526" s="1429"/>
      <c r="F526" s="1429"/>
      <c r="G526" s="1429"/>
      <c r="H526" s="1430"/>
      <c r="I526" s="42" t="s">
        <v>423</v>
      </c>
      <c r="J526" s="42"/>
      <c r="K526" s="42"/>
      <c r="L526" s="42"/>
      <c r="M526" s="42"/>
      <c r="N526" s="42"/>
      <c r="O526" s="1752" t="s">
        <v>2614</v>
      </c>
      <c r="P526" s="1753"/>
      <c r="Q526" s="1753"/>
      <c r="R526" s="1753"/>
      <c r="S526" s="1753"/>
      <c r="T526" s="1753"/>
      <c r="U526" s="1753"/>
      <c r="V526" s="1753"/>
      <c r="W526" s="1753"/>
      <c r="X526" s="1753"/>
      <c r="Y526" s="1753"/>
      <c r="Z526" s="1753"/>
      <c r="AA526" s="1753"/>
      <c r="AC526" s="1671" t="s">
        <v>591</v>
      </c>
      <c r="AD526" s="1672"/>
      <c r="AE526" s="1672"/>
      <c r="AF526" s="1672"/>
      <c r="AG526" s="13" t="s">
        <v>403</v>
      </c>
      <c r="AH526" s="1598"/>
      <c r="AI526" s="1598"/>
      <c r="AJ526" s="1598"/>
      <c r="AK526" s="1599"/>
      <c r="AZ526" s="3"/>
      <c r="BA526" s="3"/>
      <c r="BB526" s="3"/>
      <c r="BC526" s="3"/>
      <c r="BD526" s="3"/>
      <c r="BE526" s="3"/>
      <c r="BF526" s="3"/>
      <c r="BG526" s="3"/>
      <c r="BH526" s="3"/>
      <c r="BI526" s="3"/>
      <c r="BJ526" s="3"/>
      <c r="BK526" s="3"/>
      <c r="BL526" s="3"/>
      <c r="BM526" s="3"/>
      <c r="BN526" s="3" t="s">
        <v>2118</v>
      </c>
    </row>
    <row r="527" spans="2:66" ht="12.95" customHeight="1">
      <c r="B527" s="1683"/>
      <c r="C527" s="1429"/>
      <c r="D527" s="1429"/>
      <c r="E527" s="1429"/>
      <c r="F527" s="1429"/>
      <c r="G527" s="1429"/>
      <c r="H527" s="1430"/>
      <c r="I527" t="s">
        <v>421</v>
      </c>
      <c r="AC527" s="1671">
        <v>4</v>
      </c>
      <c r="AD527" s="1672"/>
      <c r="AE527" s="1672"/>
      <c r="AF527" s="1672"/>
      <c r="AG527" s="13" t="s">
        <v>403</v>
      </c>
      <c r="AH527" s="1598">
        <v>2025</v>
      </c>
      <c r="AI527" s="1598"/>
      <c r="AJ527" s="1598"/>
      <c r="AK527" s="1599"/>
      <c r="AZ527" s="3"/>
      <c r="BA527" s="3"/>
      <c r="BB527" s="3"/>
      <c r="BC527" s="3"/>
      <c r="BD527" s="3"/>
      <c r="BE527" s="3"/>
      <c r="BF527" s="3"/>
      <c r="BG527" s="3"/>
      <c r="BH527" s="3"/>
      <c r="BI527" s="3"/>
      <c r="BJ527" s="3"/>
      <c r="BK527" s="3"/>
      <c r="BL527" s="3"/>
      <c r="BM527" s="3"/>
      <c r="BN527" s="3" t="s">
        <v>2119</v>
      </c>
    </row>
    <row r="528" spans="2:66" ht="12.95" customHeight="1">
      <c r="B528" s="1683"/>
      <c r="C528" s="1429"/>
      <c r="D528" s="1429"/>
      <c r="E528" s="1429"/>
      <c r="F528" s="1429"/>
      <c r="G528" s="1429"/>
      <c r="H528" s="1430"/>
      <c r="I528" s="48" t="s">
        <v>422</v>
      </c>
      <c r="J528" s="48"/>
      <c r="K528" s="48"/>
      <c r="L528" s="48"/>
      <c r="M528" s="48"/>
      <c r="N528" s="48"/>
      <c r="O528" s="48"/>
      <c r="P528" s="48"/>
      <c r="Q528" s="48"/>
      <c r="R528" s="48"/>
      <c r="S528" s="48"/>
      <c r="T528" s="48"/>
      <c r="U528" s="48"/>
      <c r="V528" s="48"/>
      <c r="W528" s="48"/>
      <c r="X528" s="48"/>
      <c r="Y528" s="48"/>
      <c r="Z528" s="48"/>
      <c r="AA528" s="48"/>
      <c r="AB528" s="48"/>
      <c r="AC528" s="1671">
        <v>5</v>
      </c>
      <c r="AD528" s="1672"/>
      <c r="AE528" s="1672"/>
      <c r="AF528" s="1672"/>
      <c r="AG528" s="38" t="s">
        <v>403</v>
      </c>
      <c r="AH528" s="1598">
        <v>2025</v>
      </c>
      <c r="AI528" s="1598"/>
      <c r="AJ528" s="1598"/>
      <c r="AK528" s="1599"/>
      <c r="AZ528" s="3"/>
      <c r="BA528" s="3"/>
      <c r="BB528" s="3"/>
      <c r="BC528" s="3"/>
      <c r="BD528" s="3"/>
      <c r="BE528" s="3"/>
      <c r="BF528" s="3"/>
      <c r="BG528" s="3"/>
      <c r="BH528" s="3"/>
      <c r="BI528" s="3"/>
      <c r="BJ528" s="3"/>
      <c r="BK528" s="3"/>
      <c r="BL528" s="3"/>
      <c r="BM528" s="3"/>
      <c r="BN528" s="3" t="s">
        <v>2120</v>
      </c>
    </row>
    <row r="529" spans="1:66" ht="12.95" customHeight="1">
      <c r="B529" s="1683"/>
      <c r="C529" s="1429"/>
      <c r="D529" s="1429"/>
      <c r="E529" s="1429"/>
      <c r="F529" s="1429"/>
      <c r="G529" s="1429"/>
      <c r="H529" s="1430"/>
      <c r="I529" s="42" t="s">
        <v>423</v>
      </c>
      <c r="J529" s="42"/>
      <c r="K529" s="42"/>
      <c r="L529" s="42"/>
      <c r="M529" s="42"/>
      <c r="N529" s="42"/>
      <c r="O529" s="1752" t="s">
        <v>334</v>
      </c>
      <c r="P529" s="1753"/>
      <c r="Q529" s="1753"/>
      <c r="R529" s="1753"/>
      <c r="S529" s="1753"/>
      <c r="T529" s="1753"/>
      <c r="U529" s="1753"/>
      <c r="V529" s="1753"/>
      <c r="W529" s="1753"/>
      <c r="X529" s="1753"/>
      <c r="Y529" s="1753"/>
      <c r="Z529" s="1753"/>
      <c r="AA529" s="1753"/>
      <c r="AC529" s="1671" t="s">
        <v>591</v>
      </c>
      <c r="AD529" s="1672"/>
      <c r="AE529" s="1672"/>
      <c r="AF529" s="1672"/>
      <c r="AG529" s="13" t="s">
        <v>403</v>
      </c>
      <c r="AH529" s="1598"/>
      <c r="AI529" s="1598"/>
      <c r="AJ529" s="1598"/>
      <c r="AK529" s="1599"/>
      <c r="AZ529" s="3"/>
      <c r="BA529" s="3"/>
      <c r="BB529" s="3"/>
      <c r="BC529" s="3"/>
      <c r="BD529" s="3"/>
      <c r="BE529" s="3"/>
      <c r="BF529" s="3"/>
      <c r="BG529" s="3"/>
      <c r="BH529" s="3"/>
      <c r="BI529" s="3"/>
      <c r="BJ529" s="3"/>
      <c r="BK529" s="3"/>
      <c r="BL529" s="3"/>
      <c r="BM529" s="3"/>
      <c r="BN529" s="3" t="s">
        <v>2121</v>
      </c>
    </row>
    <row r="530" spans="1:66" ht="12.95" customHeight="1">
      <c r="B530" s="1683"/>
      <c r="C530" s="1429"/>
      <c r="D530" s="1429"/>
      <c r="E530" s="1429"/>
      <c r="F530" s="1429"/>
      <c r="G530" s="1429"/>
      <c r="H530" s="1430"/>
      <c r="I530" t="s">
        <v>421</v>
      </c>
      <c r="AC530" s="1671" t="s">
        <v>591</v>
      </c>
      <c r="AD530" s="1672"/>
      <c r="AE530" s="1672"/>
      <c r="AF530" s="1672"/>
      <c r="AG530" s="13" t="s">
        <v>403</v>
      </c>
      <c r="AH530" s="1598"/>
      <c r="AI530" s="1598"/>
      <c r="AJ530" s="1598"/>
      <c r="AK530" s="1599"/>
      <c r="AZ530" s="3"/>
      <c r="BA530" s="3"/>
      <c r="BB530" s="3"/>
      <c r="BC530" s="3"/>
      <c r="BD530" s="3"/>
      <c r="BE530" s="3"/>
      <c r="BF530" s="3"/>
      <c r="BG530" s="3"/>
      <c r="BH530" s="3"/>
      <c r="BI530" s="3"/>
      <c r="BJ530" s="3"/>
      <c r="BK530" s="3"/>
      <c r="BL530" s="3"/>
      <c r="BM530" s="3"/>
      <c r="BN530" s="3" t="s">
        <v>2122</v>
      </c>
    </row>
    <row r="531" spans="1:66" ht="12.95" customHeight="1">
      <c r="B531" s="1683"/>
      <c r="C531" s="1429"/>
      <c r="D531" s="1429"/>
      <c r="E531" s="1429"/>
      <c r="F531" s="1429"/>
      <c r="G531" s="1429"/>
      <c r="H531" s="1430"/>
      <c r="I531" s="48" t="s">
        <v>422</v>
      </c>
      <c r="J531" s="48"/>
      <c r="K531" s="48"/>
      <c r="L531" s="48"/>
      <c r="M531" s="48"/>
      <c r="N531" s="48"/>
      <c r="O531" s="48"/>
      <c r="P531" s="48"/>
      <c r="Q531" s="48"/>
      <c r="R531" s="48"/>
      <c r="S531" s="48"/>
      <c r="T531" s="48"/>
      <c r="U531" s="48"/>
      <c r="V531" s="48"/>
      <c r="W531" s="48"/>
      <c r="X531" s="48"/>
      <c r="Y531" s="48"/>
      <c r="Z531" s="48"/>
      <c r="AA531" s="48"/>
      <c r="AB531" s="48"/>
      <c r="AC531" s="1671" t="s">
        <v>591</v>
      </c>
      <c r="AD531" s="1672"/>
      <c r="AE531" s="1672"/>
      <c r="AF531" s="1672"/>
      <c r="AG531" s="38" t="s">
        <v>403</v>
      </c>
      <c r="AH531" s="1598"/>
      <c r="AI531" s="1598"/>
      <c r="AJ531" s="1598"/>
      <c r="AK531" s="1599"/>
      <c r="AZ531" s="3"/>
      <c r="BA531" s="3"/>
      <c r="BB531" s="3"/>
      <c r="BC531" s="3"/>
      <c r="BD531" s="3"/>
      <c r="BE531" s="3"/>
      <c r="BF531" s="3"/>
      <c r="BG531" s="3"/>
      <c r="BH531" s="3"/>
      <c r="BI531" s="3"/>
      <c r="BJ531" s="3"/>
      <c r="BK531" s="3"/>
      <c r="BL531" s="3"/>
      <c r="BM531" s="3"/>
      <c r="BN531" s="3" t="s">
        <v>2123</v>
      </c>
    </row>
    <row r="532" spans="1:66" ht="12.95" customHeight="1">
      <c r="B532" s="1683"/>
      <c r="C532" s="1429"/>
      <c r="D532" s="1429"/>
      <c r="E532" s="1429"/>
      <c r="F532" s="1429"/>
      <c r="G532" s="1429"/>
      <c r="H532" s="1430"/>
      <c r="I532" s="42" t="s">
        <v>423</v>
      </c>
      <c r="J532" s="42"/>
      <c r="K532" s="42"/>
      <c r="L532" s="42"/>
      <c r="M532" s="42"/>
      <c r="N532" s="42"/>
      <c r="O532" s="1752" t="s">
        <v>334</v>
      </c>
      <c r="P532" s="1753"/>
      <c r="Q532" s="1753"/>
      <c r="R532" s="1753"/>
      <c r="S532" s="1753"/>
      <c r="T532" s="1753"/>
      <c r="U532" s="1753"/>
      <c r="V532" s="1753"/>
      <c r="W532" s="1753"/>
      <c r="X532" s="1753"/>
      <c r="Y532" s="1753"/>
      <c r="Z532" s="1753"/>
      <c r="AA532" s="1753"/>
      <c r="AC532" s="1671" t="s">
        <v>591</v>
      </c>
      <c r="AD532" s="1672"/>
      <c r="AE532" s="1672"/>
      <c r="AF532" s="1672"/>
      <c r="AG532" s="13" t="s">
        <v>403</v>
      </c>
      <c r="AH532" s="1598"/>
      <c r="AI532" s="1598"/>
      <c r="AJ532" s="1598"/>
      <c r="AK532" s="1599"/>
      <c r="AZ532" s="3"/>
      <c r="BA532" s="3"/>
      <c r="BB532" s="3"/>
      <c r="BC532" s="3"/>
      <c r="BD532" s="3"/>
      <c r="BE532" s="3"/>
      <c r="BF532" s="3"/>
      <c r="BG532" s="3"/>
      <c r="BH532" s="3"/>
      <c r="BI532" s="3"/>
      <c r="BJ532" s="3"/>
      <c r="BK532" s="3"/>
      <c r="BL532" s="3"/>
      <c r="BM532" s="3"/>
      <c r="BN532" s="3" t="s">
        <v>2124</v>
      </c>
    </row>
    <row r="533" spans="1:66" ht="12.95" customHeight="1">
      <c r="B533" s="1683"/>
      <c r="C533" s="1429"/>
      <c r="D533" s="1429"/>
      <c r="E533" s="1429"/>
      <c r="F533" s="1429"/>
      <c r="G533" s="1429"/>
      <c r="H533" s="1430"/>
      <c r="I533" t="s">
        <v>421</v>
      </c>
      <c r="AC533" s="1671" t="s">
        <v>591</v>
      </c>
      <c r="AD533" s="1672"/>
      <c r="AE533" s="1672"/>
      <c r="AF533" s="1672"/>
      <c r="AG533" s="38" t="s">
        <v>403</v>
      </c>
      <c r="AH533" s="1598"/>
      <c r="AI533" s="1598"/>
      <c r="AJ533" s="1598"/>
      <c r="AK533" s="1599"/>
      <c r="AZ533" s="3"/>
      <c r="BA533" s="3"/>
      <c r="BB533" s="3"/>
      <c r="BC533" s="3"/>
      <c r="BD533" s="3"/>
      <c r="BE533" s="3"/>
      <c r="BF533" s="3"/>
      <c r="BG533" s="3"/>
      <c r="BH533" s="3"/>
      <c r="BI533" s="3"/>
      <c r="BJ533" s="3"/>
      <c r="BK533" s="3"/>
      <c r="BL533" s="3"/>
      <c r="BM533" s="3"/>
      <c r="BN533" s="3" t="s">
        <v>2125</v>
      </c>
    </row>
    <row r="534" spans="1:66" ht="12.95" customHeight="1">
      <c r="B534" s="1683"/>
      <c r="C534" s="1429"/>
      <c r="D534" s="1429"/>
      <c r="E534" s="1429"/>
      <c r="F534" s="1429"/>
      <c r="G534" s="1429"/>
      <c r="H534" s="1430"/>
      <c r="I534" s="48" t="s">
        <v>422</v>
      </c>
      <c r="J534" s="48"/>
      <c r="K534" s="48"/>
      <c r="L534" s="48"/>
      <c r="M534" s="48"/>
      <c r="N534" s="48"/>
      <c r="O534" s="48"/>
      <c r="P534" s="48"/>
      <c r="Q534" s="48"/>
      <c r="R534" s="48"/>
      <c r="S534" s="48"/>
      <c r="T534" s="48"/>
      <c r="U534" s="48"/>
      <c r="V534" s="48"/>
      <c r="W534" s="48"/>
      <c r="X534" s="48"/>
      <c r="Y534" s="48"/>
      <c r="Z534" s="48"/>
      <c r="AA534" s="48"/>
      <c r="AB534" s="48"/>
      <c r="AC534" s="1671" t="s">
        <v>591</v>
      </c>
      <c r="AD534" s="1672"/>
      <c r="AE534" s="1672"/>
      <c r="AF534" s="1672"/>
      <c r="AG534" s="13" t="s">
        <v>403</v>
      </c>
      <c r="AH534" s="1598"/>
      <c r="AI534" s="1598"/>
      <c r="AJ534" s="1598"/>
      <c r="AK534" s="1599"/>
      <c r="AZ534" s="3"/>
      <c r="BA534" s="3"/>
      <c r="BB534" s="3"/>
      <c r="BC534" s="3"/>
      <c r="BD534" s="3"/>
      <c r="BE534" s="3"/>
      <c r="BF534" s="3"/>
      <c r="BG534" s="3"/>
      <c r="BH534" s="3"/>
      <c r="BI534" s="3"/>
      <c r="BJ534" s="3"/>
      <c r="BK534" s="3"/>
      <c r="BL534" s="3"/>
      <c r="BM534" s="3"/>
      <c r="BN534" s="3" t="s">
        <v>2126</v>
      </c>
    </row>
    <row r="535" spans="1:66" ht="12.95" customHeight="1">
      <c r="B535" s="1683"/>
      <c r="C535" s="1429"/>
      <c r="D535" s="1429"/>
      <c r="E535" s="1429"/>
      <c r="F535" s="1429"/>
      <c r="G535" s="1429"/>
      <c r="H535" s="1430"/>
      <c r="I535" s="42" t="s">
        <v>423</v>
      </c>
      <c r="J535" s="42"/>
      <c r="K535" s="42"/>
      <c r="L535" s="42"/>
      <c r="M535" s="42"/>
      <c r="N535" s="42"/>
      <c r="O535" s="1752" t="s">
        <v>334</v>
      </c>
      <c r="P535" s="1753"/>
      <c r="Q535" s="1753"/>
      <c r="R535" s="1753"/>
      <c r="S535" s="1753"/>
      <c r="T535" s="1753"/>
      <c r="U535" s="1753"/>
      <c r="V535" s="1753"/>
      <c r="W535" s="1753"/>
      <c r="X535" s="1753"/>
      <c r="Y535" s="1753"/>
      <c r="Z535" s="1753"/>
      <c r="AA535" s="1753"/>
      <c r="AC535" s="1671" t="s">
        <v>591</v>
      </c>
      <c r="AD535" s="1672"/>
      <c r="AE535" s="1672"/>
      <c r="AF535" s="1672"/>
      <c r="AG535" s="38" t="s">
        <v>403</v>
      </c>
      <c r="AH535" s="1598"/>
      <c r="AI535" s="1598"/>
      <c r="AJ535" s="1598"/>
      <c r="AK535" s="1599"/>
      <c r="AZ535" s="3"/>
      <c r="BA535" s="3"/>
      <c r="BB535" s="3"/>
      <c r="BC535" s="3"/>
      <c r="BD535" s="3"/>
      <c r="BE535" s="3"/>
      <c r="BF535" s="3"/>
      <c r="BG535" s="3"/>
      <c r="BH535" s="3"/>
      <c r="BI535" s="3"/>
      <c r="BJ535" s="3"/>
      <c r="BK535" s="3"/>
      <c r="BL535" s="3"/>
      <c r="BM535" s="3"/>
      <c r="BN535" s="3" t="s">
        <v>2127</v>
      </c>
    </row>
    <row r="536" spans="1:66" ht="12.95" customHeight="1">
      <c r="B536" s="1683"/>
      <c r="C536" s="1429"/>
      <c r="D536" s="1429"/>
      <c r="E536" s="1429"/>
      <c r="F536" s="1429"/>
      <c r="G536" s="1429"/>
      <c r="H536" s="1430"/>
      <c r="I536" t="s">
        <v>421</v>
      </c>
      <c r="AC536" s="1671" t="s">
        <v>591</v>
      </c>
      <c r="AD536" s="1672"/>
      <c r="AE536" s="1672"/>
      <c r="AF536" s="1672"/>
      <c r="AG536" s="13" t="s">
        <v>403</v>
      </c>
      <c r="AH536" s="1598"/>
      <c r="AI536" s="1598"/>
      <c r="AJ536" s="1598"/>
      <c r="AK536" s="1599"/>
      <c r="AZ536" s="3"/>
      <c r="BA536" s="3"/>
      <c r="BB536" s="3"/>
      <c r="BC536" s="3"/>
      <c r="BD536" s="3"/>
      <c r="BE536" s="3"/>
      <c r="BF536" s="3"/>
      <c r="BG536" s="3"/>
      <c r="BH536" s="3"/>
      <c r="BI536" s="3"/>
      <c r="BJ536" s="3"/>
      <c r="BK536" s="3"/>
      <c r="BL536" s="3"/>
      <c r="BM536" s="3"/>
      <c r="BN536" s="3" t="s">
        <v>2128</v>
      </c>
    </row>
    <row r="537" spans="1:66" ht="12.95" customHeight="1">
      <c r="B537" s="1683"/>
      <c r="C537" s="1429"/>
      <c r="D537" s="1429"/>
      <c r="E537" s="1429"/>
      <c r="F537" s="1429"/>
      <c r="G537" s="1429"/>
      <c r="H537" s="1430"/>
      <c r="I537" s="48" t="s">
        <v>422</v>
      </c>
      <c r="J537" s="48"/>
      <c r="K537" s="48"/>
      <c r="L537" s="48"/>
      <c r="M537" s="48"/>
      <c r="N537" s="48"/>
      <c r="O537" s="48"/>
      <c r="P537" s="48"/>
      <c r="Q537" s="48"/>
      <c r="R537" s="48"/>
      <c r="S537" s="48"/>
      <c r="T537" s="48"/>
      <c r="U537" s="48"/>
      <c r="V537" s="48"/>
      <c r="W537" s="48"/>
      <c r="X537" s="48"/>
      <c r="Y537" s="48"/>
      <c r="Z537" s="48"/>
      <c r="AA537" s="48"/>
      <c r="AB537" s="48"/>
      <c r="AC537" s="1671" t="s">
        <v>591</v>
      </c>
      <c r="AD537" s="1672"/>
      <c r="AE537" s="1672"/>
      <c r="AF537" s="1672"/>
      <c r="AG537" s="38" t="s">
        <v>403</v>
      </c>
      <c r="AH537" s="1598"/>
      <c r="AI537" s="1598"/>
      <c r="AJ537" s="1598"/>
      <c r="AK537" s="1599"/>
      <c r="AZ537" s="3"/>
      <c r="BA537" s="3"/>
      <c r="BB537" s="3"/>
      <c r="BC537" s="3"/>
      <c r="BD537" s="3"/>
      <c r="BE537" s="3"/>
      <c r="BF537" s="3"/>
      <c r="BG537" s="3"/>
      <c r="BH537" s="3"/>
      <c r="BI537" s="3"/>
      <c r="BJ537" s="3"/>
      <c r="BK537" s="3"/>
      <c r="BL537" s="3"/>
      <c r="BM537" s="3"/>
      <c r="BN537" s="3" t="s">
        <v>2129</v>
      </c>
    </row>
    <row r="538" spans="1:66" ht="12.95" customHeight="1">
      <c r="B538" s="1683"/>
      <c r="C538" s="1429"/>
      <c r="D538" s="1429"/>
      <c r="E538" s="1429"/>
      <c r="F538" s="1429"/>
      <c r="G538" s="1429"/>
      <c r="H538" s="1430"/>
      <c r="I538" s="42" t="s">
        <v>562</v>
      </c>
      <c r="J538" s="42"/>
      <c r="K538" s="42"/>
      <c r="L538" s="42"/>
      <c r="M538" s="42"/>
      <c r="N538" s="42"/>
      <c r="O538" s="42"/>
      <c r="P538" s="42"/>
      <c r="Q538" s="42"/>
      <c r="R538" s="42"/>
      <c r="S538" s="42"/>
      <c r="T538" s="42"/>
      <c r="U538" s="42"/>
      <c r="V538" s="42"/>
      <c r="W538" s="42"/>
      <c r="AC538" s="1671" t="s">
        <v>591</v>
      </c>
      <c r="AD538" s="1672"/>
      <c r="AE538" s="1672"/>
      <c r="AF538" s="1672"/>
      <c r="AG538" s="38" t="s">
        <v>403</v>
      </c>
      <c r="AH538" s="1598"/>
      <c r="AI538" s="1598"/>
      <c r="AJ538" s="1598"/>
      <c r="AK538" s="1599"/>
      <c r="AZ538" s="3"/>
      <c r="BA538" s="3"/>
      <c r="BB538" s="3"/>
      <c r="BC538" s="3"/>
      <c r="BD538" s="3"/>
      <c r="BE538" s="3"/>
      <c r="BF538" s="3"/>
      <c r="BG538" s="3"/>
      <c r="BH538" s="3"/>
      <c r="BI538" s="3"/>
      <c r="BJ538" s="3"/>
      <c r="BK538" s="3"/>
      <c r="BL538" s="3"/>
      <c r="BM538" s="3"/>
      <c r="BN538" s="3"/>
    </row>
    <row r="539" spans="1:66" ht="12.95" customHeight="1">
      <c r="B539" s="1683"/>
      <c r="C539" s="1429"/>
      <c r="D539" s="1429"/>
      <c r="E539" s="1429"/>
      <c r="F539" s="1429"/>
      <c r="G539" s="1429"/>
      <c r="H539" s="1430"/>
      <c r="I539" t="s">
        <v>563</v>
      </c>
      <c r="AC539" s="1671" t="s">
        <v>591</v>
      </c>
      <c r="AD539" s="1672"/>
      <c r="AE539" s="1672"/>
      <c r="AF539" s="1672"/>
      <c r="AG539" s="13" t="s">
        <v>403</v>
      </c>
      <c r="AH539" s="1598"/>
      <c r="AI539" s="1598"/>
      <c r="AJ539" s="1598"/>
      <c r="AK539" s="1599"/>
      <c r="AZ539" s="3"/>
      <c r="BA539" s="3"/>
      <c r="BB539" s="3"/>
      <c r="BC539" s="3"/>
      <c r="BD539" s="3"/>
      <c r="BE539" s="3"/>
      <c r="BF539" s="3"/>
      <c r="BG539" s="3"/>
      <c r="BH539" s="3"/>
      <c r="BI539" s="3"/>
      <c r="BJ539" s="3"/>
      <c r="BK539" s="3"/>
      <c r="BL539" s="3"/>
      <c r="BM539" s="3"/>
      <c r="BN539" s="3"/>
    </row>
    <row r="540" spans="1:66" ht="12.95" customHeight="1">
      <c r="B540" s="1683"/>
      <c r="C540" s="1429"/>
      <c r="D540" s="1429"/>
      <c r="E540" s="1429"/>
      <c r="F540" s="1429"/>
      <c r="G540" s="1429"/>
      <c r="H540" s="1430"/>
      <c r="I540" t="s">
        <v>564</v>
      </c>
      <c r="AC540" s="1671" t="s">
        <v>591</v>
      </c>
      <c r="AD540" s="1672"/>
      <c r="AE540" s="1672"/>
      <c r="AF540" s="1672"/>
      <c r="AG540" s="38" t="s">
        <v>403</v>
      </c>
      <c r="AH540" s="1598"/>
      <c r="AI540" s="1598"/>
      <c r="AJ540" s="1598"/>
      <c r="AK540" s="1599"/>
      <c r="AZ540" s="3"/>
      <c r="BA540" s="3"/>
      <c r="BB540" s="3"/>
      <c r="BC540" s="3"/>
      <c r="BD540" s="3"/>
      <c r="BE540" s="3"/>
      <c r="BF540" s="3"/>
      <c r="BG540" s="3"/>
      <c r="BH540" s="3"/>
      <c r="BI540" s="3"/>
      <c r="BJ540" s="3"/>
      <c r="BK540" s="3"/>
      <c r="BL540" s="3"/>
      <c r="BM540" s="3"/>
      <c r="BN540" s="3"/>
    </row>
    <row r="541" spans="1:66" ht="12.95" customHeight="1">
      <c r="B541" s="1683"/>
      <c r="C541" s="1429"/>
      <c r="D541" s="1429"/>
      <c r="E541" s="1429"/>
      <c r="F541" s="1429"/>
      <c r="G541" s="1429"/>
      <c r="H541" s="1430"/>
      <c r="I541" t="s">
        <v>565</v>
      </c>
      <c r="AC541" s="1671" t="s">
        <v>591</v>
      </c>
      <c r="AD541" s="1672"/>
      <c r="AE541" s="1672"/>
      <c r="AF541" s="1672"/>
      <c r="AG541" s="38" t="s">
        <v>403</v>
      </c>
      <c r="AH541" s="1598"/>
      <c r="AI541" s="1598"/>
      <c r="AJ541" s="1598"/>
      <c r="AK541" s="1599"/>
      <c r="AZ541" s="3"/>
      <c r="BA541" s="3"/>
      <c r="BB541" s="3"/>
      <c r="BC541" s="3"/>
      <c r="BD541" s="3"/>
      <c r="BE541" s="3"/>
      <c r="BF541" s="3"/>
      <c r="BG541" s="3"/>
      <c r="BH541" s="3"/>
      <c r="BI541" s="3"/>
      <c r="BJ541" s="3"/>
      <c r="BK541" s="3"/>
      <c r="BL541" s="3"/>
      <c r="BM541" s="3"/>
      <c r="BN541" s="3"/>
    </row>
    <row r="542" spans="1:66" ht="12.95" customHeight="1">
      <c r="B542" s="1684"/>
      <c r="C542" s="1431"/>
      <c r="D542" s="1431"/>
      <c r="E542" s="1431"/>
      <c r="F542" s="1431"/>
      <c r="G542" s="1431"/>
      <c r="H542" s="1432"/>
      <c r="I542" s="48" t="s">
        <v>451</v>
      </c>
      <c r="J542" s="48"/>
      <c r="K542" s="48"/>
      <c r="L542" s="48"/>
      <c r="M542" s="48"/>
      <c r="N542" s="48"/>
      <c r="O542" s="48"/>
      <c r="P542" s="48"/>
      <c r="Q542" s="48"/>
      <c r="R542" s="48"/>
      <c r="S542" s="48"/>
      <c r="T542" s="48"/>
      <c r="U542" s="48"/>
      <c r="V542" s="48"/>
      <c r="W542" s="48"/>
      <c r="X542" s="48"/>
      <c r="Y542" s="48"/>
      <c r="Z542" s="48"/>
      <c r="AA542" s="48"/>
      <c r="AB542" s="48"/>
      <c r="AC542" s="1671" t="s">
        <v>591</v>
      </c>
      <c r="AD542" s="1672"/>
      <c r="AE542" s="1672"/>
      <c r="AF542" s="1672"/>
      <c r="AG542" s="38" t="s">
        <v>403</v>
      </c>
      <c r="AH542" s="1598"/>
      <c r="AI542" s="1598"/>
      <c r="AJ542" s="1598"/>
      <c r="AK542" s="1599"/>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6" t="s">
        <v>543</v>
      </c>
      <c r="B544" s="1266"/>
      <c r="C544" s="1266"/>
      <c r="D544" s="1266"/>
      <c r="E544" s="1266"/>
      <c r="F544" s="1266"/>
      <c r="G544" s="1266"/>
      <c r="H544" s="1266"/>
      <c r="I544" s="1266"/>
      <c r="J544" s="1266"/>
      <c r="K544" s="1266"/>
      <c r="L544" s="1266"/>
      <c r="M544" s="1266"/>
      <c r="N544" s="1266"/>
      <c r="O544" s="1266"/>
      <c r="P544" s="1266"/>
      <c r="Q544" s="1266"/>
      <c r="R544" s="1266"/>
      <c r="S544" s="1266"/>
      <c r="T544" s="1266"/>
      <c r="U544" s="1266"/>
      <c r="V544" s="1266"/>
      <c r="W544" s="1266"/>
      <c r="X544" s="1266"/>
      <c r="Y544" s="1266"/>
      <c r="Z544" s="1266"/>
      <c r="AA544" s="1266"/>
      <c r="AB544" s="1266"/>
      <c r="AC544" s="1266"/>
      <c r="AD544" s="1266"/>
      <c r="AE544" s="1266"/>
      <c r="AF544" s="1266"/>
      <c r="AG544" s="1266"/>
      <c r="AH544" s="1266"/>
      <c r="AI544" s="1266"/>
      <c r="AJ544" s="1266"/>
      <c r="AK544" s="1266"/>
      <c r="AL544" s="1266"/>
      <c r="AM544" s="1266"/>
      <c r="AN544" s="1266"/>
      <c r="AO544" s="1266"/>
      <c r="AP544" s="1266"/>
      <c r="AQ544" s="1266"/>
      <c r="AR544" s="1266"/>
      <c r="AS544" s="1266"/>
      <c r="AT544" s="1266"/>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6"/>
      <c r="B545" s="1266"/>
      <c r="C545" s="1266"/>
      <c r="D545" s="1266"/>
      <c r="E545" s="1266"/>
      <c r="F545" s="1266"/>
      <c r="G545" s="1266"/>
      <c r="H545" s="1266"/>
      <c r="I545" s="1266"/>
      <c r="J545" s="1266"/>
      <c r="K545" s="1266"/>
      <c r="L545" s="1266"/>
      <c r="M545" s="1266"/>
      <c r="N545" s="1266"/>
      <c r="O545" s="1266"/>
      <c r="P545" s="1266"/>
      <c r="Q545" s="1266"/>
      <c r="R545" s="1266"/>
      <c r="S545" s="1266"/>
      <c r="T545" s="1266"/>
      <c r="U545" s="1266"/>
      <c r="V545" s="1266"/>
      <c r="W545" s="1266"/>
      <c r="X545" s="1266"/>
      <c r="Y545" s="1266"/>
      <c r="Z545" s="1266"/>
      <c r="AA545" s="1266"/>
      <c r="AB545" s="1266"/>
      <c r="AC545" s="1266"/>
      <c r="AD545" s="1266"/>
      <c r="AE545" s="1266"/>
      <c r="AF545" s="1266"/>
      <c r="AG545" s="1266"/>
      <c r="AH545" s="1266"/>
      <c r="AI545" s="1266"/>
      <c r="AJ545" s="1266"/>
      <c r="AK545" s="1266"/>
      <c r="AL545" s="1266"/>
      <c r="AM545" s="1266"/>
      <c r="AN545" s="1266"/>
      <c r="AO545" s="1266"/>
      <c r="AP545" s="1266"/>
      <c r="AQ545" s="1266"/>
      <c r="AR545" s="1266"/>
      <c r="AS545" s="1266"/>
      <c r="AT545" s="1266"/>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82" t="s">
        <v>2103</v>
      </c>
      <c r="C551" s="1427"/>
      <c r="D551" s="1427"/>
      <c r="E551" s="1427"/>
      <c r="F551" s="1427"/>
      <c r="G551" s="1427"/>
      <c r="H551" s="1427"/>
      <c r="I551" s="1427"/>
      <c r="J551" s="1427"/>
      <c r="K551" s="1427"/>
      <c r="L551" s="1428"/>
      <c r="M551" s="1682" t="s">
        <v>2104</v>
      </c>
      <c r="N551" s="1427"/>
      <c r="O551" s="1427"/>
      <c r="P551" s="1428"/>
      <c r="Q551" s="1682" t="s">
        <v>2130</v>
      </c>
      <c r="R551" s="1427"/>
      <c r="S551" s="1428"/>
      <c r="T551" s="1682" t="s">
        <v>2131</v>
      </c>
      <c r="U551" s="1427"/>
      <c r="V551" s="1428"/>
      <c r="W551" s="1682" t="s">
        <v>453</v>
      </c>
      <c r="X551" s="1427"/>
      <c r="Y551" s="1428"/>
      <c r="Z551" s="1682" t="s">
        <v>1852</v>
      </c>
      <c r="AA551" s="1427"/>
      <c r="AB551" s="1427"/>
      <c r="AC551" s="1427"/>
      <c r="AD551" s="1428"/>
      <c r="AE551" s="1682" t="s">
        <v>1676</v>
      </c>
      <c r="AF551" s="1427"/>
      <c r="AG551" s="1427"/>
      <c r="AH551" s="1428"/>
      <c r="AI551" s="1682" t="s">
        <v>1677</v>
      </c>
      <c r="AJ551" s="1427"/>
      <c r="AK551" s="1427"/>
      <c r="AL551" s="1428"/>
      <c r="AM551" s="1682" t="s">
        <v>454</v>
      </c>
      <c r="AN551" s="1427"/>
      <c r="AO551" s="1427"/>
      <c r="AP551" s="1427"/>
      <c r="AQ551" s="1427"/>
      <c r="AR551" s="1427"/>
      <c r="AS551" s="1428"/>
      <c r="BB551" s="3"/>
      <c r="BC551" s="3"/>
      <c r="BD551" s="3"/>
      <c r="BE551" s="3"/>
      <c r="BF551" s="3"/>
      <c r="BG551" s="3"/>
      <c r="BH551" s="3" t="s">
        <v>581</v>
      </c>
      <c r="BI551" s="3" t="str">
        <f>AG657</f>
        <v>Yes</v>
      </c>
    </row>
    <row r="552" spans="1:61" ht="12.95" customHeight="1">
      <c r="B552" s="1683"/>
      <c r="C552" s="1429"/>
      <c r="D552" s="1429"/>
      <c r="E552" s="1429"/>
      <c r="F552" s="1429"/>
      <c r="G552" s="1429"/>
      <c r="H552" s="1429"/>
      <c r="I552" s="1429"/>
      <c r="J552" s="1429"/>
      <c r="K552" s="1429"/>
      <c r="L552" s="1430"/>
      <c r="M552" s="1683"/>
      <c r="N552" s="1429"/>
      <c r="O552" s="1429"/>
      <c r="P552" s="1430"/>
      <c r="Q552" s="1683"/>
      <c r="R552" s="1429"/>
      <c r="S552" s="1430"/>
      <c r="T552" s="1683"/>
      <c r="U552" s="1429"/>
      <c r="V552" s="1430"/>
      <c r="W552" s="1683"/>
      <c r="X552" s="1429"/>
      <c r="Y552" s="1430"/>
      <c r="Z552" s="1683"/>
      <c r="AA552" s="1429"/>
      <c r="AB552" s="1429"/>
      <c r="AC552" s="1429"/>
      <c r="AD552" s="1430"/>
      <c r="AE552" s="1683"/>
      <c r="AF552" s="1429"/>
      <c r="AG552" s="1429"/>
      <c r="AH552" s="1430"/>
      <c r="AI552" s="1683"/>
      <c r="AJ552" s="1429"/>
      <c r="AK552" s="1429"/>
      <c r="AL552" s="1430"/>
      <c r="AM552" s="1683"/>
      <c r="AN552" s="1429"/>
      <c r="AO552" s="1429"/>
      <c r="AP552" s="1429"/>
      <c r="AQ552" s="1429"/>
      <c r="AR552" s="1429"/>
      <c r="AS552" s="1430"/>
      <c r="AU552" s="1147"/>
      <c r="BB552" s="3"/>
      <c r="BC552" s="3"/>
      <c r="BD552" s="3"/>
      <c r="BE552" s="3"/>
      <c r="BF552" s="3"/>
      <c r="BG552" s="3"/>
      <c r="BH552" s="3"/>
      <c r="BI552" s="3"/>
    </row>
    <row r="553" spans="1:61" ht="12.95" customHeight="1">
      <c r="B553" s="1684"/>
      <c r="C553" s="1431"/>
      <c r="D553" s="1431"/>
      <c r="E553" s="1431"/>
      <c r="F553" s="1431"/>
      <c r="G553" s="1431"/>
      <c r="H553" s="1431"/>
      <c r="I553" s="1431"/>
      <c r="J553" s="1431"/>
      <c r="K553" s="1431"/>
      <c r="L553" s="1432"/>
      <c r="M553" s="1684"/>
      <c r="N553" s="1431"/>
      <c r="O553" s="1431"/>
      <c r="P553" s="1432"/>
      <c r="Q553" s="1684"/>
      <c r="R553" s="1431"/>
      <c r="S553" s="1432"/>
      <c r="T553" s="1684"/>
      <c r="U553" s="1431"/>
      <c r="V553" s="1432"/>
      <c r="W553" s="1684"/>
      <c r="X553" s="1431"/>
      <c r="Y553" s="1432"/>
      <c r="Z553" s="1684"/>
      <c r="AA553" s="1431"/>
      <c r="AB553" s="1431"/>
      <c r="AC553" s="1431"/>
      <c r="AD553" s="1432"/>
      <c r="AE553" s="1684"/>
      <c r="AF553" s="1431"/>
      <c r="AG553" s="1431"/>
      <c r="AH553" s="1432"/>
      <c r="AI553" s="1684"/>
      <c r="AJ553" s="1431"/>
      <c r="AK553" s="1431"/>
      <c r="AL553" s="1432"/>
      <c r="AM553" s="1684"/>
      <c r="AN553" s="1431"/>
      <c r="AO553" s="1431"/>
      <c r="AP553" s="1431"/>
      <c r="AQ553" s="1431"/>
      <c r="AR553" s="1431"/>
      <c r="AS553" s="1432"/>
      <c r="AU553" s="1147"/>
      <c r="BB553" s="3"/>
      <c r="BC553" s="3"/>
      <c r="BD553" s="3"/>
      <c r="BE553" s="3"/>
      <c r="BF553" s="3"/>
      <c r="BG553" s="3"/>
      <c r="BH553" s="3"/>
      <c r="BI553" s="3"/>
    </row>
    <row r="554" spans="1:61" ht="12.95" customHeight="1">
      <c r="B554" s="51" t="s">
        <v>112</v>
      </c>
      <c r="C554" s="1693" t="s">
        <v>2717</v>
      </c>
      <c r="D554" s="1693"/>
      <c r="E554" s="1693"/>
      <c r="F554" s="1693"/>
      <c r="G554" s="1693"/>
      <c r="H554" s="1693"/>
      <c r="I554" s="1693"/>
      <c r="J554" s="1693"/>
      <c r="K554" s="1693"/>
      <c r="L554" s="1693"/>
      <c r="M554" s="1693" t="s">
        <v>2120</v>
      </c>
      <c r="N554" s="1693"/>
      <c r="O554" s="1693"/>
      <c r="P554" s="1693"/>
      <c r="Q554" s="1691">
        <v>33</v>
      </c>
      <c r="R554" s="1691"/>
      <c r="S554" s="1692"/>
      <c r="T554" s="1690" t="s">
        <v>591</v>
      </c>
      <c r="U554" s="1691"/>
      <c r="V554" s="1692"/>
      <c r="W554" s="1676">
        <v>6.4000000000000001E-2</v>
      </c>
      <c r="X554" s="1677"/>
      <c r="Y554" s="1678"/>
      <c r="Z554" s="1686" t="s">
        <v>2720</v>
      </c>
      <c r="AA554" s="1686"/>
      <c r="AB554" s="1686"/>
      <c r="AC554" s="1686"/>
      <c r="AD554" s="1686"/>
      <c r="AE554" s="1445">
        <v>1</v>
      </c>
      <c r="AF554" s="1446"/>
      <c r="AG554" s="1446"/>
      <c r="AH554" s="1447"/>
      <c r="AI554" s="1448"/>
      <c r="AJ554" s="1449"/>
      <c r="AK554" s="1449"/>
      <c r="AL554" s="1450"/>
      <c r="AM554" s="1679">
        <v>82584672</v>
      </c>
      <c r="AN554" s="1680"/>
      <c r="AO554" s="1680"/>
      <c r="AP554" s="1680"/>
      <c r="AQ554" s="1680"/>
      <c r="AR554" s="1680"/>
      <c r="AS554" s="1681"/>
      <c r="AT554" s="1148"/>
      <c r="AU554" s="1147"/>
      <c r="BB554" s="3"/>
      <c r="BC554" s="3"/>
      <c r="BD554" s="3"/>
      <c r="BE554" s="3"/>
      <c r="BF554" s="3"/>
      <c r="BG554" s="3"/>
      <c r="BH554" s="3"/>
      <c r="BI554" s="3"/>
    </row>
    <row r="555" spans="1:61" ht="12.95" customHeight="1">
      <c r="B555" s="52" t="s">
        <v>113</v>
      </c>
      <c r="C555" s="1685" t="s">
        <v>2717</v>
      </c>
      <c r="D555" s="1685"/>
      <c r="E555" s="1685"/>
      <c r="F555" s="1685"/>
      <c r="G555" s="1685"/>
      <c r="H555" s="1685"/>
      <c r="I555" s="1685"/>
      <c r="J555" s="1685"/>
      <c r="K555" s="1685"/>
      <c r="L555" s="1685"/>
      <c r="M555" s="1693" t="s">
        <v>2119</v>
      </c>
      <c r="N555" s="1693"/>
      <c r="O555" s="1693"/>
      <c r="P555" s="1693"/>
      <c r="Q555" s="1690">
        <v>33</v>
      </c>
      <c r="R555" s="1691"/>
      <c r="S555" s="1692"/>
      <c r="T555" s="1690" t="s">
        <v>591</v>
      </c>
      <c r="U555" s="1691"/>
      <c r="V555" s="1692"/>
      <c r="W555" s="1676">
        <v>6.4000000000000001E-2</v>
      </c>
      <c r="X555" s="1677"/>
      <c r="Y555" s="1678"/>
      <c r="Z555" s="1686" t="s">
        <v>2720</v>
      </c>
      <c r="AA555" s="1686"/>
      <c r="AB555" s="1686"/>
      <c r="AC555" s="1686"/>
      <c r="AD555" s="1686"/>
      <c r="AE555" s="1445">
        <v>1</v>
      </c>
      <c r="AF555" s="1446"/>
      <c r="AG555" s="1446"/>
      <c r="AH555" s="1447"/>
      <c r="AI555" s="1448"/>
      <c r="AJ555" s="1449"/>
      <c r="AK555" s="1449"/>
      <c r="AL555" s="1450"/>
      <c r="AM555" s="1679">
        <v>14427757</v>
      </c>
      <c r="AN555" s="1680"/>
      <c r="AO555" s="1680"/>
      <c r="AP555" s="1680"/>
      <c r="AQ555" s="1680"/>
      <c r="AR555" s="1680"/>
      <c r="AS555" s="1681"/>
      <c r="AT555" s="1148" t="str">
        <f>IF(AND(NOT(C554=""),C555="",NOT(C556="")),"!","")</f>
        <v/>
      </c>
      <c r="AU555" s="1147"/>
      <c r="BB555" s="3"/>
      <c r="BC555" s="3"/>
      <c r="BD555" s="3"/>
      <c r="BE555" s="3"/>
      <c r="BF555" s="3"/>
      <c r="BG555" s="3"/>
      <c r="BH555" s="3"/>
      <c r="BI555" s="3"/>
    </row>
    <row r="556" spans="1:61" ht="12.95" customHeight="1">
      <c r="B556" s="52" t="s">
        <v>119</v>
      </c>
      <c r="C556" s="1685" t="s">
        <v>2719</v>
      </c>
      <c r="D556" s="1685"/>
      <c r="E556" s="1685"/>
      <c r="F556" s="1685"/>
      <c r="G556" s="1685"/>
      <c r="H556" s="1685"/>
      <c r="I556" s="1685"/>
      <c r="J556" s="1685"/>
      <c r="K556" s="1685"/>
      <c r="L556" s="1685"/>
      <c r="M556" s="1693" t="s">
        <v>2116</v>
      </c>
      <c r="N556" s="1693"/>
      <c r="O556" s="1693"/>
      <c r="P556" s="1693"/>
      <c r="Q556" s="1690">
        <v>204</v>
      </c>
      <c r="R556" s="1691"/>
      <c r="S556" s="1692"/>
      <c r="T556" s="1690" t="s">
        <v>591</v>
      </c>
      <c r="U556" s="1691"/>
      <c r="V556" s="1692"/>
      <c r="W556" s="1676">
        <v>0.03</v>
      </c>
      <c r="X556" s="1677"/>
      <c r="Y556" s="1678"/>
      <c r="Z556" s="1686" t="s">
        <v>2721</v>
      </c>
      <c r="AA556" s="1686"/>
      <c r="AB556" s="1686"/>
      <c r="AC556" s="1686"/>
      <c r="AD556" s="1686"/>
      <c r="AE556" s="1445">
        <v>2</v>
      </c>
      <c r="AF556" s="1446"/>
      <c r="AG556" s="1446"/>
      <c r="AH556" s="1447"/>
      <c r="AI556" s="1448"/>
      <c r="AJ556" s="1449"/>
      <c r="AK556" s="1449"/>
      <c r="AL556" s="1450"/>
      <c r="AM556" s="1679">
        <v>15235540</v>
      </c>
      <c r="AN556" s="1680"/>
      <c r="AO556" s="1680"/>
      <c r="AP556" s="1680"/>
      <c r="AQ556" s="1680"/>
      <c r="AR556" s="1680"/>
      <c r="AS556" s="1681"/>
      <c r="AT556" s="1148" t="str">
        <f>IF(AND(NOT(C555=""),C556="",NOT(C557="")),"!","")</f>
        <v/>
      </c>
      <c r="AU556" s="1147"/>
      <c r="BB556" s="3"/>
      <c r="BC556" s="3"/>
      <c r="BD556" s="3"/>
      <c r="BE556" s="3"/>
      <c r="BF556" s="3"/>
      <c r="BG556" s="3"/>
      <c r="BH556" s="3"/>
      <c r="BI556" s="3"/>
    </row>
    <row r="557" spans="1:61" ht="12.95" customHeight="1">
      <c r="B557" s="52" t="s">
        <v>581</v>
      </c>
      <c r="C557" s="1685" t="s">
        <v>2716</v>
      </c>
      <c r="D557" s="1685"/>
      <c r="E557" s="1685"/>
      <c r="F557" s="1685"/>
      <c r="G557" s="1685"/>
      <c r="H557" s="1685"/>
      <c r="I557" s="1685"/>
      <c r="J557" s="1685"/>
      <c r="K557" s="1685"/>
      <c r="L557" s="1685"/>
      <c r="M557" s="1693" t="s">
        <v>2116</v>
      </c>
      <c r="N557" s="1693"/>
      <c r="O557" s="1693"/>
      <c r="P557" s="1693"/>
      <c r="Q557" s="1690">
        <v>660</v>
      </c>
      <c r="R557" s="1691"/>
      <c r="S557" s="1692"/>
      <c r="T557" s="1690" t="s">
        <v>591</v>
      </c>
      <c r="U557" s="1691"/>
      <c r="V557" s="1692"/>
      <c r="W557" s="1676">
        <v>0.03</v>
      </c>
      <c r="X557" s="1677"/>
      <c r="Y557" s="1678"/>
      <c r="Z557" s="1686" t="s">
        <v>2721</v>
      </c>
      <c r="AA557" s="1686"/>
      <c r="AB557" s="1686"/>
      <c r="AC557" s="1686"/>
      <c r="AD557" s="1686"/>
      <c r="AE557" s="1445">
        <v>3</v>
      </c>
      <c r="AF557" s="1446"/>
      <c r="AG557" s="1446"/>
      <c r="AH557" s="1447"/>
      <c r="AI557" s="1448"/>
      <c r="AJ557" s="1449"/>
      <c r="AK557" s="1449"/>
      <c r="AL557" s="1450"/>
      <c r="AM557" s="1679">
        <v>11115000</v>
      </c>
      <c r="AN557" s="1680"/>
      <c r="AO557" s="1680"/>
      <c r="AP557" s="1680"/>
      <c r="AQ557" s="1680"/>
      <c r="AR557" s="1680"/>
      <c r="AS557" s="1681"/>
      <c r="AT557" s="1148" t="str">
        <f>IF(AND(NOT(C556=""),C557="",NOT(C558="")),"!","")</f>
        <v/>
      </c>
      <c r="AU557" s="1147"/>
      <c r="BB557" s="3"/>
      <c r="BC557" s="3"/>
      <c r="BD557" s="3"/>
      <c r="BE557" s="3"/>
      <c r="BF557" s="3"/>
      <c r="BG557" s="3"/>
      <c r="BH557" s="3"/>
      <c r="BI557" s="3"/>
    </row>
    <row r="558" spans="1:61" ht="12.95" customHeight="1">
      <c r="B558" s="52" t="s">
        <v>763</v>
      </c>
      <c r="C558" s="1685" t="s">
        <v>2614</v>
      </c>
      <c r="D558" s="1685"/>
      <c r="E558" s="1685"/>
      <c r="F558" s="1685"/>
      <c r="G558" s="1685"/>
      <c r="H558" s="1685"/>
      <c r="I558" s="1685"/>
      <c r="J558" s="1685"/>
      <c r="K558" s="1685"/>
      <c r="L558" s="1685"/>
      <c r="M558" s="1693" t="s">
        <v>2116</v>
      </c>
      <c r="N558" s="1693"/>
      <c r="O558" s="1693"/>
      <c r="P558" s="1693"/>
      <c r="Q558" s="1690">
        <v>660</v>
      </c>
      <c r="R558" s="1691"/>
      <c r="S558" s="1692"/>
      <c r="T558" s="1690" t="s">
        <v>591</v>
      </c>
      <c r="U558" s="1691"/>
      <c r="V558" s="1692"/>
      <c r="W558" s="1676">
        <v>0.03</v>
      </c>
      <c r="X558" s="1677"/>
      <c r="Y558" s="1678"/>
      <c r="Z558" s="1686" t="s">
        <v>2721</v>
      </c>
      <c r="AA558" s="1686"/>
      <c r="AB558" s="1686"/>
      <c r="AC558" s="1686"/>
      <c r="AD558" s="1686"/>
      <c r="AE558" s="1445">
        <v>4</v>
      </c>
      <c r="AF558" s="1446"/>
      <c r="AG558" s="1446"/>
      <c r="AH558" s="1447"/>
      <c r="AI558" s="1448"/>
      <c r="AJ558" s="1449"/>
      <c r="AK558" s="1449"/>
      <c r="AL558" s="1450"/>
      <c r="AM558" s="1679">
        <v>9898877</v>
      </c>
      <c r="AN558" s="1680"/>
      <c r="AO558" s="1680"/>
      <c r="AP558" s="1680"/>
      <c r="AQ558" s="1680"/>
      <c r="AR558" s="1680"/>
      <c r="AS558" s="1681"/>
      <c r="AT558" s="1148" t="str">
        <f t="shared" ref="AT558:AT565" si="0">IF(AND(NOT(C557=""),C558="",NOT(C559="")),"!","")</f>
        <v/>
      </c>
      <c r="AU558" s="1147"/>
      <c r="BB558" s="3"/>
      <c r="BC558" s="3"/>
      <c r="BD558" s="3"/>
      <c r="BE558" s="3"/>
      <c r="BF558" s="3"/>
      <c r="BG558" s="3"/>
      <c r="BH558" s="3" t="s">
        <v>763</v>
      </c>
      <c r="BI558" s="3" t="str">
        <f>N665</f>
        <v>Yes</v>
      </c>
    </row>
    <row r="559" spans="1:61" ht="12.95" customHeight="1">
      <c r="B559" s="52" t="s">
        <v>584</v>
      </c>
      <c r="C559" s="1685" t="s">
        <v>2673</v>
      </c>
      <c r="D559" s="1685"/>
      <c r="E559" s="1685"/>
      <c r="F559" s="1685"/>
      <c r="G559" s="1685"/>
      <c r="H559" s="1685"/>
      <c r="I559" s="1685"/>
      <c r="J559" s="1685"/>
      <c r="K559" s="1685"/>
      <c r="L559" s="1685"/>
      <c r="M559" s="1693" t="s">
        <v>2111</v>
      </c>
      <c r="N559" s="1693"/>
      <c r="O559" s="1693"/>
      <c r="P559" s="1693"/>
      <c r="Q559" s="1690"/>
      <c r="R559" s="1691"/>
      <c r="S559" s="1692"/>
      <c r="T559" s="1690" t="s">
        <v>591</v>
      </c>
      <c r="U559" s="1691"/>
      <c r="V559" s="1692"/>
      <c r="W559" s="1676">
        <v>0</v>
      </c>
      <c r="X559" s="1677"/>
      <c r="Y559" s="1678"/>
      <c r="Z559" s="1686" t="s">
        <v>591</v>
      </c>
      <c r="AA559" s="1686"/>
      <c r="AB559" s="1686"/>
      <c r="AC559" s="1686"/>
      <c r="AD559" s="1686"/>
      <c r="AE559" s="1445"/>
      <c r="AF559" s="1446"/>
      <c r="AG559" s="1446"/>
      <c r="AH559" s="1447"/>
      <c r="AI559" s="1448"/>
      <c r="AJ559" s="1449"/>
      <c r="AK559" s="1449"/>
      <c r="AL559" s="1450"/>
      <c r="AM559" s="1679">
        <v>22847650</v>
      </c>
      <c r="AN559" s="1680"/>
      <c r="AO559" s="1680"/>
      <c r="AP559" s="1680"/>
      <c r="AQ559" s="1680"/>
      <c r="AR559" s="1680"/>
      <c r="AS559" s="1681"/>
      <c r="AT559" s="1148" t="str">
        <f t="shared" si="0"/>
        <v/>
      </c>
      <c r="AU559" s="1147"/>
      <c r="BB559" s="3"/>
      <c r="BC559" s="3"/>
      <c r="BD559" s="3"/>
      <c r="BE559" s="3"/>
      <c r="BF559" s="3"/>
      <c r="BG559" s="3"/>
      <c r="BH559" s="3" t="s">
        <v>584</v>
      </c>
      <c r="BI559" s="3" t="str">
        <f>AG665</f>
        <v>Yes</v>
      </c>
    </row>
    <row r="560" spans="1:61" ht="12.95" customHeight="1">
      <c r="B560" s="52" t="s">
        <v>455</v>
      </c>
      <c r="C560" s="1685" t="s">
        <v>2718</v>
      </c>
      <c r="D560" s="1685"/>
      <c r="E560" s="1685"/>
      <c r="F560" s="1685"/>
      <c r="G560" s="1685"/>
      <c r="H560" s="1685"/>
      <c r="I560" s="1685"/>
      <c r="J560" s="1685"/>
      <c r="K560" s="1685"/>
      <c r="L560" s="1685"/>
      <c r="M560" s="1693" t="s">
        <v>2106</v>
      </c>
      <c r="N560" s="1693"/>
      <c r="O560" s="1693"/>
      <c r="P560" s="1693"/>
      <c r="Q560" s="1690"/>
      <c r="R560" s="1691"/>
      <c r="S560" s="1692"/>
      <c r="T560" s="1690" t="s">
        <v>591</v>
      </c>
      <c r="U560" s="1691"/>
      <c r="V560" s="1692"/>
      <c r="W560" s="1676">
        <v>0</v>
      </c>
      <c r="X560" s="1677"/>
      <c r="Y560" s="1678"/>
      <c r="Z560" s="1686" t="s">
        <v>591</v>
      </c>
      <c r="AA560" s="1686"/>
      <c r="AB560" s="1686"/>
      <c r="AC560" s="1686"/>
      <c r="AD560" s="1686"/>
      <c r="AE560" s="1445"/>
      <c r="AF560" s="1446"/>
      <c r="AG560" s="1446"/>
      <c r="AH560" s="1447"/>
      <c r="AI560" s="1448"/>
      <c r="AJ560" s="1449"/>
      <c r="AK560" s="1449"/>
      <c r="AL560" s="1450"/>
      <c r="AM560" s="1679">
        <v>6483378</v>
      </c>
      <c r="AN560" s="1680"/>
      <c r="AO560" s="1680"/>
      <c r="AP560" s="1680"/>
      <c r="AQ560" s="1680"/>
      <c r="AR560" s="1680"/>
      <c r="AS560" s="1681"/>
      <c r="AT560" s="1148" t="str">
        <f t="shared" si="0"/>
        <v/>
      </c>
      <c r="AU560" s="1147"/>
      <c r="BB560" s="3"/>
      <c r="BC560" s="3"/>
      <c r="BD560" s="3"/>
      <c r="BE560" s="3"/>
      <c r="BF560" s="3"/>
      <c r="BG560" s="3"/>
      <c r="BH560" s="3"/>
      <c r="BI560" s="3"/>
    </row>
    <row r="561" spans="1:61" ht="12.95" customHeight="1">
      <c r="B561" s="52" t="s">
        <v>456</v>
      </c>
      <c r="C561" s="1685"/>
      <c r="D561" s="1685"/>
      <c r="E561" s="1685"/>
      <c r="F561" s="1685"/>
      <c r="G561" s="1685"/>
      <c r="H561" s="1685"/>
      <c r="I561" s="1685"/>
      <c r="J561" s="1685"/>
      <c r="K561" s="1685"/>
      <c r="L561" s="1685"/>
      <c r="M561" s="1693" t="s">
        <v>1184</v>
      </c>
      <c r="N561" s="1693"/>
      <c r="O561" s="1693"/>
      <c r="P561" s="1693"/>
      <c r="Q561" s="1690"/>
      <c r="R561" s="1691"/>
      <c r="S561" s="1692"/>
      <c r="T561" s="1690"/>
      <c r="U561" s="1691"/>
      <c r="V561" s="1692"/>
      <c r="W561" s="1676"/>
      <c r="X561" s="1677"/>
      <c r="Y561" s="1678"/>
      <c r="Z561" s="1686" t="s">
        <v>1184</v>
      </c>
      <c r="AA561" s="1686"/>
      <c r="AB561" s="1686"/>
      <c r="AC561" s="1686"/>
      <c r="AD561" s="1686"/>
      <c r="AE561" s="1445"/>
      <c r="AF561" s="1446"/>
      <c r="AG561" s="1446"/>
      <c r="AH561" s="1447"/>
      <c r="AI561" s="1448"/>
      <c r="AJ561" s="1449"/>
      <c r="AK561" s="1449"/>
      <c r="AL561" s="1450"/>
      <c r="AM561" s="1679"/>
      <c r="AN561" s="1680"/>
      <c r="AO561" s="1680"/>
      <c r="AP561" s="1680"/>
      <c r="AQ561" s="1680"/>
      <c r="AR561" s="1680"/>
      <c r="AS561" s="1681"/>
      <c r="AT561" s="1148" t="str">
        <f t="shared" si="0"/>
        <v/>
      </c>
      <c r="AU561" s="1147"/>
      <c r="BB561" s="3"/>
      <c r="BC561" s="3"/>
      <c r="BD561" s="3"/>
      <c r="BE561" s="3"/>
      <c r="BF561" s="3"/>
      <c r="BG561" s="3"/>
      <c r="BH561" s="3"/>
      <c r="BI561" s="3"/>
    </row>
    <row r="562" spans="1:61" ht="12.95" customHeight="1">
      <c r="B562" s="52" t="s">
        <v>461</v>
      </c>
      <c r="C562" s="1685"/>
      <c r="D562" s="1685"/>
      <c r="E562" s="1685"/>
      <c r="F562" s="1685"/>
      <c r="G562" s="1685"/>
      <c r="H562" s="1685"/>
      <c r="I562" s="1685"/>
      <c r="J562" s="1685"/>
      <c r="K562" s="1685"/>
      <c r="L562" s="1685"/>
      <c r="M562" s="1693" t="s">
        <v>1184</v>
      </c>
      <c r="N562" s="1693"/>
      <c r="O562" s="1693"/>
      <c r="P562" s="1693"/>
      <c r="Q562" s="1690"/>
      <c r="R562" s="1691"/>
      <c r="S562" s="1692"/>
      <c r="T562" s="1690"/>
      <c r="U562" s="1691"/>
      <c r="V562" s="1692"/>
      <c r="W562" s="1676"/>
      <c r="X562" s="1677"/>
      <c r="Y562" s="1678"/>
      <c r="Z562" s="1686" t="s">
        <v>1184</v>
      </c>
      <c r="AA562" s="1686"/>
      <c r="AB562" s="1686"/>
      <c r="AC562" s="1686"/>
      <c r="AD562" s="1686"/>
      <c r="AE562" s="1445"/>
      <c r="AF562" s="1446"/>
      <c r="AG562" s="1446"/>
      <c r="AH562" s="1447"/>
      <c r="AI562" s="1448"/>
      <c r="AJ562" s="1449"/>
      <c r="AK562" s="1449"/>
      <c r="AL562" s="1450"/>
      <c r="AM562" s="1679"/>
      <c r="AN562" s="1680"/>
      <c r="AO562" s="1680"/>
      <c r="AP562" s="1680"/>
      <c r="AQ562" s="1680"/>
      <c r="AR562" s="1680"/>
      <c r="AS562" s="1681"/>
      <c r="AT562" s="1148" t="str">
        <f t="shared" si="0"/>
        <v/>
      </c>
      <c r="AU562" s="1147"/>
      <c r="BB562" s="3"/>
      <c r="BC562" s="3"/>
      <c r="BD562" s="3"/>
      <c r="BE562" s="3"/>
      <c r="BF562" s="3"/>
      <c r="BG562" s="3"/>
      <c r="BH562" s="3"/>
      <c r="BI562" s="3"/>
    </row>
    <row r="563" spans="1:61" ht="12.95" customHeight="1">
      <c r="B563" s="52" t="s">
        <v>646</v>
      </c>
      <c r="C563" s="1685"/>
      <c r="D563" s="1685"/>
      <c r="E563" s="1685"/>
      <c r="F563" s="1685"/>
      <c r="G563" s="1685"/>
      <c r="H563" s="1685"/>
      <c r="I563" s="1685"/>
      <c r="J563" s="1685"/>
      <c r="K563" s="1685"/>
      <c r="L563" s="1685"/>
      <c r="M563" s="1693" t="s">
        <v>1184</v>
      </c>
      <c r="N563" s="1693"/>
      <c r="O563" s="1693"/>
      <c r="P563" s="1693"/>
      <c r="Q563" s="1690"/>
      <c r="R563" s="1691"/>
      <c r="S563" s="1692"/>
      <c r="T563" s="1690"/>
      <c r="U563" s="1691"/>
      <c r="V563" s="1692"/>
      <c r="W563" s="1676"/>
      <c r="X563" s="1677"/>
      <c r="Y563" s="1678"/>
      <c r="Z563" s="1686" t="s">
        <v>1184</v>
      </c>
      <c r="AA563" s="1686"/>
      <c r="AB563" s="1686"/>
      <c r="AC563" s="1686"/>
      <c r="AD563" s="1686"/>
      <c r="AE563" s="1445"/>
      <c r="AF563" s="1446"/>
      <c r="AG563" s="1446"/>
      <c r="AH563" s="1447"/>
      <c r="AI563" s="1448"/>
      <c r="AJ563" s="1449"/>
      <c r="AK563" s="1449"/>
      <c r="AL563" s="1450"/>
      <c r="AM563" s="1679"/>
      <c r="AN563" s="1680"/>
      <c r="AO563" s="1680"/>
      <c r="AP563" s="1680"/>
      <c r="AQ563" s="1680"/>
      <c r="AR563" s="1680"/>
      <c r="AS563" s="1681"/>
      <c r="AT563" s="1148" t="str">
        <f t="shared" si="0"/>
        <v/>
      </c>
      <c r="BB563" s="3"/>
      <c r="BC563" s="3"/>
      <c r="BD563" s="3"/>
      <c r="BE563" s="3"/>
      <c r="BF563" s="3"/>
      <c r="BG563" s="3"/>
      <c r="BH563" s="3"/>
      <c r="BI563" s="3"/>
    </row>
    <row r="564" spans="1:61" ht="12.95" customHeight="1">
      <c r="B564" s="52" t="s">
        <v>362</v>
      </c>
      <c r="C564" s="1685"/>
      <c r="D564" s="1685"/>
      <c r="E564" s="1685"/>
      <c r="F564" s="1685"/>
      <c r="G564" s="1685"/>
      <c r="H564" s="1685"/>
      <c r="I564" s="1685"/>
      <c r="J564" s="1685"/>
      <c r="K564" s="1685"/>
      <c r="L564" s="1685"/>
      <c r="M564" s="1693" t="s">
        <v>1184</v>
      </c>
      <c r="N564" s="1693"/>
      <c r="O564" s="1693"/>
      <c r="P564" s="1693"/>
      <c r="Q564" s="1690"/>
      <c r="R564" s="1691"/>
      <c r="S564" s="1692"/>
      <c r="T564" s="1690"/>
      <c r="U564" s="1691"/>
      <c r="V564" s="1692"/>
      <c r="W564" s="1676"/>
      <c r="X564" s="1677"/>
      <c r="Y564" s="1678"/>
      <c r="Z564" s="1686" t="s">
        <v>1184</v>
      </c>
      <c r="AA564" s="1686"/>
      <c r="AB564" s="1686"/>
      <c r="AC564" s="1686"/>
      <c r="AD564" s="1686"/>
      <c r="AE564" s="1445"/>
      <c r="AF564" s="1446"/>
      <c r="AG564" s="1446"/>
      <c r="AH564" s="1447"/>
      <c r="AI564" s="1448"/>
      <c r="AJ564" s="1449"/>
      <c r="AK564" s="1449"/>
      <c r="AL564" s="1450"/>
      <c r="AM564" s="1679"/>
      <c r="AN564" s="1680"/>
      <c r="AO564" s="1680"/>
      <c r="AP564" s="1680"/>
      <c r="AQ564" s="1680"/>
      <c r="AR564" s="1680"/>
      <c r="AS564" s="1681"/>
      <c r="AT564" s="1148" t="str">
        <f t="shared" si="0"/>
        <v/>
      </c>
      <c r="BB564" s="3"/>
      <c r="BC564" s="3"/>
      <c r="BD564" s="3"/>
      <c r="BE564" s="3"/>
      <c r="BF564" s="3"/>
      <c r="BG564" s="3"/>
      <c r="BH564" s="3"/>
      <c r="BI564" s="3"/>
    </row>
    <row r="565" spans="1:61" ht="12.95" customHeight="1">
      <c r="B565" s="52" t="s">
        <v>363</v>
      </c>
      <c r="C565" s="1685"/>
      <c r="D565" s="1685"/>
      <c r="E565" s="1685"/>
      <c r="F565" s="1685"/>
      <c r="G565" s="1685"/>
      <c r="H565" s="1685"/>
      <c r="I565" s="1685"/>
      <c r="J565" s="1685"/>
      <c r="K565" s="1685"/>
      <c r="L565" s="1685"/>
      <c r="M565" s="1693" t="s">
        <v>1184</v>
      </c>
      <c r="N565" s="1693"/>
      <c r="O565" s="1693"/>
      <c r="P565" s="1693"/>
      <c r="Q565" s="1690"/>
      <c r="R565" s="1691"/>
      <c r="S565" s="1692"/>
      <c r="T565" s="1690"/>
      <c r="U565" s="1691"/>
      <c r="V565" s="1692"/>
      <c r="W565" s="1676"/>
      <c r="X565" s="1677"/>
      <c r="Y565" s="1678"/>
      <c r="Z565" s="1686" t="s">
        <v>1184</v>
      </c>
      <c r="AA565" s="1686"/>
      <c r="AB565" s="1686"/>
      <c r="AC565" s="1686"/>
      <c r="AD565" s="1686"/>
      <c r="AE565" s="1445"/>
      <c r="AF565" s="1446"/>
      <c r="AG565" s="1446"/>
      <c r="AH565" s="1447"/>
      <c r="AI565" s="1448"/>
      <c r="AJ565" s="1449"/>
      <c r="AK565" s="1449"/>
      <c r="AL565" s="1450"/>
      <c r="AM565" s="1679"/>
      <c r="AN565" s="1680"/>
      <c r="AO565" s="1680"/>
      <c r="AP565" s="1680"/>
      <c r="AQ565" s="1680"/>
      <c r="AR565" s="1680"/>
      <c r="AS565" s="1681"/>
      <c r="AT565" s="1148" t="str">
        <f t="shared" si="0"/>
        <v/>
      </c>
      <c r="BB565" s="3"/>
      <c r="BC565" s="3"/>
      <c r="BD565" s="3"/>
      <c r="BE565" s="3"/>
      <c r="BF565" s="3"/>
      <c r="BG565" s="3"/>
      <c r="BH565" s="3"/>
      <c r="BI565" s="3"/>
    </row>
    <row r="566" spans="1:61" ht="12.95" customHeight="1">
      <c r="B566" s="1650" t="s">
        <v>127</v>
      </c>
      <c r="C566" s="1651"/>
      <c r="D566" s="1651"/>
      <c r="E566" s="1651"/>
      <c r="F566" s="1651"/>
      <c r="G566" s="1651"/>
      <c r="H566" s="1651"/>
      <c r="I566" s="1651"/>
      <c r="J566" s="1651"/>
      <c r="K566" s="1651"/>
      <c r="L566" s="1651"/>
      <c r="M566" s="1651"/>
      <c r="N566" s="1651"/>
      <c r="O566" s="1651"/>
      <c r="P566" s="1651"/>
      <c r="Q566" s="1651"/>
      <c r="R566" s="1651"/>
      <c r="S566" s="1651"/>
      <c r="T566" s="1651"/>
      <c r="U566" s="1482"/>
      <c r="V566" s="1651"/>
      <c r="W566" s="1651"/>
      <c r="X566" s="1651"/>
      <c r="Y566" s="1651"/>
      <c r="Z566" s="1651"/>
      <c r="AA566" s="1651"/>
      <c r="AB566" s="1651"/>
      <c r="AC566" s="1651"/>
      <c r="AD566" s="1651"/>
      <c r="AE566" s="1651"/>
      <c r="AF566" s="1651"/>
      <c r="AG566" s="1651"/>
      <c r="AH566" s="1651"/>
      <c r="AI566" s="1651"/>
      <c r="AJ566" s="1651"/>
      <c r="AK566" s="1651"/>
      <c r="AL566" s="1652"/>
      <c r="AM566" s="1624">
        <f>SUM(AM554:AS565)</f>
        <v>162592874</v>
      </c>
      <c r="AN566" s="1622"/>
      <c r="AO566" s="1622"/>
      <c r="AP566" s="1622"/>
      <c r="AQ566" s="1622"/>
      <c r="AR566" s="1622"/>
      <c r="AS566" s="1623"/>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421" t="str">
        <f>C554</f>
        <v>Citibank</v>
      </c>
      <c r="H568" s="1421"/>
      <c r="I568" s="1421"/>
      <c r="J568" s="1421"/>
      <c r="K568" s="1421"/>
      <c r="L568" s="1421"/>
      <c r="M568" s="1421"/>
      <c r="N568" s="1421"/>
      <c r="O568" s="1421"/>
      <c r="P568" s="1421"/>
      <c r="Q568" s="1421"/>
      <c r="R568" s="1421"/>
      <c r="S568" s="8"/>
      <c r="T568" s="55" t="s">
        <v>113</v>
      </c>
      <c r="U568" t="s">
        <v>463</v>
      </c>
      <c r="Z568" s="1421" t="str">
        <f>C555</f>
        <v>Citibank</v>
      </c>
      <c r="AA568" s="1421"/>
      <c r="AB568" s="1421"/>
      <c r="AC568" s="1421"/>
      <c r="AD568" s="1421"/>
      <c r="AE568" s="1421"/>
      <c r="AF568" s="1421"/>
      <c r="AG568" s="1421"/>
      <c r="AH568" s="1421"/>
      <c r="AI568" s="1421"/>
      <c r="AJ568" s="1421"/>
      <c r="AK568" s="1421"/>
      <c r="BB568" s="3"/>
      <c r="BC568" s="3"/>
      <c r="BD568" s="3"/>
      <c r="BE568" s="3"/>
      <c r="BF568" s="3"/>
      <c r="BG568" s="3"/>
      <c r="BH568" s="3"/>
      <c r="BI568" s="3"/>
    </row>
    <row r="569" spans="1:61" ht="12.95" customHeight="1">
      <c r="A569" s="22"/>
      <c r="B569" t="s">
        <v>85</v>
      </c>
      <c r="G569" s="1364" t="s">
        <v>2754</v>
      </c>
      <c r="H569" s="1364"/>
      <c r="I569" s="1364"/>
      <c r="J569" s="1364"/>
      <c r="K569" s="1364"/>
      <c r="L569" s="1364"/>
      <c r="M569" s="1364"/>
      <c r="N569" s="1364"/>
      <c r="O569" s="1364"/>
      <c r="P569" s="1364"/>
      <c r="Q569" s="1364"/>
      <c r="R569" s="1364"/>
      <c r="S569" s="8"/>
      <c r="T569" s="22"/>
      <c r="U569" t="s">
        <v>85</v>
      </c>
      <c r="Z569" s="1364" t="s">
        <v>2754</v>
      </c>
      <c r="AA569" s="1364"/>
      <c r="AB569" s="1364"/>
      <c r="AC569" s="1364"/>
      <c r="AD569" s="1364"/>
      <c r="AE569" s="1364"/>
      <c r="AF569" s="1364"/>
      <c r="AG569" s="1364"/>
      <c r="AH569" s="1364"/>
      <c r="AI569" s="1364"/>
      <c r="AJ569" s="1364"/>
      <c r="AK569" s="1364"/>
      <c r="BB569" s="3"/>
      <c r="BC569" s="3"/>
      <c r="BD569" s="3"/>
      <c r="BE569" s="3"/>
      <c r="BF569" s="3"/>
      <c r="BG569" s="3"/>
      <c r="BH569" s="3"/>
      <c r="BI569" s="3"/>
    </row>
    <row r="570" spans="1:61" ht="12.95" customHeight="1">
      <c r="A570" s="22"/>
      <c r="B570" t="s">
        <v>580</v>
      </c>
      <c r="G570" s="1364" t="s">
        <v>2755</v>
      </c>
      <c r="H570" s="1364"/>
      <c r="I570" s="1364"/>
      <c r="J570" s="1364"/>
      <c r="K570" s="1364"/>
      <c r="L570" s="1364"/>
      <c r="M570" s="1364"/>
      <c r="N570" s="1364"/>
      <c r="O570" s="1364"/>
      <c r="P570" s="1364"/>
      <c r="Q570" s="1364"/>
      <c r="R570" s="1364"/>
      <c r="T570" s="22"/>
      <c r="U570" t="s">
        <v>580</v>
      </c>
      <c r="Z570" s="1444" t="s">
        <v>2755</v>
      </c>
      <c r="AA570" s="1444"/>
      <c r="AB570" s="1444"/>
      <c r="AC570" s="1444"/>
      <c r="AD570" s="1444"/>
      <c r="AE570" s="1444"/>
      <c r="AF570" s="1444"/>
      <c r="AG570" s="1444"/>
      <c r="AH570" s="1444"/>
      <c r="AI570" s="1444"/>
      <c r="AJ570" s="1444"/>
      <c r="AK570" s="1444"/>
      <c r="BB570" s="3"/>
      <c r="BC570" s="3"/>
      <c r="BD570" s="3"/>
      <c r="BE570" s="3"/>
      <c r="BF570" s="3"/>
      <c r="BG570" s="3"/>
      <c r="BH570" s="3"/>
      <c r="BI570" s="3"/>
    </row>
    <row r="571" spans="1:61" ht="12.95" customHeight="1">
      <c r="A571" s="22"/>
      <c r="B571" t="s">
        <v>17</v>
      </c>
      <c r="G571" s="1364" t="s">
        <v>2756</v>
      </c>
      <c r="H571" s="1364"/>
      <c r="I571" s="1364"/>
      <c r="J571" s="1364"/>
      <c r="K571" s="1364"/>
      <c r="L571" s="1364"/>
      <c r="M571" s="1364"/>
      <c r="N571" s="1364"/>
      <c r="O571" s="1364"/>
      <c r="P571" s="1364"/>
      <c r="Q571" s="1364"/>
      <c r="R571" s="1364"/>
      <c r="S571" s="8"/>
      <c r="T571" s="22"/>
      <c r="U571" t="s">
        <v>17</v>
      </c>
      <c r="Z571" s="1444" t="s">
        <v>2756</v>
      </c>
      <c r="AA571" s="1444"/>
      <c r="AB571" s="1444"/>
      <c r="AC571" s="1444"/>
      <c r="AD571" s="1444"/>
      <c r="AE571" s="1444"/>
      <c r="AF571" s="1444"/>
      <c r="AG571" s="1444"/>
      <c r="AH571" s="1444"/>
      <c r="AI571" s="1444"/>
      <c r="AJ571" s="1444"/>
      <c r="AK571" s="1444"/>
      <c r="BB571" s="3"/>
      <c r="BC571" s="3"/>
      <c r="BD571" s="3"/>
      <c r="BE571" s="3"/>
      <c r="BF571" s="3"/>
      <c r="BG571" s="3"/>
      <c r="BH571" s="3"/>
      <c r="BI571" s="3"/>
    </row>
    <row r="572" spans="1:61" ht="12.95" customHeight="1">
      <c r="A572" s="22"/>
      <c r="B572" t="s">
        <v>316</v>
      </c>
      <c r="G572" s="1442" t="s">
        <v>2757</v>
      </c>
      <c r="H572" s="1443"/>
      <c r="I572" s="1443"/>
      <c r="J572" s="1443"/>
      <c r="K572" s="1443"/>
      <c r="L572" s="1443"/>
      <c r="O572" s="33" t="s">
        <v>206</v>
      </c>
      <c r="P572" s="1472" t="s">
        <v>591</v>
      </c>
      <c r="Q572" s="1433"/>
      <c r="R572" s="1433"/>
      <c r="S572" s="10"/>
      <c r="T572" s="22"/>
      <c r="U572" t="s">
        <v>316</v>
      </c>
      <c r="Z572" s="1443" t="s">
        <v>2757</v>
      </c>
      <c r="AA572" s="1443"/>
      <c r="AB572" s="1443"/>
      <c r="AC572" s="1443"/>
      <c r="AD572" s="1443"/>
      <c r="AE572" s="1443"/>
      <c r="AH572" s="33" t="s">
        <v>206</v>
      </c>
      <c r="AI572" s="1472" t="s">
        <v>591</v>
      </c>
      <c r="AJ572" s="1433"/>
      <c r="AK572" s="1433"/>
      <c r="BB572" s="3"/>
      <c r="BC572" s="3"/>
      <c r="BD572" s="3"/>
      <c r="BE572" s="3"/>
      <c r="BF572" s="3"/>
      <c r="BG572" s="3"/>
      <c r="BH572" s="3"/>
      <c r="BI572" s="3"/>
    </row>
    <row r="573" spans="1:61" ht="12.95" customHeight="1">
      <c r="A573" s="22"/>
      <c r="B573" t="s">
        <v>18</v>
      </c>
      <c r="H573" s="1364" t="str">
        <f>M554</f>
        <v>Loan, Tax-Exempt</v>
      </c>
      <c r="I573" s="1364"/>
      <c r="J573" s="1364"/>
      <c r="K573" s="1364"/>
      <c r="L573" s="1364"/>
      <c r="M573" s="1364"/>
      <c r="N573" s="1364"/>
      <c r="O573" s="1364"/>
      <c r="P573" s="1364"/>
      <c r="Q573" s="1364"/>
      <c r="R573" s="1364"/>
      <c r="S573" s="8"/>
      <c r="T573" s="22"/>
      <c r="U573" t="s">
        <v>18</v>
      </c>
      <c r="AA573" s="1364" t="str">
        <f>M555</f>
        <v>Loan, Taxable</v>
      </c>
      <c r="AB573" s="1364"/>
      <c r="AC573" s="1364"/>
      <c r="AD573" s="1364"/>
      <c r="AE573" s="1364"/>
      <c r="AF573" s="1364"/>
      <c r="AG573" s="1364"/>
      <c r="AH573" s="1364"/>
      <c r="AI573" s="1364"/>
      <c r="AJ573" s="1364"/>
      <c r="AK573" s="1364"/>
      <c r="BB573" s="3"/>
      <c r="BC573" s="3"/>
      <c r="BD573" s="3"/>
      <c r="BE573" s="3"/>
      <c r="BF573" s="3"/>
      <c r="BG573" s="3"/>
      <c r="BH573" s="3"/>
      <c r="BI573" s="3"/>
    </row>
    <row r="574" spans="1:61" ht="12.95" customHeight="1">
      <c r="A574" s="22"/>
      <c r="B574" s="320" t="s">
        <v>1185</v>
      </c>
      <c r="H574" s="8"/>
      <c r="I574" s="8"/>
      <c r="J574" s="8"/>
      <c r="K574" s="8"/>
      <c r="L574" s="8"/>
      <c r="M574" s="1694" t="s">
        <v>2767</v>
      </c>
      <c r="N574" s="1694"/>
      <c r="O574" s="1694"/>
      <c r="P574" s="1694"/>
      <c r="Q574" s="1694"/>
      <c r="R574" s="1694"/>
      <c r="S574" s="8"/>
      <c r="T574" s="22"/>
      <c r="U574" s="320" t="s">
        <v>1185</v>
      </c>
      <c r="AA574" s="8"/>
      <c r="AB574" s="8"/>
      <c r="AC574" s="8"/>
      <c r="AD574" s="8"/>
      <c r="AE574" s="8"/>
      <c r="AF574" s="1694" t="s">
        <v>2767</v>
      </c>
      <c r="AG574" s="1694"/>
      <c r="AH574" s="1694"/>
      <c r="AI574" s="1694"/>
      <c r="AJ574" s="1694"/>
      <c r="AK574" s="1694"/>
      <c r="BB574" s="3"/>
      <c r="BC574" s="3"/>
      <c r="BD574" s="3"/>
      <c r="BE574" s="3"/>
      <c r="BF574" s="3"/>
      <c r="BG574" s="3"/>
      <c r="BH574" s="3"/>
      <c r="BI574" s="3"/>
    </row>
    <row r="575" spans="1:61" ht="12.95" customHeight="1">
      <c r="A575" s="22"/>
      <c r="B575" t="s">
        <v>20</v>
      </c>
      <c r="N575" s="1356" t="s">
        <v>545</v>
      </c>
      <c r="O575" s="1356"/>
      <c r="T575" s="22"/>
      <c r="U575" t="s">
        <v>20</v>
      </c>
      <c r="AG575" s="1356" t="s">
        <v>545</v>
      </c>
      <c r="AH575" s="1356"/>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421" t="str">
        <f>C556</f>
        <v>San Francisco Housing Accelerator Fund</v>
      </c>
      <c r="H577" s="1421"/>
      <c r="I577" s="1421"/>
      <c r="J577" s="1421"/>
      <c r="K577" s="1421"/>
      <c r="L577" s="1421"/>
      <c r="M577" s="1421"/>
      <c r="N577" s="1421"/>
      <c r="O577" s="1421"/>
      <c r="P577" s="1421"/>
      <c r="Q577" s="1421"/>
      <c r="R577" s="1421"/>
      <c r="T577" s="55" t="s">
        <v>581</v>
      </c>
      <c r="U577" t="s">
        <v>463</v>
      </c>
      <c r="Z577" s="1421" t="str">
        <f>C557</f>
        <v>County of Santa Clara</v>
      </c>
      <c r="AA577" s="1421"/>
      <c r="AB577" s="1421"/>
      <c r="AC577" s="1421"/>
      <c r="AD577" s="1421"/>
      <c r="AE577" s="1421"/>
      <c r="AF577" s="1421"/>
      <c r="AG577" s="1421"/>
      <c r="AH577" s="1421"/>
      <c r="AI577" s="1421"/>
      <c r="AJ577" s="1421"/>
      <c r="AK577" s="1421"/>
      <c r="BB577" s="3"/>
      <c r="BC577" s="3"/>
    </row>
    <row r="578" spans="1:55" ht="12.95" customHeight="1">
      <c r="A578" s="22"/>
      <c r="B578" t="s">
        <v>85</v>
      </c>
      <c r="G578" s="1409" t="s">
        <v>2739</v>
      </c>
      <c r="H578" s="1364"/>
      <c r="I578" s="1364"/>
      <c r="J578" s="1364"/>
      <c r="K578" s="1364"/>
      <c r="L578" s="1364"/>
      <c r="M578" s="1364"/>
      <c r="N578" s="1364"/>
      <c r="O578" s="1364"/>
      <c r="P578" s="1364"/>
      <c r="Q578" s="1364"/>
      <c r="R578" s="1364"/>
      <c r="T578" s="22"/>
      <c r="U578" t="s">
        <v>85</v>
      </c>
      <c r="Z578" s="1409" t="s">
        <v>2742</v>
      </c>
      <c r="AA578" s="1364"/>
      <c r="AB578" s="1364"/>
      <c r="AC578" s="1364"/>
      <c r="AD578" s="1364"/>
      <c r="AE578" s="1364"/>
      <c r="AF578" s="1364"/>
      <c r="AG578" s="1364"/>
      <c r="AH578" s="1364"/>
      <c r="AI578" s="1364"/>
      <c r="AJ578" s="1364"/>
      <c r="AK578" s="1364"/>
      <c r="BB578" s="3"/>
      <c r="BC578" s="3"/>
    </row>
    <row r="579" spans="1:55" ht="12.95" customHeight="1">
      <c r="A579" s="22"/>
      <c r="B579" t="s">
        <v>580</v>
      </c>
      <c r="G579" s="1472" t="s">
        <v>2740</v>
      </c>
      <c r="H579" s="1444"/>
      <c r="I579" s="1444"/>
      <c r="J579" s="1444"/>
      <c r="K579" s="1444"/>
      <c r="L579" s="1444"/>
      <c r="M579" s="1444"/>
      <c r="N579" s="1444"/>
      <c r="O579" s="1444"/>
      <c r="P579" s="1444"/>
      <c r="Q579" s="1444"/>
      <c r="R579" s="1444"/>
      <c r="T579" s="22"/>
      <c r="U579" t="s">
        <v>580</v>
      </c>
      <c r="Z579" s="1472" t="s">
        <v>2688</v>
      </c>
      <c r="AA579" s="1444"/>
      <c r="AB579" s="1444"/>
      <c r="AC579" s="1444"/>
      <c r="AD579" s="1444"/>
      <c r="AE579" s="1444"/>
      <c r="AF579" s="1444"/>
      <c r="AG579" s="1444"/>
      <c r="AH579" s="1444"/>
      <c r="AI579" s="1444"/>
      <c r="AJ579" s="1444"/>
      <c r="AK579" s="1444"/>
      <c r="BB579" s="3"/>
      <c r="BC579" s="3"/>
    </row>
    <row r="580" spans="1:55" ht="12.95" customHeight="1">
      <c r="A580" s="22"/>
      <c r="B580" t="s">
        <v>17</v>
      </c>
      <c r="G580" s="1472" t="s">
        <v>2741</v>
      </c>
      <c r="H580" s="1444"/>
      <c r="I580" s="1444"/>
      <c r="J580" s="1444"/>
      <c r="K580" s="1444"/>
      <c r="L580" s="1444"/>
      <c r="M580" s="1444"/>
      <c r="N580" s="1444"/>
      <c r="O580" s="1444"/>
      <c r="P580" s="1444"/>
      <c r="Q580" s="1444"/>
      <c r="R580" s="1444"/>
      <c r="T580" s="22"/>
      <c r="U580" t="s">
        <v>17</v>
      </c>
      <c r="Z580" s="1472" t="s">
        <v>2743</v>
      </c>
      <c r="AA580" s="1444"/>
      <c r="AB580" s="1444"/>
      <c r="AC580" s="1444"/>
      <c r="AD580" s="1444"/>
      <c r="AE580" s="1444"/>
      <c r="AF580" s="1444"/>
      <c r="AG580" s="1444"/>
      <c r="AH580" s="1444"/>
      <c r="AI580" s="1444"/>
      <c r="AJ580" s="1444"/>
      <c r="AK580" s="1444"/>
      <c r="BB580" s="3"/>
      <c r="BC580" s="3"/>
    </row>
    <row r="581" spans="1:55" ht="12.95" customHeight="1">
      <c r="A581" s="22"/>
      <c r="B581" t="s">
        <v>316</v>
      </c>
      <c r="G581" s="1442" t="s">
        <v>2747</v>
      </c>
      <c r="H581" s="1443"/>
      <c r="I581" s="1443"/>
      <c r="J581" s="1443"/>
      <c r="K581" s="1443"/>
      <c r="L581" s="1443"/>
      <c r="O581" s="33" t="s">
        <v>206</v>
      </c>
      <c r="P581" s="1472" t="s">
        <v>591</v>
      </c>
      <c r="Q581" s="1433"/>
      <c r="R581" s="1433"/>
      <c r="T581" s="22"/>
      <c r="U581" t="s">
        <v>316</v>
      </c>
      <c r="Z581" s="1442" t="s">
        <v>2748</v>
      </c>
      <c r="AA581" s="1443"/>
      <c r="AB581" s="1443"/>
      <c r="AC581" s="1443"/>
      <c r="AD581" s="1443"/>
      <c r="AE581" s="1443"/>
      <c r="AH581" s="33" t="s">
        <v>206</v>
      </c>
      <c r="AI581" s="1472" t="s">
        <v>591</v>
      </c>
      <c r="AJ581" s="1433"/>
      <c r="AK581" s="1433"/>
      <c r="BB581" s="3"/>
      <c r="BC581" s="3"/>
    </row>
    <row r="582" spans="1:55" ht="12.95" customHeight="1">
      <c r="A582" s="22"/>
      <c r="B582" t="s">
        <v>18</v>
      </c>
      <c r="H582" s="1364" t="str">
        <f>M556</f>
        <v>Loan, Residual Receipts</v>
      </c>
      <c r="I582" s="1364"/>
      <c r="J582" s="1364"/>
      <c r="K582" s="1364"/>
      <c r="L582" s="1364"/>
      <c r="M582" s="1364"/>
      <c r="N582" s="1364"/>
      <c r="O582" s="1364"/>
      <c r="P582" s="1364"/>
      <c r="Q582" s="1364"/>
      <c r="R582" s="1364"/>
      <c r="T582" s="22"/>
      <c r="U582" t="s">
        <v>18</v>
      </c>
      <c r="AA582" s="1364" t="str">
        <f>M557</f>
        <v>Loan, Residual Receipts</v>
      </c>
      <c r="AB582" s="1364"/>
      <c r="AC582" s="1364"/>
      <c r="AD582" s="1364"/>
      <c r="AE582" s="1364"/>
      <c r="AF582" s="1364"/>
      <c r="AG582" s="1364"/>
      <c r="AH582" s="1364"/>
      <c r="AI582" s="1364"/>
      <c r="AJ582" s="1364"/>
      <c r="AK582" s="1364"/>
      <c r="BB582" s="3"/>
      <c r="BC582" s="3"/>
    </row>
    <row r="583" spans="1:55" ht="12.95" customHeight="1">
      <c r="A583" s="22"/>
      <c r="B583" t="s">
        <v>20</v>
      </c>
      <c r="N583" s="1356" t="s">
        <v>545</v>
      </c>
      <c r="O583" s="1356"/>
      <c r="T583" s="22"/>
      <c r="U583" t="s">
        <v>20</v>
      </c>
      <c r="AG583" s="1356" t="s">
        <v>545</v>
      </c>
      <c r="AH583" s="1356"/>
      <c r="BB583" s="3"/>
      <c r="BC583" s="3"/>
    </row>
    <row r="584" spans="1:55" ht="12.95" customHeight="1">
      <c r="A584" s="22"/>
      <c r="T584" s="22"/>
      <c r="BB584" s="3"/>
      <c r="BC584" s="3"/>
    </row>
    <row r="585" spans="1:55" ht="12.95" customHeight="1">
      <c r="A585" s="55" t="s">
        <v>763</v>
      </c>
      <c r="B585" t="s">
        <v>463</v>
      </c>
      <c r="G585" s="1421" t="str">
        <f>C558</f>
        <v>City of San Jose</v>
      </c>
      <c r="H585" s="1421"/>
      <c r="I585" s="1421"/>
      <c r="J585" s="1421"/>
      <c r="K585" s="1421"/>
      <c r="L585" s="1421"/>
      <c r="M585" s="1421"/>
      <c r="N585" s="1421"/>
      <c r="O585" s="1421"/>
      <c r="P585" s="1421"/>
      <c r="Q585" s="1421"/>
      <c r="R585" s="1421"/>
      <c r="T585" s="55" t="s">
        <v>584</v>
      </c>
      <c r="U585" t="s">
        <v>463</v>
      </c>
      <c r="Z585" s="1421" t="str">
        <f>C559</f>
        <v>WNC</v>
      </c>
      <c r="AA585" s="1421"/>
      <c r="AB585" s="1421"/>
      <c r="AC585" s="1421"/>
      <c r="AD585" s="1421"/>
      <c r="AE585" s="1421"/>
      <c r="AF585" s="1421"/>
      <c r="AG585" s="1421"/>
      <c r="AH585" s="1421"/>
      <c r="AI585" s="1421"/>
      <c r="AJ585" s="1421"/>
      <c r="AK585" s="1421"/>
      <c r="BB585" s="3"/>
      <c r="BC585" s="3"/>
    </row>
    <row r="586" spans="1:55" ht="12.95" customHeight="1">
      <c r="A586" s="22"/>
      <c r="B586" t="s">
        <v>85</v>
      </c>
      <c r="G586" s="1409" t="s">
        <v>2744</v>
      </c>
      <c r="H586" s="1364"/>
      <c r="I586" s="1364"/>
      <c r="J586" s="1364"/>
      <c r="K586" s="1364"/>
      <c r="L586" s="1364"/>
      <c r="M586" s="1364"/>
      <c r="N586" s="1364"/>
      <c r="O586" s="1364"/>
      <c r="P586" s="1364"/>
      <c r="Q586" s="1364"/>
      <c r="R586" s="1364"/>
      <c r="T586" s="22"/>
      <c r="U586" t="s">
        <v>85</v>
      </c>
      <c r="Z586" s="1364" t="s">
        <v>2758</v>
      </c>
      <c r="AA586" s="1364"/>
      <c r="AB586" s="1364"/>
      <c r="AC586" s="1364"/>
      <c r="AD586" s="1364"/>
      <c r="AE586" s="1364"/>
      <c r="AF586" s="1364"/>
      <c r="AG586" s="1364"/>
      <c r="AH586" s="1364"/>
      <c r="AI586" s="1364"/>
      <c r="AJ586" s="1364"/>
      <c r="AK586" s="1364"/>
      <c r="BB586" s="3"/>
      <c r="BC586" s="3"/>
    </row>
    <row r="587" spans="1:55" ht="12.95" customHeight="1">
      <c r="A587" s="22"/>
      <c r="B587" t="s">
        <v>580</v>
      </c>
      <c r="G587" s="1409" t="s">
        <v>2688</v>
      </c>
      <c r="H587" s="1364"/>
      <c r="I587" s="1364"/>
      <c r="J587" s="1364"/>
      <c r="K587" s="1364"/>
      <c r="L587" s="1364"/>
      <c r="M587" s="1364"/>
      <c r="N587" s="1364"/>
      <c r="O587" s="1364"/>
      <c r="P587" s="1364"/>
      <c r="Q587" s="1364"/>
      <c r="R587" s="1364"/>
      <c r="T587" s="22"/>
      <c r="U587" t="s">
        <v>580</v>
      </c>
      <c r="Z587" s="1444" t="s">
        <v>2759</v>
      </c>
      <c r="AA587" s="1444"/>
      <c r="AB587" s="1444"/>
      <c r="AC587" s="1444"/>
      <c r="AD587" s="1444"/>
      <c r="AE587" s="1444"/>
      <c r="AF587" s="1444"/>
      <c r="AG587" s="1444"/>
      <c r="AH587" s="1444"/>
      <c r="AI587" s="1444"/>
      <c r="AJ587" s="1444"/>
      <c r="AK587" s="1444"/>
      <c r="BB587" s="3"/>
      <c r="BC587" s="3"/>
    </row>
    <row r="588" spans="1:55" ht="12.95" customHeight="1">
      <c r="A588" s="22"/>
      <c r="B588" t="s">
        <v>17</v>
      </c>
      <c r="G588" s="1409" t="s">
        <v>2745</v>
      </c>
      <c r="H588" s="1364"/>
      <c r="I588" s="1364"/>
      <c r="J588" s="1364"/>
      <c r="K588" s="1364"/>
      <c r="L588" s="1364"/>
      <c r="M588" s="1364"/>
      <c r="N588" s="1364"/>
      <c r="O588" s="1364"/>
      <c r="P588" s="1364"/>
      <c r="Q588" s="1364"/>
      <c r="R588" s="1364"/>
      <c r="T588" s="22"/>
      <c r="U588" t="s">
        <v>17</v>
      </c>
      <c r="Z588" s="1444" t="s">
        <v>2760</v>
      </c>
      <c r="AA588" s="1444"/>
      <c r="AB588" s="1444"/>
      <c r="AC588" s="1444"/>
      <c r="AD588" s="1444"/>
      <c r="AE588" s="1444"/>
      <c r="AF588" s="1444"/>
      <c r="AG588" s="1444"/>
      <c r="AH588" s="1444"/>
      <c r="AI588" s="1444"/>
      <c r="AJ588" s="1444"/>
      <c r="AK588" s="1444"/>
    </row>
    <row r="589" spans="1:55" ht="12.95" customHeight="1">
      <c r="A589" s="22"/>
      <c r="B589" t="s">
        <v>316</v>
      </c>
      <c r="G589" s="1442" t="s">
        <v>2746</v>
      </c>
      <c r="H589" s="1443"/>
      <c r="I589" s="1443"/>
      <c r="J589" s="1443"/>
      <c r="K589" s="1443"/>
      <c r="L589" s="1443"/>
      <c r="O589" s="33" t="s">
        <v>206</v>
      </c>
      <c r="P589" s="1472" t="s">
        <v>591</v>
      </c>
      <c r="Q589" s="1433"/>
      <c r="R589" s="1433"/>
      <c r="T589" s="22"/>
      <c r="U589" t="s">
        <v>316</v>
      </c>
      <c r="Z589" s="1442" t="s">
        <v>2761</v>
      </c>
      <c r="AA589" s="1443"/>
      <c r="AB589" s="1443"/>
      <c r="AC589" s="1443"/>
      <c r="AD589" s="1443"/>
      <c r="AE589" s="1443"/>
      <c r="AH589" s="33" t="s">
        <v>206</v>
      </c>
      <c r="AI589" s="1472" t="s">
        <v>591</v>
      </c>
      <c r="AJ589" s="1433"/>
      <c r="AK589" s="1433"/>
      <c r="AZ589" s="3"/>
      <c r="BA589" s="3"/>
      <c r="BB589" s="3"/>
      <c r="BC589" s="3"/>
    </row>
    <row r="590" spans="1:55" ht="12.95" customHeight="1">
      <c r="A590" s="22"/>
      <c r="B590" t="s">
        <v>18</v>
      </c>
      <c r="H590" s="1364" t="str">
        <f>M558</f>
        <v>Loan, Residual Receipts</v>
      </c>
      <c r="I590" s="1364"/>
      <c r="J590" s="1364"/>
      <c r="K590" s="1364"/>
      <c r="L590" s="1364"/>
      <c r="M590" s="1364"/>
      <c r="N590" s="1364"/>
      <c r="O590" s="1364"/>
      <c r="P590" s="1364"/>
      <c r="Q590" s="1364"/>
      <c r="R590" s="1364"/>
      <c r="T590" s="22"/>
      <c r="U590" t="s">
        <v>18</v>
      </c>
      <c r="AA590" s="1364" t="str">
        <f>M559</f>
        <v>Equity, LIHTC Investor</v>
      </c>
      <c r="AB590" s="1364"/>
      <c r="AC590" s="1364"/>
      <c r="AD590" s="1364"/>
      <c r="AE590" s="1364"/>
      <c r="AF590" s="1364"/>
      <c r="AG590" s="1364"/>
      <c r="AH590" s="1364"/>
      <c r="AI590" s="1364"/>
      <c r="AJ590" s="1364"/>
      <c r="AK590" s="1364"/>
      <c r="AZ590" s="3"/>
      <c r="BA590" s="3"/>
      <c r="BB590" s="3"/>
      <c r="BC590" s="3"/>
    </row>
    <row r="591" spans="1:55" ht="12.95" customHeight="1">
      <c r="A591" s="22"/>
      <c r="B591" t="s">
        <v>20</v>
      </c>
      <c r="N591" s="1356" t="s">
        <v>545</v>
      </c>
      <c r="O591" s="1356"/>
      <c r="T591" s="22"/>
      <c r="U591" t="s">
        <v>20</v>
      </c>
      <c r="AG591" s="1356" t="s">
        <v>545</v>
      </c>
      <c r="AH591" s="1356"/>
      <c r="AZ591" s="3"/>
      <c r="BA591" s="3"/>
      <c r="BB591" s="3"/>
      <c r="BC591" s="3"/>
    </row>
    <row r="592" spans="1:55" ht="12.95" customHeight="1">
      <c r="A592" s="22"/>
      <c r="T592" s="22"/>
      <c r="AZ592" s="3"/>
      <c r="BA592" s="3"/>
      <c r="BB592" s="3"/>
      <c r="BC592" s="3"/>
    </row>
    <row r="593" spans="1:55" ht="12.95" customHeight="1">
      <c r="A593" s="55" t="s">
        <v>455</v>
      </c>
      <c r="B593" t="s">
        <v>463</v>
      </c>
      <c r="G593" s="1421" t="str">
        <f>C560</f>
        <v>Costs Deferred to Conversion</v>
      </c>
      <c r="H593" s="1421"/>
      <c r="I593" s="1421"/>
      <c r="J593" s="1421"/>
      <c r="K593" s="1421"/>
      <c r="L593" s="1421"/>
      <c r="M593" s="1421"/>
      <c r="N593" s="1421"/>
      <c r="O593" s="1421"/>
      <c r="P593" s="1421"/>
      <c r="Q593" s="1421"/>
      <c r="R593" s="1421"/>
      <c r="T593" s="55" t="s">
        <v>456</v>
      </c>
      <c r="U593" t="s">
        <v>463</v>
      </c>
      <c r="Z593" s="1421">
        <f>C561</f>
        <v>0</v>
      </c>
      <c r="AA593" s="1421"/>
      <c r="AB593" s="1421"/>
      <c r="AC593" s="1421"/>
      <c r="AD593" s="1421"/>
      <c r="AE593" s="1421"/>
      <c r="AF593" s="1421"/>
      <c r="AG593" s="1421"/>
      <c r="AH593" s="1421"/>
      <c r="AI593" s="1421"/>
      <c r="AJ593" s="1421"/>
      <c r="AK593" s="1421"/>
      <c r="AZ593" s="3"/>
      <c r="BA593" s="3"/>
      <c r="BB593" s="3"/>
      <c r="BC593" s="3"/>
    </row>
    <row r="594" spans="1:55" s="4" customFormat="1" ht="12.95" customHeight="1">
      <c r="A594" s="22"/>
      <c r="B594" t="s">
        <v>85</v>
      </c>
      <c r="C594"/>
      <c r="D594"/>
      <c r="E594"/>
      <c r="F594"/>
      <c r="G594" s="1364" t="str">
        <f>H288</f>
        <v>13520 Evening Creek Drive N, Suite 160</v>
      </c>
      <c r="H594" s="1364"/>
      <c r="I594" s="1364"/>
      <c r="J594" s="1364"/>
      <c r="K594" s="1364"/>
      <c r="L594" s="1364"/>
      <c r="M594" s="1364"/>
      <c r="N594" s="1364"/>
      <c r="O594" s="1364"/>
      <c r="P594" s="1364"/>
      <c r="Q594" s="1364"/>
      <c r="R594" s="1364"/>
      <c r="S594"/>
      <c r="T594" s="22"/>
      <c r="U594" t="s">
        <v>85</v>
      </c>
      <c r="V594"/>
      <c r="W594"/>
      <c r="X594"/>
      <c r="Y594"/>
      <c r="Z594" s="1364"/>
      <c r="AA594" s="1364"/>
      <c r="AB594" s="1364"/>
      <c r="AC594" s="1364"/>
      <c r="AD594" s="1364"/>
      <c r="AE594" s="1364"/>
      <c r="AF594" s="1364"/>
      <c r="AG594" s="1364"/>
      <c r="AH594" s="1364"/>
      <c r="AI594" s="1364"/>
      <c r="AJ594" s="1364"/>
      <c r="AK594" s="1364"/>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64" t="str">
        <f>H289</f>
        <v>San Diego, CA, 92128</v>
      </c>
      <c r="H595" s="1364"/>
      <c r="I595" s="1364"/>
      <c r="J595" s="1364"/>
      <c r="K595" s="1364"/>
      <c r="L595" s="1364"/>
      <c r="M595" s="1364"/>
      <c r="N595" s="1364"/>
      <c r="O595" s="1364"/>
      <c r="P595" s="1364"/>
      <c r="Q595" s="1364"/>
      <c r="R595" s="1364"/>
      <c r="S595"/>
      <c r="T595" s="22"/>
      <c r="U595" t="s">
        <v>580</v>
      </c>
      <c r="V595"/>
      <c r="W595"/>
      <c r="X595"/>
      <c r="Y595"/>
      <c r="Z595" s="1444"/>
      <c r="AA595" s="1444"/>
      <c r="AB595" s="1444"/>
      <c r="AC595" s="1444"/>
      <c r="AD595" s="1444"/>
      <c r="AE595" s="1444"/>
      <c r="AF595" s="1444"/>
      <c r="AG595" s="1444"/>
      <c r="AH595" s="1444"/>
      <c r="AI595" s="1444"/>
      <c r="AJ595" s="1444"/>
      <c r="AK595" s="1444"/>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64" t="str">
        <f>H290</f>
        <v>Jacob Billitteri</v>
      </c>
      <c r="H596" s="1364"/>
      <c r="I596" s="1364"/>
      <c r="J596" s="1364"/>
      <c r="K596" s="1364"/>
      <c r="L596" s="1364"/>
      <c r="M596" s="1364"/>
      <c r="N596" s="1364"/>
      <c r="O596" s="1364"/>
      <c r="P596" s="1364"/>
      <c r="Q596" s="1364"/>
      <c r="R596" s="1364"/>
      <c r="S596"/>
      <c r="T596" s="22"/>
      <c r="U596" t="s">
        <v>17</v>
      </c>
      <c r="V596"/>
      <c r="W596"/>
      <c r="X596"/>
      <c r="Y596"/>
      <c r="Z596" s="1444"/>
      <c r="AA596" s="1444"/>
      <c r="AB596" s="1444"/>
      <c r="AC596" s="1444"/>
      <c r="AD596" s="1444"/>
      <c r="AE596" s="1444"/>
      <c r="AF596" s="1444"/>
      <c r="AG596" s="1444"/>
      <c r="AH596" s="1444"/>
      <c r="AI596" s="1444"/>
      <c r="AJ596" s="1444"/>
      <c r="AK596" s="1444"/>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42" t="s">
        <v>2642</v>
      </c>
      <c r="H597" s="1443"/>
      <c r="I597" s="1443"/>
      <c r="J597" s="1443"/>
      <c r="K597" s="1443"/>
      <c r="L597" s="1443"/>
      <c r="M597"/>
      <c r="N597"/>
      <c r="O597" s="33" t="s">
        <v>206</v>
      </c>
      <c r="P597" s="1472" t="s">
        <v>591</v>
      </c>
      <c r="Q597" s="1433"/>
      <c r="R597" s="1433"/>
      <c r="S597"/>
      <c r="T597" s="22"/>
      <c r="U597" t="s">
        <v>316</v>
      </c>
      <c r="V597"/>
      <c r="W597"/>
      <c r="X597"/>
      <c r="Y597"/>
      <c r="Z597" s="1443"/>
      <c r="AA597" s="1443"/>
      <c r="AB597" s="1443"/>
      <c r="AC597" s="1443"/>
      <c r="AD597" s="1443"/>
      <c r="AE597" s="1443"/>
      <c r="AF597"/>
      <c r="AG597"/>
      <c r="AH597" s="33" t="s">
        <v>206</v>
      </c>
      <c r="AI597" s="1433"/>
      <c r="AJ597" s="1433"/>
      <c r="AK597" s="1433"/>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64" t="str">
        <f>M560</f>
        <v>Cost Deferral</v>
      </c>
      <c r="I598" s="1364"/>
      <c r="J598" s="1364"/>
      <c r="K598" s="1364"/>
      <c r="L598" s="1364"/>
      <c r="M598" s="1364"/>
      <c r="N598" s="1364"/>
      <c r="O598" s="1364"/>
      <c r="P598" s="1364"/>
      <c r="Q598" s="1364"/>
      <c r="R598" s="1364"/>
      <c r="S598"/>
      <c r="T598" s="22"/>
      <c r="U598" t="s">
        <v>18</v>
      </c>
      <c r="V598"/>
      <c r="W598"/>
      <c r="X598"/>
      <c r="Y598"/>
      <c r="Z598"/>
      <c r="AA598" s="1364"/>
      <c r="AB598" s="1364"/>
      <c r="AC598" s="1364"/>
      <c r="AD598" s="1364"/>
      <c r="AE598" s="1364"/>
      <c r="AF598" s="1364"/>
      <c r="AG598" s="1364"/>
      <c r="AH598" s="1364"/>
      <c r="AI598" s="1364"/>
      <c r="AJ598" s="1364"/>
      <c r="AK598" s="1364"/>
      <c r="AL598"/>
      <c r="AM598"/>
      <c r="AN598"/>
      <c r="AO598"/>
      <c r="AP598"/>
      <c r="AQ598"/>
      <c r="AR598"/>
      <c r="AS598"/>
      <c r="AT598"/>
      <c r="AU598"/>
      <c r="AV598"/>
      <c r="AW598"/>
      <c r="AX598"/>
      <c r="AY598"/>
      <c r="BB598" s="3"/>
      <c r="BC598" s="3"/>
    </row>
    <row r="599" spans="1:55" ht="12.95" customHeight="1">
      <c r="A599" s="22"/>
      <c r="B599" t="s">
        <v>20</v>
      </c>
      <c r="N599" s="1356" t="s">
        <v>545</v>
      </c>
      <c r="O599" s="1356"/>
      <c r="T599" s="22"/>
      <c r="U599" t="s">
        <v>20</v>
      </c>
      <c r="AG599" s="1356" t="s">
        <v>669</v>
      </c>
      <c r="AH599" s="1356"/>
      <c r="BB599" s="3"/>
      <c r="BC599" s="3"/>
    </row>
    <row r="600" spans="1:55" ht="12.95" customHeight="1">
      <c r="A600" s="22"/>
      <c r="T600" s="22"/>
      <c r="BB600" s="3"/>
      <c r="BC600" s="3"/>
    </row>
    <row r="601" spans="1:55" ht="12.95" customHeight="1">
      <c r="A601" s="55" t="s">
        <v>461</v>
      </c>
      <c r="B601" t="s">
        <v>463</v>
      </c>
      <c r="G601" s="1421">
        <f>C562</f>
        <v>0</v>
      </c>
      <c r="H601" s="1421"/>
      <c r="I601" s="1421"/>
      <c r="J601" s="1421"/>
      <c r="K601" s="1421"/>
      <c r="L601" s="1421"/>
      <c r="M601" s="1421"/>
      <c r="N601" s="1421"/>
      <c r="O601" s="1421"/>
      <c r="P601" s="1421"/>
      <c r="Q601" s="1421"/>
      <c r="R601" s="1421"/>
      <c r="T601" s="55" t="s">
        <v>646</v>
      </c>
      <c r="U601" t="s">
        <v>463</v>
      </c>
      <c r="Z601" s="1421">
        <f>C563</f>
        <v>0</v>
      </c>
      <c r="AA601" s="1421"/>
      <c r="AB601" s="1421"/>
      <c r="AC601" s="1421"/>
      <c r="AD601" s="1421"/>
      <c r="AE601" s="1421"/>
      <c r="AF601" s="1421"/>
      <c r="AG601" s="1421"/>
      <c r="AH601" s="1421"/>
      <c r="AI601" s="1421"/>
      <c r="AJ601" s="1421"/>
      <c r="AK601" s="1421"/>
      <c r="BB601" s="3"/>
      <c r="BC601" s="3"/>
    </row>
    <row r="602" spans="1:55" ht="12.95" customHeight="1">
      <c r="A602" s="22"/>
      <c r="B602" t="s">
        <v>85</v>
      </c>
      <c r="G602" s="1364"/>
      <c r="H602" s="1364"/>
      <c r="I602" s="1364"/>
      <c r="J602" s="1364"/>
      <c r="K602" s="1364"/>
      <c r="L602" s="1364"/>
      <c r="M602" s="1364"/>
      <c r="N602" s="1364"/>
      <c r="O602" s="1364"/>
      <c r="P602" s="1364"/>
      <c r="Q602" s="1364"/>
      <c r="R602" s="1364"/>
      <c r="T602" s="22"/>
      <c r="U602" t="s">
        <v>85</v>
      </c>
      <c r="Z602" s="1364"/>
      <c r="AA602" s="1364"/>
      <c r="AB602" s="1364"/>
      <c r="AC602" s="1364"/>
      <c r="AD602" s="1364"/>
      <c r="AE602" s="1364"/>
      <c r="AF602" s="1364"/>
      <c r="AG602" s="1364"/>
      <c r="AH602" s="1364"/>
      <c r="AI602" s="1364"/>
      <c r="AJ602" s="1364"/>
      <c r="AK602" s="1364"/>
      <c r="AZ602" s="3"/>
      <c r="BA602" s="3"/>
      <c r="BB602" s="3"/>
      <c r="BC602" s="3"/>
    </row>
    <row r="603" spans="1:55" ht="12.95" customHeight="1">
      <c r="A603" s="22"/>
      <c r="B603" t="s">
        <v>580</v>
      </c>
      <c r="G603" s="1364"/>
      <c r="H603" s="1364"/>
      <c r="I603" s="1364"/>
      <c r="J603" s="1364"/>
      <c r="K603" s="1364"/>
      <c r="L603" s="1364"/>
      <c r="M603" s="1364"/>
      <c r="N603" s="1364"/>
      <c r="O603" s="1364"/>
      <c r="P603" s="1364"/>
      <c r="Q603" s="1364"/>
      <c r="R603" s="1364"/>
      <c r="T603" s="22"/>
      <c r="U603" t="s">
        <v>580</v>
      </c>
      <c r="Z603" s="1444"/>
      <c r="AA603" s="1444"/>
      <c r="AB603" s="1444"/>
      <c r="AC603" s="1444"/>
      <c r="AD603" s="1444"/>
      <c r="AE603" s="1444"/>
      <c r="AF603" s="1444"/>
      <c r="AG603" s="1444"/>
      <c r="AH603" s="1444"/>
      <c r="AI603" s="1444"/>
      <c r="AJ603" s="1444"/>
      <c r="AK603" s="1444"/>
      <c r="AZ603" s="3"/>
      <c r="BA603" s="3"/>
      <c r="BB603" s="3"/>
      <c r="BC603" s="3"/>
    </row>
    <row r="604" spans="1:55" ht="12.95" customHeight="1">
      <c r="A604" s="22"/>
      <c r="B604" t="s">
        <v>17</v>
      </c>
      <c r="G604" s="1364"/>
      <c r="H604" s="1364"/>
      <c r="I604" s="1364"/>
      <c r="J604" s="1364"/>
      <c r="K604" s="1364"/>
      <c r="L604" s="1364"/>
      <c r="M604" s="1364"/>
      <c r="N604" s="1364"/>
      <c r="O604" s="1364"/>
      <c r="P604" s="1364"/>
      <c r="Q604" s="1364"/>
      <c r="R604" s="1364"/>
      <c r="T604" s="22"/>
      <c r="U604" t="s">
        <v>17</v>
      </c>
      <c r="Z604" s="1444"/>
      <c r="AA604" s="1444"/>
      <c r="AB604" s="1444"/>
      <c r="AC604" s="1444"/>
      <c r="AD604" s="1444"/>
      <c r="AE604" s="1444"/>
      <c r="AF604" s="1444"/>
      <c r="AG604" s="1444"/>
      <c r="AH604" s="1444"/>
      <c r="AI604" s="1444"/>
      <c r="AJ604" s="1444"/>
      <c r="AK604" s="1444"/>
      <c r="AZ604" s="3"/>
      <c r="BA604" s="3"/>
      <c r="BB604" s="3"/>
      <c r="BC604" s="3"/>
    </row>
    <row r="605" spans="1:55" s="4" customFormat="1" ht="12.95" customHeight="1">
      <c r="A605" s="22"/>
      <c r="B605" t="s">
        <v>316</v>
      </c>
      <c r="C605"/>
      <c r="D605"/>
      <c r="E605"/>
      <c r="F605"/>
      <c r="G605" s="1443"/>
      <c r="H605" s="1443"/>
      <c r="I605" s="1443"/>
      <c r="J605" s="1443"/>
      <c r="K605" s="1443"/>
      <c r="L605" s="1443"/>
      <c r="M605"/>
      <c r="N605"/>
      <c r="O605" s="33" t="s">
        <v>206</v>
      </c>
      <c r="P605" s="1433"/>
      <c r="Q605" s="1433"/>
      <c r="R605" s="1433"/>
      <c r="S605"/>
      <c r="T605" s="22"/>
      <c r="U605" t="s">
        <v>316</v>
      </c>
      <c r="V605"/>
      <c r="W605"/>
      <c r="X605"/>
      <c r="Y605"/>
      <c r="Z605" s="1443"/>
      <c r="AA605" s="1443"/>
      <c r="AB605" s="1443"/>
      <c r="AC605" s="1443"/>
      <c r="AD605" s="1443"/>
      <c r="AE605" s="1443"/>
      <c r="AF605"/>
      <c r="AG605"/>
      <c r="AH605" s="33" t="s">
        <v>206</v>
      </c>
      <c r="AI605" s="1433"/>
      <c r="AJ605" s="1433"/>
      <c r="AK605" s="1433"/>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64"/>
      <c r="I606" s="1364"/>
      <c r="J606" s="1364"/>
      <c r="K606" s="1364"/>
      <c r="L606" s="1364"/>
      <c r="M606" s="1364"/>
      <c r="N606" s="1364"/>
      <c r="O606" s="1364"/>
      <c r="P606" s="1364"/>
      <c r="Q606" s="1364"/>
      <c r="R606" s="1364"/>
      <c r="S606"/>
      <c r="T606" s="22"/>
      <c r="U606" t="s">
        <v>18</v>
      </c>
      <c r="V606"/>
      <c r="W606"/>
      <c r="X606"/>
      <c r="Y606"/>
      <c r="Z606"/>
      <c r="AA606" s="1364"/>
      <c r="AB606" s="1364"/>
      <c r="AC606" s="1364"/>
      <c r="AD606" s="1364"/>
      <c r="AE606" s="1364"/>
      <c r="AF606" s="1364"/>
      <c r="AG606" s="1364"/>
      <c r="AH606" s="1364"/>
      <c r="AI606" s="1364"/>
      <c r="AJ606" s="1364"/>
      <c r="AK606" s="1364"/>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56" t="s">
        <v>669</v>
      </c>
      <c r="O607" s="1356"/>
      <c r="P607"/>
      <c r="Q607"/>
      <c r="R607"/>
      <c r="S607"/>
      <c r="T607" s="22"/>
      <c r="U607" t="s">
        <v>20</v>
      </c>
      <c r="V607"/>
      <c r="W607"/>
      <c r="X607"/>
      <c r="Y607"/>
      <c r="Z607"/>
      <c r="AA607"/>
      <c r="AB607"/>
      <c r="AC607"/>
      <c r="AD607"/>
      <c r="AE607"/>
      <c r="AF607"/>
      <c r="AG607" s="1356" t="s">
        <v>669</v>
      </c>
      <c r="AH607" s="1356"/>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463</v>
      </c>
      <c r="G609" s="1421">
        <f>C564</f>
        <v>0</v>
      </c>
      <c r="H609" s="1421"/>
      <c r="I609" s="1421"/>
      <c r="J609" s="1421"/>
      <c r="K609" s="1421"/>
      <c r="L609" s="1421"/>
      <c r="M609" s="1421"/>
      <c r="N609" s="1421"/>
      <c r="O609" s="1421"/>
      <c r="P609" s="1421"/>
      <c r="Q609" s="1421"/>
      <c r="R609" s="1421"/>
      <c r="T609" s="55" t="s">
        <v>363</v>
      </c>
      <c r="U609" t="s">
        <v>463</v>
      </c>
      <c r="Z609" s="1421">
        <f>C565</f>
        <v>0</v>
      </c>
      <c r="AA609" s="1421"/>
      <c r="AB609" s="1421"/>
      <c r="AC609" s="1421"/>
      <c r="AD609" s="1421"/>
      <c r="AE609" s="1421"/>
      <c r="AF609" s="1421"/>
      <c r="AG609" s="1421"/>
      <c r="AH609" s="1421"/>
      <c r="AI609" s="1421"/>
      <c r="AJ609" s="1421"/>
      <c r="AK609" s="1421"/>
      <c r="AZ609" s="3"/>
      <c r="BA609" s="3"/>
      <c r="BB609" s="3"/>
      <c r="BC609" s="3"/>
    </row>
    <row r="610" spans="1:55" ht="12.95" customHeight="1">
      <c r="B610" t="s">
        <v>85</v>
      </c>
      <c r="G610" s="1364"/>
      <c r="H610" s="1364"/>
      <c r="I610" s="1364"/>
      <c r="J610" s="1364"/>
      <c r="K610" s="1364"/>
      <c r="L610" s="1364"/>
      <c r="M610" s="1364"/>
      <c r="N610" s="1364"/>
      <c r="O610" s="1364"/>
      <c r="P610" s="1364"/>
      <c r="Q610" s="1364"/>
      <c r="R610" s="1364"/>
      <c r="U610" t="s">
        <v>85</v>
      </c>
      <c r="Z610" s="1364"/>
      <c r="AA610" s="1364"/>
      <c r="AB610" s="1364"/>
      <c r="AC610" s="1364"/>
      <c r="AD610" s="1364"/>
      <c r="AE610" s="1364"/>
      <c r="AF610" s="1364"/>
      <c r="AG610" s="1364"/>
      <c r="AH610" s="1364"/>
      <c r="AI610" s="1364"/>
      <c r="AJ610" s="1364"/>
      <c r="AK610" s="1364"/>
      <c r="AZ610" s="3"/>
      <c r="BA610" s="3"/>
      <c r="BB610" s="3"/>
      <c r="BC610" s="3"/>
    </row>
    <row r="611" spans="1:55" ht="12.95" customHeight="1">
      <c r="B611" t="s">
        <v>580</v>
      </c>
      <c r="G611" s="1364"/>
      <c r="H611" s="1364"/>
      <c r="I611" s="1364"/>
      <c r="J611" s="1364"/>
      <c r="K611" s="1364"/>
      <c r="L611" s="1364"/>
      <c r="M611" s="1364"/>
      <c r="N611" s="1364"/>
      <c r="O611" s="1364"/>
      <c r="P611" s="1364"/>
      <c r="Q611" s="1364"/>
      <c r="R611" s="1364"/>
      <c r="U611" t="s">
        <v>580</v>
      </c>
      <c r="Z611" s="1444"/>
      <c r="AA611" s="1444"/>
      <c r="AB611" s="1444"/>
      <c r="AC611" s="1444"/>
      <c r="AD611" s="1444"/>
      <c r="AE611" s="1444"/>
      <c r="AF611" s="1444"/>
      <c r="AG611" s="1444"/>
      <c r="AH611" s="1444"/>
      <c r="AI611" s="1444"/>
      <c r="AJ611" s="1444"/>
      <c r="AK611" s="1444"/>
      <c r="AZ611" s="3"/>
      <c r="BA611" s="3"/>
      <c r="BB611" s="3"/>
      <c r="BC611" s="3"/>
    </row>
    <row r="612" spans="1:55" ht="12.95" customHeight="1">
      <c r="B612" t="s">
        <v>17</v>
      </c>
      <c r="G612" s="1364"/>
      <c r="H612" s="1364"/>
      <c r="I612" s="1364"/>
      <c r="J612" s="1364"/>
      <c r="K612" s="1364"/>
      <c r="L612" s="1364"/>
      <c r="M612" s="1364"/>
      <c r="N612" s="1364"/>
      <c r="O612" s="1364"/>
      <c r="P612" s="1364"/>
      <c r="Q612" s="1364"/>
      <c r="R612" s="1364"/>
      <c r="U612" t="s">
        <v>17</v>
      </c>
      <c r="Z612" s="1444"/>
      <c r="AA612" s="1444"/>
      <c r="AB612" s="1444"/>
      <c r="AC612" s="1444"/>
      <c r="AD612" s="1444"/>
      <c r="AE612" s="1444"/>
      <c r="AF612" s="1444"/>
      <c r="AG612" s="1444"/>
      <c r="AH612" s="1444"/>
      <c r="AI612" s="1444"/>
      <c r="AJ612" s="1444"/>
      <c r="AK612" s="1444"/>
      <c r="AZ612" s="3"/>
      <c r="BA612" s="3"/>
      <c r="BB612" s="3"/>
      <c r="BC612" s="3"/>
    </row>
    <row r="613" spans="1:55" ht="12.95" customHeight="1">
      <c r="B613" t="s">
        <v>316</v>
      </c>
      <c r="G613" s="1443"/>
      <c r="H613" s="1443"/>
      <c r="I613" s="1443"/>
      <c r="J613" s="1443"/>
      <c r="K613" s="1443"/>
      <c r="L613" s="1443"/>
      <c r="O613" s="33" t="s">
        <v>206</v>
      </c>
      <c r="P613" s="1433"/>
      <c r="Q613" s="1433"/>
      <c r="R613" s="1433"/>
      <c r="U613" t="s">
        <v>316</v>
      </c>
      <c r="Z613" s="1443"/>
      <c r="AA613" s="1443"/>
      <c r="AB613" s="1443"/>
      <c r="AC613" s="1443"/>
      <c r="AD613" s="1443"/>
      <c r="AE613" s="1443"/>
      <c r="AH613" s="33" t="s">
        <v>206</v>
      </c>
      <c r="AI613" s="1433"/>
      <c r="AJ613" s="1433"/>
      <c r="AK613" s="1433"/>
      <c r="AZ613" s="3"/>
      <c r="BA613" s="3"/>
      <c r="BB613" s="3"/>
      <c r="BC613" s="3"/>
    </row>
    <row r="614" spans="1:55" ht="12.95" customHeight="1">
      <c r="B614" t="s">
        <v>18</v>
      </c>
      <c r="H614" s="1364"/>
      <c r="I614" s="1364"/>
      <c r="J614" s="1364"/>
      <c r="K614" s="1364"/>
      <c r="L614" s="1364"/>
      <c r="M614" s="1364"/>
      <c r="N614" s="1364"/>
      <c r="O614" s="1364"/>
      <c r="P614" s="1364"/>
      <c r="Q614" s="1364"/>
      <c r="R614" s="1364"/>
      <c r="U614" t="s">
        <v>18</v>
      </c>
      <c r="AA614" s="1364"/>
      <c r="AB614" s="1364"/>
      <c r="AC614" s="1364"/>
      <c r="AD614" s="1364"/>
      <c r="AE614" s="1364"/>
      <c r="AF614" s="1364"/>
      <c r="AG614" s="1364"/>
      <c r="AH614" s="1364"/>
      <c r="AI614" s="1364"/>
      <c r="AJ614" s="1364"/>
      <c r="AK614" s="1364"/>
      <c r="AU614" s="899"/>
      <c r="AV614" s="899"/>
      <c r="AW614" s="899"/>
      <c r="AX614" s="899"/>
      <c r="AY614" s="899"/>
      <c r="AZ614" s="3"/>
      <c r="BA614" s="3"/>
      <c r="BB614" s="3"/>
      <c r="BC614" s="3"/>
    </row>
    <row r="615" spans="1:55" ht="12.95" customHeight="1">
      <c r="B615" t="s">
        <v>20</v>
      </c>
      <c r="N615" s="1356" t="s">
        <v>669</v>
      </c>
      <c r="O615" s="1356"/>
      <c r="U615" t="s">
        <v>20</v>
      </c>
      <c r="AG615" s="1356" t="s">
        <v>669</v>
      </c>
      <c r="AH615" s="1356"/>
      <c r="AU615" s="899"/>
      <c r="AV615" s="899"/>
      <c r="AW615" s="899"/>
      <c r="AX615" s="899"/>
      <c r="AY615" s="899"/>
      <c r="AZ615" s="3"/>
      <c r="BA615" s="3"/>
      <c r="BB615" s="3"/>
      <c r="BC615" s="3"/>
    </row>
    <row r="616" spans="1:55" ht="12.95" customHeight="1">
      <c r="AZ616" s="3"/>
      <c r="BA616" s="3"/>
      <c r="BB616" s="3"/>
      <c r="BC616" s="3"/>
    </row>
    <row r="617" spans="1:55" ht="12.95" customHeight="1">
      <c r="A617" s="1266" t="s">
        <v>544</v>
      </c>
      <c r="B617" s="1266"/>
      <c r="C617" s="1266"/>
      <c r="D617" s="1266"/>
      <c r="E617" s="1266"/>
      <c r="F617" s="1266"/>
      <c r="G617" s="1266"/>
      <c r="H617" s="1266"/>
      <c r="I617" s="1266"/>
      <c r="J617" s="1266"/>
      <c r="K617" s="1266"/>
      <c r="L617" s="1266"/>
      <c r="M617" s="1266"/>
      <c r="N617" s="1266"/>
      <c r="O617" s="1266"/>
      <c r="P617" s="1266"/>
      <c r="Q617" s="1266"/>
      <c r="R617" s="1266"/>
      <c r="S617" s="1266"/>
      <c r="T617" s="1266"/>
      <c r="U617" s="1266"/>
      <c r="V617" s="1266"/>
      <c r="W617" s="1266"/>
      <c r="X617" s="1266"/>
      <c r="Y617" s="1266"/>
      <c r="Z617" s="1266"/>
      <c r="AA617" s="1266"/>
      <c r="AB617" s="1266"/>
      <c r="AC617" s="1266"/>
      <c r="AD617" s="1266"/>
      <c r="AE617" s="1266"/>
      <c r="AF617" s="1266"/>
      <c r="AG617" s="1266"/>
      <c r="AH617" s="1266"/>
      <c r="AI617" s="1266"/>
      <c r="AJ617" s="1266"/>
      <c r="AK617" s="1266"/>
      <c r="AL617" s="1266"/>
      <c r="AM617" s="1266"/>
      <c r="AN617" s="1266"/>
      <c r="AO617" s="1266"/>
      <c r="AP617" s="1266"/>
      <c r="AQ617" s="1266"/>
      <c r="AR617" s="1266"/>
      <c r="AS617" s="1266"/>
      <c r="AT617" s="1266"/>
      <c r="AZ617" s="3"/>
      <c r="BA617" s="3"/>
      <c r="BB617" s="3"/>
      <c r="BC617" s="3"/>
    </row>
    <row r="618" spans="1:55" ht="12.95" customHeight="1">
      <c r="A618" s="1266"/>
      <c r="B618" s="1266"/>
      <c r="C618" s="1266"/>
      <c r="D618" s="1266"/>
      <c r="E618" s="1266"/>
      <c r="F618" s="1266"/>
      <c r="G618" s="1266"/>
      <c r="H618" s="1266"/>
      <c r="I618" s="1266"/>
      <c r="J618" s="1266"/>
      <c r="K618" s="1266"/>
      <c r="L618" s="1266"/>
      <c r="M618" s="1266"/>
      <c r="N618" s="1266"/>
      <c r="O618" s="1266"/>
      <c r="P618" s="1266"/>
      <c r="Q618" s="1266"/>
      <c r="R618" s="1266"/>
      <c r="S618" s="1266"/>
      <c r="T618" s="1266"/>
      <c r="U618" s="1266"/>
      <c r="V618" s="1266"/>
      <c r="W618" s="1266"/>
      <c r="X618" s="1266"/>
      <c r="Y618" s="1266"/>
      <c r="Z618" s="1266"/>
      <c r="AA618" s="1266"/>
      <c r="AB618" s="1266"/>
      <c r="AC618" s="1266"/>
      <c r="AD618" s="1266"/>
      <c r="AE618" s="1266"/>
      <c r="AF618" s="1266"/>
      <c r="AG618" s="1266"/>
      <c r="AH618" s="1266"/>
      <c r="AI618" s="1266"/>
      <c r="AJ618" s="1266"/>
      <c r="AK618" s="1266"/>
      <c r="AL618" s="1266"/>
      <c r="AM618" s="1266"/>
      <c r="AN618" s="1266"/>
      <c r="AO618" s="1266"/>
      <c r="AP618" s="1266"/>
      <c r="AQ618" s="1266"/>
      <c r="AR618" s="1266"/>
      <c r="AS618" s="1266"/>
      <c r="AT618" s="1266"/>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748" t="s">
        <v>2103</v>
      </c>
      <c r="C624" s="1748"/>
      <c r="D624" s="1748"/>
      <c r="E624" s="1748"/>
      <c r="F624" s="1748"/>
      <c r="G624" s="1748"/>
      <c r="H624" s="1748"/>
      <c r="I624" s="1748"/>
      <c r="J624" s="1748"/>
      <c r="K624" s="1748"/>
      <c r="L624" s="1748"/>
      <c r="M624" s="1438" t="s">
        <v>2104</v>
      </c>
      <c r="N624" s="1438"/>
      <c r="O624" s="1438"/>
      <c r="P624" s="1438"/>
      <c r="Q624" s="1438" t="s">
        <v>1853</v>
      </c>
      <c r="R624" s="1438"/>
      <c r="S624" s="1438"/>
      <c r="T624" s="1438" t="s">
        <v>1851</v>
      </c>
      <c r="U624" s="1438"/>
      <c r="V624" s="1438"/>
      <c r="W624" s="1454" t="s">
        <v>453</v>
      </c>
      <c r="X624" s="1454"/>
      <c r="Y624" s="1454"/>
      <c r="Z624" s="1427" t="s">
        <v>2133</v>
      </c>
      <c r="AA624" s="1427"/>
      <c r="AB624" s="1428"/>
      <c r="AC624" s="1701" t="s">
        <v>1676</v>
      </c>
      <c r="AD624" s="1702"/>
      <c r="AE624" s="1703"/>
      <c r="AF624" s="1682" t="s">
        <v>1931</v>
      </c>
      <c r="AG624" s="1427"/>
      <c r="AH624" s="1427"/>
      <c r="AI624" s="1427"/>
      <c r="AJ624" s="1428"/>
      <c r="AK624" s="1828" t="s">
        <v>1932</v>
      </c>
      <c r="AL624" s="1829"/>
      <c r="AM624" s="1829"/>
      <c r="AN624" s="1830"/>
      <c r="AO624" s="1438" t="s">
        <v>454</v>
      </c>
      <c r="AP624" s="1438"/>
      <c r="AQ624" s="1438"/>
      <c r="AR624" s="1438"/>
      <c r="AS624" s="1438"/>
      <c r="AU624" s="3"/>
      <c r="AZ624" s="3"/>
      <c r="BA624" s="3"/>
      <c r="BB624" s="3"/>
      <c r="BC624" s="3"/>
    </row>
    <row r="625" spans="2:157" ht="12.95" customHeight="1">
      <c r="B625" s="1748"/>
      <c r="C625" s="1748"/>
      <c r="D625" s="1748"/>
      <c r="E625" s="1748"/>
      <c r="F625" s="1748"/>
      <c r="G625" s="1748"/>
      <c r="H625" s="1748"/>
      <c r="I625" s="1748"/>
      <c r="J625" s="1748"/>
      <c r="K625" s="1748"/>
      <c r="L625" s="1748"/>
      <c r="M625" s="1438"/>
      <c r="N625" s="1438"/>
      <c r="O625" s="1438"/>
      <c r="P625" s="1438"/>
      <c r="Q625" s="1438"/>
      <c r="R625" s="1438"/>
      <c r="S625" s="1438"/>
      <c r="T625" s="1438"/>
      <c r="U625" s="1438"/>
      <c r="V625" s="1438"/>
      <c r="W625" s="1454"/>
      <c r="X625" s="1454"/>
      <c r="Y625" s="1454"/>
      <c r="Z625" s="1429"/>
      <c r="AA625" s="1429"/>
      <c r="AB625" s="1430"/>
      <c r="AC625" s="1704"/>
      <c r="AD625" s="1705"/>
      <c r="AE625" s="1706"/>
      <c r="AF625" s="1683"/>
      <c r="AG625" s="1429"/>
      <c r="AH625" s="1429"/>
      <c r="AI625" s="1429"/>
      <c r="AJ625" s="1430"/>
      <c r="AK625" s="1831"/>
      <c r="AL625" s="1832"/>
      <c r="AM625" s="1832"/>
      <c r="AN625" s="1833"/>
      <c r="AO625" s="1438"/>
      <c r="AP625" s="1438"/>
      <c r="AQ625" s="1438"/>
      <c r="AR625" s="1438"/>
      <c r="AS625" s="1438"/>
      <c r="AU625" s="3"/>
      <c r="AZ625" s="3"/>
      <c r="BA625" s="3"/>
      <c r="BB625" s="3"/>
      <c r="BC625" s="3"/>
      <c r="BD625" s="3"/>
    </row>
    <row r="626" spans="2:157" ht="12.95" customHeight="1">
      <c r="B626" s="1748"/>
      <c r="C626" s="1748"/>
      <c r="D626" s="1748"/>
      <c r="E626" s="1748"/>
      <c r="F626" s="1748"/>
      <c r="G626" s="1748"/>
      <c r="H626" s="1748"/>
      <c r="I626" s="1748"/>
      <c r="J626" s="1748"/>
      <c r="K626" s="1748"/>
      <c r="L626" s="1748"/>
      <c r="M626" s="1438"/>
      <c r="N626" s="1438"/>
      <c r="O626" s="1438"/>
      <c r="P626" s="1438"/>
      <c r="Q626" s="1438"/>
      <c r="R626" s="1438"/>
      <c r="S626" s="1438"/>
      <c r="T626" s="1438"/>
      <c r="U626" s="1438"/>
      <c r="V626" s="1438"/>
      <c r="W626" s="1454"/>
      <c r="X626" s="1454"/>
      <c r="Y626" s="1454"/>
      <c r="Z626" s="1431"/>
      <c r="AA626" s="1431"/>
      <c r="AB626" s="1432"/>
      <c r="AC626" s="1707"/>
      <c r="AD626" s="1708"/>
      <c r="AE626" s="1709"/>
      <c r="AF626" s="1684"/>
      <c r="AG626" s="1431"/>
      <c r="AH626" s="1431"/>
      <c r="AI626" s="1431"/>
      <c r="AJ626" s="1432"/>
      <c r="AK626" s="1834"/>
      <c r="AL626" s="1835"/>
      <c r="AM626" s="1835"/>
      <c r="AN626" s="1836"/>
      <c r="AO626" s="1438"/>
      <c r="AP626" s="1438"/>
      <c r="AQ626" s="1438"/>
      <c r="AR626" s="1438"/>
      <c r="AS626" s="1438"/>
      <c r="AT626" s="3"/>
      <c r="AU626" s="3"/>
      <c r="AZ626" s="3"/>
      <c r="BA626" s="3"/>
      <c r="BB626" s="3"/>
      <c r="BC626" s="3"/>
      <c r="BD626" s="3"/>
    </row>
    <row r="627" spans="2:157" ht="12.95" customHeight="1">
      <c r="B627" s="51" t="s">
        <v>112</v>
      </c>
      <c r="C627" s="1425" t="s">
        <v>2717</v>
      </c>
      <c r="D627" s="1425"/>
      <c r="E627" s="1425"/>
      <c r="F627" s="1425"/>
      <c r="G627" s="1425"/>
      <c r="H627" s="1425"/>
      <c r="I627" s="1425"/>
      <c r="J627" s="1425"/>
      <c r="K627" s="1425"/>
      <c r="L627" s="1425"/>
      <c r="M627" s="1455" t="s">
        <v>2114</v>
      </c>
      <c r="N627" s="1455"/>
      <c r="O627" s="1455"/>
      <c r="P627" s="1455"/>
      <c r="Q627" s="1419">
        <v>216</v>
      </c>
      <c r="R627" s="1419"/>
      <c r="S627" s="1420"/>
      <c r="T627" s="1418">
        <v>480</v>
      </c>
      <c r="U627" s="1419"/>
      <c r="V627" s="1420"/>
      <c r="W627" s="1434">
        <v>6.25E-2</v>
      </c>
      <c r="X627" s="1435"/>
      <c r="Y627" s="1436"/>
      <c r="Z627" s="1456" t="s">
        <v>2132</v>
      </c>
      <c r="AA627" s="1457"/>
      <c r="AB627" s="1458"/>
      <c r="AC627" s="1451">
        <v>1</v>
      </c>
      <c r="AD627" s="1452"/>
      <c r="AE627" s="1453"/>
      <c r="AF627" s="1477">
        <v>2884892</v>
      </c>
      <c r="AG627" s="1478"/>
      <c r="AH627" s="1478"/>
      <c r="AI627" s="1478"/>
      <c r="AJ627" s="1479"/>
      <c r="AK627" s="1422">
        <v>0</v>
      </c>
      <c r="AL627" s="1423"/>
      <c r="AM627" s="1423"/>
      <c r="AN627" s="1424"/>
      <c r="AO627" s="1480">
        <v>42344703</v>
      </c>
      <c r="AP627" s="1480"/>
      <c r="AQ627" s="1480"/>
      <c r="AR627" s="1480"/>
      <c r="AS627" s="1480"/>
      <c r="AT627" s="3"/>
      <c r="AU627" s="3"/>
      <c r="AZ627" s="3"/>
      <c r="BA627" s="3"/>
      <c r="BB627" s="3"/>
      <c r="BC627" s="3"/>
      <c r="BD627" s="3"/>
    </row>
    <row r="628" spans="2:157" ht="12.95" customHeight="1">
      <c r="B628" s="52" t="s">
        <v>113</v>
      </c>
      <c r="C628" s="1425" t="s">
        <v>2722</v>
      </c>
      <c r="D628" s="1425"/>
      <c r="E628" s="1425"/>
      <c r="F628" s="1425"/>
      <c r="G628" s="1425"/>
      <c r="H628" s="1425"/>
      <c r="I628" s="1425"/>
      <c r="J628" s="1425"/>
      <c r="K628" s="1425"/>
      <c r="L628" s="1425"/>
      <c r="M628" s="1455" t="s">
        <v>2116</v>
      </c>
      <c r="N628" s="1455"/>
      <c r="O628" s="1455"/>
      <c r="P628" s="1455"/>
      <c r="Q628" s="1418">
        <v>660</v>
      </c>
      <c r="R628" s="1419"/>
      <c r="S628" s="1420"/>
      <c r="T628" s="1418" t="s">
        <v>591</v>
      </c>
      <c r="U628" s="1419"/>
      <c r="V628" s="1420"/>
      <c r="W628" s="1434">
        <v>0.03</v>
      </c>
      <c r="X628" s="1435"/>
      <c r="Y628" s="1436"/>
      <c r="Z628" s="1456" t="s">
        <v>2132</v>
      </c>
      <c r="AA628" s="1457"/>
      <c r="AB628" s="1458"/>
      <c r="AC628" s="1451">
        <v>2</v>
      </c>
      <c r="AD628" s="1452"/>
      <c r="AE628" s="1453"/>
      <c r="AF628" s="1477">
        <v>121800</v>
      </c>
      <c r="AG628" s="1478"/>
      <c r="AH628" s="1478"/>
      <c r="AI628" s="1478"/>
      <c r="AJ628" s="1479"/>
      <c r="AK628" s="1422">
        <v>0</v>
      </c>
      <c r="AL628" s="1423"/>
      <c r="AM628" s="1423"/>
      <c r="AN628" s="1424"/>
      <c r="AO628" s="1439">
        <v>29000000</v>
      </c>
      <c r="AP628" s="1440"/>
      <c r="AQ628" s="1440"/>
      <c r="AR628" s="1440"/>
      <c r="AS628" s="1441"/>
      <c r="AT628" s="1148" t="str">
        <f>IF(AND(NOT(C627=""),C628="",NOT(C629="")),"!","")</f>
        <v/>
      </c>
      <c r="AU628" s="3"/>
      <c r="AZ628" s="3"/>
      <c r="BA628" s="3"/>
      <c r="BB628" s="3"/>
      <c r="BC628" s="3"/>
      <c r="BD628" s="3"/>
    </row>
    <row r="629" spans="2:157" ht="12.95" customHeight="1">
      <c r="B629" s="52" t="s">
        <v>119</v>
      </c>
      <c r="C629" s="1425" t="s">
        <v>2719</v>
      </c>
      <c r="D629" s="1425"/>
      <c r="E629" s="1425"/>
      <c r="F629" s="1425"/>
      <c r="G629" s="1425"/>
      <c r="H629" s="1425"/>
      <c r="I629" s="1425"/>
      <c r="J629" s="1425"/>
      <c r="K629" s="1425"/>
      <c r="L629" s="1425"/>
      <c r="M629" s="1455" t="s">
        <v>2116</v>
      </c>
      <c r="N629" s="1455"/>
      <c r="O629" s="1455"/>
      <c r="P629" s="1455"/>
      <c r="Q629" s="1418">
        <v>204</v>
      </c>
      <c r="R629" s="1419"/>
      <c r="S629" s="1420"/>
      <c r="T629" s="1418" t="s">
        <v>591</v>
      </c>
      <c r="U629" s="1419"/>
      <c r="V629" s="1420"/>
      <c r="W629" s="1434">
        <v>0.03</v>
      </c>
      <c r="X629" s="1435"/>
      <c r="Y629" s="1436"/>
      <c r="Z629" s="1456" t="s">
        <v>457</v>
      </c>
      <c r="AA629" s="1457"/>
      <c r="AB629" s="1458"/>
      <c r="AC629" s="1451">
        <v>3</v>
      </c>
      <c r="AD629" s="1452"/>
      <c r="AE629" s="1453"/>
      <c r="AF629" s="1477">
        <v>0</v>
      </c>
      <c r="AG629" s="1478"/>
      <c r="AH629" s="1478"/>
      <c r="AI629" s="1478"/>
      <c r="AJ629" s="1479"/>
      <c r="AK629" s="1422">
        <v>0</v>
      </c>
      <c r="AL629" s="1423"/>
      <c r="AM629" s="1423"/>
      <c r="AN629" s="1424"/>
      <c r="AO629" s="1439">
        <v>15500000</v>
      </c>
      <c r="AP629" s="1440"/>
      <c r="AQ629" s="1440"/>
      <c r="AR629" s="1440"/>
      <c r="AS629" s="1441"/>
      <c r="AT629" s="1148" t="str">
        <f t="shared" ref="AT629:AT638" si="1">IF(AND(NOT(C628=""),C629="",NOT(C630="")),"!","")</f>
        <v/>
      </c>
      <c r="AU629" s="3"/>
      <c r="AZ629" s="3"/>
      <c r="BA629" s="3"/>
      <c r="BB629" s="3"/>
      <c r="BC629" s="3"/>
      <c r="BD629" s="3"/>
    </row>
    <row r="630" spans="2:157" ht="12.95" customHeight="1">
      <c r="B630" s="52" t="s">
        <v>581</v>
      </c>
      <c r="C630" s="1425" t="s">
        <v>2716</v>
      </c>
      <c r="D630" s="1426"/>
      <c r="E630" s="1426"/>
      <c r="F630" s="1426"/>
      <c r="G630" s="1426"/>
      <c r="H630" s="1426"/>
      <c r="I630" s="1426"/>
      <c r="J630" s="1426"/>
      <c r="K630" s="1426"/>
      <c r="L630" s="1426"/>
      <c r="M630" s="1455" t="s">
        <v>2116</v>
      </c>
      <c r="N630" s="1455"/>
      <c r="O630" s="1455"/>
      <c r="P630" s="1455"/>
      <c r="Q630" s="1418">
        <v>660</v>
      </c>
      <c r="R630" s="1419"/>
      <c r="S630" s="1420"/>
      <c r="T630" s="1418" t="s">
        <v>591</v>
      </c>
      <c r="U630" s="1419"/>
      <c r="V630" s="1420"/>
      <c r="W630" s="1434">
        <v>0.03</v>
      </c>
      <c r="X630" s="1435"/>
      <c r="Y630" s="1436"/>
      <c r="Z630" s="1456" t="s">
        <v>457</v>
      </c>
      <c r="AA630" s="1457"/>
      <c r="AB630" s="1458"/>
      <c r="AC630" s="1451">
        <v>4</v>
      </c>
      <c r="AD630" s="1452"/>
      <c r="AE630" s="1453"/>
      <c r="AF630" s="1477">
        <v>0</v>
      </c>
      <c r="AG630" s="1478"/>
      <c r="AH630" s="1478"/>
      <c r="AI630" s="1478"/>
      <c r="AJ630" s="1479"/>
      <c r="AK630" s="1422">
        <v>0</v>
      </c>
      <c r="AL630" s="1423"/>
      <c r="AM630" s="1423"/>
      <c r="AN630" s="1424"/>
      <c r="AO630" s="1439">
        <v>11115000</v>
      </c>
      <c r="AP630" s="1440"/>
      <c r="AQ630" s="1440"/>
      <c r="AR630" s="1440"/>
      <c r="AS630" s="1441"/>
      <c r="AT630" s="1148" t="str">
        <f t="shared" si="1"/>
        <v/>
      </c>
      <c r="AU630" s="3"/>
      <c r="AZ630" s="3"/>
      <c r="BA630" s="3"/>
      <c r="BB630" s="3"/>
      <c r="BC630" s="3"/>
      <c r="BD630" s="3"/>
    </row>
    <row r="631" spans="2:157" ht="12.95" customHeight="1">
      <c r="B631" s="52" t="s">
        <v>763</v>
      </c>
      <c r="C631" s="1425" t="s">
        <v>2614</v>
      </c>
      <c r="D631" s="1426"/>
      <c r="E631" s="1426"/>
      <c r="F631" s="1426"/>
      <c r="G631" s="1426"/>
      <c r="H631" s="1426"/>
      <c r="I631" s="1426"/>
      <c r="J631" s="1426"/>
      <c r="K631" s="1426"/>
      <c r="L631" s="1426"/>
      <c r="M631" s="1455" t="s">
        <v>2116</v>
      </c>
      <c r="N631" s="1455"/>
      <c r="O631" s="1455"/>
      <c r="P631" s="1455"/>
      <c r="Q631" s="1418">
        <v>660</v>
      </c>
      <c r="R631" s="1419"/>
      <c r="S631" s="1420"/>
      <c r="T631" s="1418" t="s">
        <v>591</v>
      </c>
      <c r="U631" s="1419"/>
      <c r="V631" s="1420"/>
      <c r="W631" s="1434">
        <v>0.03</v>
      </c>
      <c r="X631" s="1435"/>
      <c r="Y631" s="1436"/>
      <c r="Z631" s="1456" t="s">
        <v>457</v>
      </c>
      <c r="AA631" s="1457"/>
      <c r="AB631" s="1458"/>
      <c r="AC631" s="1451">
        <v>5</v>
      </c>
      <c r="AD631" s="1452"/>
      <c r="AE631" s="1453"/>
      <c r="AF631" s="1477">
        <v>0</v>
      </c>
      <c r="AG631" s="1478"/>
      <c r="AH631" s="1478"/>
      <c r="AI631" s="1478"/>
      <c r="AJ631" s="1479"/>
      <c r="AK631" s="1422">
        <v>0</v>
      </c>
      <c r="AL631" s="1423"/>
      <c r="AM631" s="1423"/>
      <c r="AN631" s="1424"/>
      <c r="AO631" s="1439">
        <v>9898877</v>
      </c>
      <c r="AP631" s="1440"/>
      <c r="AQ631" s="1440"/>
      <c r="AR631" s="1440"/>
      <c r="AS631" s="1441"/>
      <c r="AT631" s="1148" t="str">
        <f t="shared" si="1"/>
        <v/>
      </c>
      <c r="AU631" s="3"/>
      <c r="AZ631" s="3"/>
      <c r="BA631" s="3"/>
      <c r="BB631" s="3"/>
      <c r="BC631" s="3"/>
      <c r="BD631" s="3"/>
    </row>
    <row r="632" spans="2:157" ht="12.95" customHeight="1">
      <c r="B632" s="52" t="s">
        <v>584</v>
      </c>
      <c r="C632" s="1425" t="s">
        <v>2771</v>
      </c>
      <c r="D632" s="1426"/>
      <c r="E632" s="1426"/>
      <c r="F632" s="1426"/>
      <c r="G632" s="1426"/>
      <c r="H632" s="1426"/>
      <c r="I632" s="1426"/>
      <c r="J632" s="1426"/>
      <c r="K632" s="1426"/>
      <c r="L632" s="1426"/>
      <c r="M632" s="1455" t="s">
        <v>2107</v>
      </c>
      <c r="N632" s="1455"/>
      <c r="O632" s="1455"/>
      <c r="P632" s="1455"/>
      <c r="Q632" s="1418" t="s">
        <v>591</v>
      </c>
      <c r="R632" s="1419"/>
      <c r="S632" s="1420"/>
      <c r="T632" s="1418" t="s">
        <v>591</v>
      </c>
      <c r="U632" s="1419"/>
      <c r="V632" s="1420"/>
      <c r="W632" s="1434">
        <v>0</v>
      </c>
      <c r="X632" s="1435"/>
      <c r="Y632" s="1436"/>
      <c r="Z632" s="1456" t="s">
        <v>457</v>
      </c>
      <c r="AA632" s="1457"/>
      <c r="AB632" s="1458"/>
      <c r="AC632" s="1451" t="s">
        <v>591</v>
      </c>
      <c r="AD632" s="1452"/>
      <c r="AE632" s="1453"/>
      <c r="AF632" s="1477">
        <v>0</v>
      </c>
      <c r="AG632" s="1478"/>
      <c r="AH632" s="1478"/>
      <c r="AI632" s="1478"/>
      <c r="AJ632" s="1479"/>
      <c r="AK632" s="1422">
        <v>0</v>
      </c>
      <c r="AL632" s="1423"/>
      <c r="AM632" s="1423"/>
      <c r="AN632" s="1424"/>
      <c r="AO632" s="1439">
        <f>3961739-116</f>
        <v>3961623</v>
      </c>
      <c r="AP632" s="1440"/>
      <c r="AQ632" s="1440"/>
      <c r="AR632" s="1440"/>
      <c r="AS632" s="1441"/>
      <c r="AT632" s="1148" t="str">
        <f t="shared" si="1"/>
        <v/>
      </c>
      <c r="AU632" s="3"/>
      <c r="AZ632" s="3"/>
      <c r="BA632" s="3"/>
      <c r="BB632" s="3"/>
      <c r="BC632" s="3"/>
      <c r="BD632" s="3"/>
    </row>
    <row r="633" spans="2:157" ht="12.95" customHeight="1">
      <c r="B633" s="52" t="s">
        <v>455</v>
      </c>
      <c r="C633" s="1425"/>
      <c r="D633" s="1426"/>
      <c r="E633" s="1426"/>
      <c r="F633" s="1426"/>
      <c r="G633" s="1426"/>
      <c r="H633" s="1426"/>
      <c r="I633" s="1426"/>
      <c r="J633" s="1426"/>
      <c r="K633" s="1426"/>
      <c r="L633" s="1426"/>
      <c r="M633" s="1455" t="s">
        <v>1184</v>
      </c>
      <c r="N633" s="1455"/>
      <c r="O633" s="1455"/>
      <c r="P633" s="1455"/>
      <c r="Q633" s="1418"/>
      <c r="R633" s="1419"/>
      <c r="S633" s="1420"/>
      <c r="T633" s="1418"/>
      <c r="U633" s="1419"/>
      <c r="V633" s="1420"/>
      <c r="W633" s="1434"/>
      <c r="X633" s="1435"/>
      <c r="Y633" s="1436"/>
      <c r="Z633" s="1456" t="s">
        <v>1184</v>
      </c>
      <c r="AA633" s="1457"/>
      <c r="AB633" s="1458"/>
      <c r="AC633" s="1451"/>
      <c r="AD633" s="1452"/>
      <c r="AE633" s="1453"/>
      <c r="AF633" s="1477"/>
      <c r="AG633" s="1478"/>
      <c r="AH633" s="1478"/>
      <c r="AI633" s="1478"/>
      <c r="AJ633" s="1479"/>
      <c r="AK633" s="1422"/>
      <c r="AL633" s="1423"/>
      <c r="AM633" s="1423"/>
      <c r="AN633" s="1424"/>
      <c r="AO633" s="1439"/>
      <c r="AP633" s="1440"/>
      <c r="AQ633" s="1440"/>
      <c r="AR633" s="1440"/>
      <c r="AS633" s="1441"/>
      <c r="AT633" s="1148" t="str">
        <f t="shared" si="1"/>
        <v/>
      </c>
      <c r="AU633" s="3"/>
      <c r="AV633" s="3"/>
      <c r="AW633" s="3"/>
      <c r="AX633" s="3"/>
      <c r="AY633" s="3"/>
      <c r="AZ633" s="3"/>
      <c r="BA633" s="3"/>
      <c r="BB633" s="3"/>
      <c r="BC633" s="3"/>
      <c r="BD633" s="3"/>
    </row>
    <row r="634" spans="2:157" ht="12.95" customHeight="1">
      <c r="B634" s="52" t="s">
        <v>456</v>
      </c>
      <c r="C634" s="1426"/>
      <c r="D634" s="1426"/>
      <c r="E634" s="1426"/>
      <c r="F634" s="1426"/>
      <c r="G634" s="1426"/>
      <c r="H634" s="1426"/>
      <c r="I634" s="1426"/>
      <c r="J634" s="1426"/>
      <c r="K634" s="1426"/>
      <c r="L634" s="1426"/>
      <c r="M634" s="1455" t="s">
        <v>1184</v>
      </c>
      <c r="N634" s="1455"/>
      <c r="O634" s="1455"/>
      <c r="P634" s="1455"/>
      <c r="Q634" s="1418"/>
      <c r="R634" s="1419"/>
      <c r="S634" s="1420"/>
      <c r="T634" s="1418"/>
      <c r="U634" s="1419"/>
      <c r="V634" s="1420"/>
      <c r="W634" s="1434"/>
      <c r="X634" s="1435"/>
      <c r="Y634" s="1436"/>
      <c r="Z634" s="1456" t="s">
        <v>1184</v>
      </c>
      <c r="AA634" s="1457"/>
      <c r="AB634" s="1458"/>
      <c r="AC634" s="1451"/>
      <c r="AD634" s="1452"/>
      <c r="AE634" s="1453"/>
      <c r="AF634" s="1477"/>
      <c r="AG634" s="1478"/>
      <c r="AH634" s="1478"/>
      <c r="AI634" s="1478"/>
      <c r="AJ634" s="1479"/>
      <c r="AK634" s="1422"/>
      <c r="AL634" s="1423"/>
      <c r="AM634" s="1423"/>
      <c r="AN634" s="1424"/>
      <c r="AO634" s="1439"/>
      <c r="AP634" s="1440"/>
      <c r="AQ634" s="1440"/>
      <c r="AR634" s="1440"/>
      <c r="AS634" s="1441"/>
      <c r="AT634" s="1148" t="str">
        <f t="shared" si="1"/>
        <v/>
      </c>
      <c r="AU634" s="3"/>
      <c r="AV634" s="3"/>
      <c r="AW634" s="3"/>
      <c r="AX634" s="3"/>
      <c r="AY634" s="3"/>
      <c r="AZ634" s="3"/>
      <c r="BA634" s="3" t="s">
        <v>1184</v>
      </c>
      <c r="BB634" s="3"/>
      <c r="BC634" s="3"/>
      <c r="BD634" s="3"/>
    </row>
    <row r="635" spans="2:157" ht="12.95" customHeight="1">
      <c r="B635" s="52" t="s">
        <v>461</v>
      </c>
      <c r="C635" s="1426"/>
      <c r="D635" s="1426"/>
      <c r="E635" s="1426"/>
      <c r="F635" s="1426"/>
      <c r="G635" s="1426"/>
      <c r="H635" s="1426"/>
      <c r="I635" s="1426"/>
      <c r="J635" s="1426"/>
      <c r="K635" s="1426"/>
      <c r="L635" s="1426"/>
      <c r="M635" s="1455" t="s">
        <v>1184</v>
      </c>
      <c r="N635" s="1455"/>
      <c r="O635" s="1455"/>
      <c r="P635" s="1455"/>
      <c r="Q635" s="1418"/>
      <c r="R635" s="1419"/>
      <c r="S635" s="1420"/>
      <c r="T635" s="1418"/>
      <c r="U635" s="1419"/>
      <c r="V635" s="1420"/>
      <c r="W635" s="1434"/>
      <c r="X635" s="1435"/>
      <c r="Y635" s="1436"/>
      <c r="Z635" s="1456" t="s">
        <v>1184</v>
      </c>
      <c r="AA635" s="1457"/>
      <c r="AB635" s="1458"/>
      <c r="AC635" s="1451"/>
      <c r="AD635" s="1452"/>
      <c r="AE635" s="1453"/>
      <c r="AF635" s="1477"/>
      <c r="AG635" s="1478"/>
      <c r="AH635" s="1478"/>
      <c r="AI635" s="1478"/>
      <c r="AJ635" s="1479"/>
      <c r="AK635" s="1422"/>
      <c r="AL635" s="1423"/>
      <c r="AM635" s="1423"/>
      <c r="AN635" s="1424"/>
      <c r="AO635" s="1439"/>
      <c r="AP635" s="1440"/>
      <c r="AQ635" s="1440"/>
      <c r="AR635" s="1440"/>
      <c r="AS635" s="1441"/>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65">
        <f t="shared" ref="DX635:DX669" si="2">EZ718*(CP718/$CP$753)</f>
        <v>15.952380952380951</v>
      </c>
      <c r="DY635" s="1465"/>
      <c r="DZ635" s="1465"/>
      <c r="EA635" s="1465"/>
      <c r="EB635" s="1465"/>
      <c r="EC635" s="1465" t="e">
        <f t="shared" ref="EC635:EC669" si="3">FE718*(CU718/$CU$753)</f>
        <v>#VALUE!</v>
      </c>
      <c r="ED635" s="1465"/>
      <c r="EE635" s="1465"/>
      <c r="EF635" s="1465"/>
      <c r="EG635" s="1465"/>
      <c r="EH635" s="1465" t="e">
        <f t="shared" ref="EH635:EH669" si="4">FJ718*(CZ718/$CZ$753)</f>
        <v>#VALUE!</v>
      </c>
      <c r="EI635" s="1465"/>
      <c r="EJ635" s="1465"/>
      <c r="EK635" s="1465"/>
      <c r="EL635" s="1465"/>
      <c r="EM635" s="1465" t="e">
        <f t="shared" ref="EM635:EM669" si="5">FO718*(DE718/$DE$753)</f>
        <v>#VALUE!</v>
      </c>
      <c r="EN635" s="1465"/>
      <c r="EO635" s="1465"/>
      <c r="EP635" s="1465"/>
      <c r="EQ635" s="1465"/>
      <c r="ER635" s="1465" t="e">
        <f t="shared" ref="ER635:ER669" si="6">FT718*(DJ718/$DJ$753)</f>
        <v>#VALUE!</v>
      </c>
      <c r="ES635" s="1465"/>
      <c r="ET635" s="1465"/>
      <c r="EU635" s="1465"/>
      <c r="EV635" s="1465"/>
      <c r="EW635" s="1465" t="e">
        <f t="shared" ref="EW635:EW669" si="7">FY718*(DO718/$DO$753)</f>
        <v>#VALUE!</v>
      </c>
      <c r="EX635" s="1465"/>
      <c r="EY635" s="1465"/>
      <c r="EZ635" s="1465"/>
      <c r="FA635" s="1465"/>
    </row>
    <row r="636" spans="2:157" ht="12.95" customHeight="1">
      <c r="B636" s="52" t="s">
        <v>646</v>
      </c>
      <c r="C636" s="1426"/>
      <c r="D636" s="1426"/>
      <c r="E636" s="1426"/>
      <c r="F636" s="1426"/>
      <c r="G636" s="1426"/>
      <c r="H636" s="1426"/>
      <c r="I636" s="1426"/>
      <c r="J636" s="1426"/>
      <c r="K636" s="1426"/>
      <c r="L636" s="1426"/>
      <c r="M636" s="1455" t="s">
        <v>1184</v>
      </c>
      <c r="N636" s="1455"/>
      <c r="O636" s="1455"/>
      <c r="P636" s="1455"/>
      <c r="Q636" s="1418"/>
      <c r="R636" s="1419"/>
      <c r="S636" s="1420"/>
      <c r="T636" s="1418"/>
      <c r="U636" s="1419"/>
      <c r="V636" s="1420"/>
      <c r="W636" s="1434"/>
      <c r="X636" s="1435"/>
      <c r="Y636" s="1436"/>
      <c r="Z636" s="1456" t="s">
        <v>1184</v>
      </c>
      <c r="AA636" s="1457"/>
      <c r="AB636" s="1458"/>
      <c r="AC636" s="1451"/>
      <c r="AD636" s="1452"/>
      <c r="AE636" s="1453"/>
      <c r="AF636" s="1477"/>
      <c r="AG636" s="1478"/>
      <c r="AH636" s="1478"/>
      <c r="AI636" s="1478"/>
      <c r="AJ636" s="1479"/>
      <c r="AK636" s="1422"/>
      <c r="AL636" s="1423"/>
      <c r="AM636" s="1423"/>
      <c r="AN636" s="1424"/>
      <c r="AO636" s="1439"/>
      <c r="AP636" s="1440"/>
      <c r="AQ636" s="1440"/>
      <c r="AR636" s="1440"/>
      <c r="AS636" s="1441"/>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65">
        <f t="shared" si="2"/>
        <v>1680.8888888888887</v>
      </c>
      <c r="DY636" s="1465"/>
      <c r="DZ636" s="1465"/>
      <c r="EA636" s="1465"/>
      <c r="EB636" s="1465"/>
      <c r="EC636" s="1465" t="e">
        <f t="shared" si="3"/>
        <v>#VALUE!</v>
      </c>
      <c r="ED636" s="1465"/>
      <c r="EE636" s="1465"/>
      <c r="EF636" s="1465"/>
      <c r="EG636" s="1465"/>
      <c r="EH636" s="1465" t="e">
        <f t="shared" si="4"/>
        <v>#VALUE!</v>
      </c>
      <c r="EI636" s="1465"/>
      <c r="EJ636" s="1465"/>
      <c r="EK636" s="1465"/>
      <c r="EL636" s="1465"/>
      <c r="EM636" s="1465" t="e">
        <f t="shared" si="5"/>
        <v>#VALUE!</v>
      </c>
      <c r="EN636" s="1465"/>
      <c r="EO636" s="1465"/>
      <c r="EP636" s="1465"/>
      <c r="EQ636" s="1465"/>
      <c r="ER636" s="1465" t="e">
        <f t="shared" si="6"/>
        <v>#VALUE!</v>
      </c>
      <c r="ES636" s="1465"/>
      <c r="ET636" s="1465"/>
      <c r="EU636" s="1465"/>
      <c r="EV636" s="1465"/>
      <c r="EW636" s="1465" t="e">
        <f t="shared" si="7"/>
        <v>#VALUE!</v>
      </c>
      <c r="EX636" s="1465"/>
      <c r="EY636" s="1465"/>
      <c r="EZ636" s="1465"/>
      <c r="FA636" s="1465"/>
    </row>
    <row r="637" spans="2:157" ht="12.95" customHeight="1">
      <c r="B637" s="52" t="s">
        <v>362</v>
      </c>
      <c r="C637" s="1426"/>
      <c r="D637" s="1426"/>
      <c r="E637" s="1426"/>
      <c r="F637" s="1426"/>
      <c r="G637" s="1426"/>
      <c r="H637" s="1426"/>
      <c r="I637" s="1426"/>
      <c r="J637" s="1426"/>
      <c r="K637" s="1426"/>
      <c r="L637" s="1426"/>
      <c r="M637" s="1455" t="s">
        <v>1184</v>
      </c>
      <c r="N637" s="1455"/>
      <c r="O637" s="1455"/>
      <c r="P637" s="1455"/>
      <c r="Q637" s="1418"/>
      <c r="R637" s="1419"/>
      <c r="S637" s="1420"/>
      <c r="T637" s="1418"/>
      <c r="U637" s="1419"/>
      <c r="V637" s="1420"/>
      <c r="W637" s="1434"/>
      <c r="X637" s="1435"/>
      <c r="Y637" s="1436"/>
      <c r="Z637" s="1456" t="s">
        <v>1184</v>
      </c>
      <c r="AA637" s="1457"/>
      <c r="AB637" s="1458"/>
      <c r="AC637" s="1451"/>
      <c r="AD637" s="1452"/>
      <c r="AE637" s="1453"/>
      <c r="AF637" s="1477"/>
      <c r="AG637" s="1478"/>
      <c r="AH637" s="1478"/>
      <c r="AI637" s="1478"/>
      <c r="AJ637" s="1479"/>
      <c r="AK637" s="1422"/>
      <c r="AL637" s="1423"/>
      <c r="AM637" s="1423"/>
      <c r="AN637" s="1424"/>
      <c r="AO637" s="1439"/>
      <c r="AP637" s="1440"/>
      <c r="AQ637" s="1440"/>
      <c r="AR637" s="1440"/>
      <c r="AS637" s="1441"/>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65" t="e">
        <f t="shared" si="2"/>
        <v>#VALUE!</v>
      </c>
      <c r="DY637" s="1465"/>
      <c r="DZ637" s="1465"/>
      <c r="EA637" s="1465"/>
      <c r="EB637" s="1465"/>
      <c r="EC637" s="1465" t="e">
        <f t="shared" si="3"/>
        <v>#VALUE!</v>
      </c>
      <c r="ED637" s="1465"/>
      <c r="EE637" s="1465"/>
      <c r="EF637" s="1465"/>
      <c r="EG637" s="1465"/>
      <c r="EH637" s="1465" t="e">
        <f t="shared" si="4"/>
        <v>#VALUE!</v>
      </c>
      <c r="EI637" s="1465"/>
      <c r="EJ637" s="1465"/>
      <c r="EK637" s="1465"/>
      <c r="EL637" s="1465"/>
      <c r="EM637" s="1465" t="e">
        <f t="shared" si="5"/>
        <v>#VALUE!</v>
      </c>
      <c r="EN637" s="1465"/>
      <c r="EO637" s="1465"/>
      <c r="EP637" s="1465"/>
      <c r="EQ637" s="1465"/>
      <c r="ER637" s="1465" t="e">
        <f t="shared" si="6"/>
        <v>#VALUE!</v>
      </c>
      <c r="ES637" s="1465"/>
      <c r="ET637" s="1465"/>
      <c r="EU637" s="1465"/>
      <c r="EV637" s="1465"/>
      <c r="EW637" s="1465" t="e">
        <f t="shared" si="7"/>
        <v>#VALUE!</v>
      </c>
      <c r="EX637" s="1465"/>
      <c r="EY637" s="1465"/>
      <c r="EZ637" s="1465"/>
      <c r="FA637" s="1465"/>
    </row>
    <row r="638" spans="2:157" ht="12.95" customHeight="1">
      <c r="B638" s="52" t="s">
        <v>363</v>
      </c>
      <c r="C638" s="1426"/>
      <c r="D638" s="1426"/>
      <c r="E638" s="1426"/>
      <c r="F638" s="1426"/>
      <c r="G638" s="1426"/>
      <c r="H638" s="1426"/>
      <c r="I638" s="1426"/>
      <c r="J638" s="1426"/>
      <c r="K638" s="1426"/>
      <c r="L638" s="1426"/>
      <c r="M638" s="1455" t="s">
        <v>1184</v>
      </c>
      <c r="N638" s="1455"/>
      <c r="O638" s="1455"/>
      <c r="P638" s="1455"/>
      <c r="Q638" s="1418"/>
      <c r="R638" s="1419"/>
      <c r="S638" s="1420"/>
      <c r="T638" s="1418"/>
      <c r="U638" s="1419"/>
      <c r="V638" s="1420"/>
      <c r="W638" s="1434"/>
      <c r="X638" s="1435"/>
      <c r="Y638" s="1436"/>
      <c r="Z638" s="1456" t="s">
        <v>1184</v>
      </c>
      <c r="AA638" s="1457"/>
      <c r="AB638" s="1458"/>
      <c r="AC638" s="1451"/>
      <c r="AD638" s="1452"/>
      <c r="AE638" s="1453"/>
      <c r="AF638" s="1477"/>
      <c r="AG638" s="1478"/>
      <c r="AH638" s="1478"/>
      <c r="AI638" s="1478"/>
      <c r="AJ638" s="1479"/>
      <c r="AK638" s="1422"/>
      <c r="AL638" s="1423"/>
      <c r="AM638" s="1423"/>
      <c r="AN638" s="1424"/>
      <c r="AO638" s="1439"/>
      <c r="AP638" s="1440"/>
      <c r="AQ638" s="1440"/>
      <c r="AR638" s="1440"/>
      <c r="AS638" s="1441"/>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65" t="e">
        <f t="shared" si="2"/>
        <v>#VALUE!</v>
      </c>
      <c r="DY638" s="1465"/>
      <c r="DZ638" s="1465"/>
      <c r="EA638" s="1465"/>
      <c r="EB638" s="1465"/>
      <c r="EC638" s="1465">
        <f t="shared" si="3"/>
        <v>1071</v>
      </c>
      <c r="ED638" s="1465"/>
      <c r="EE638" s="1465"/>
      <c r="EF638" s="1465"/>
      <c r="EG638" s="1465"/>
      <c r="EH638" s="1465" t="e">
        <f t="shared" si="4"/>
        <v>#VALUE!</v>
      </c>
      <c r="EI638" s="1465"/>
      <c r="EJ638" s="1465"/>
      <c r="EK638" s="1465"/>
      <c r="EL638" s="1465"/>
      <c r="EM638" s="1465" t="e">
        <f t="shared" si="5"/>
        <v>#VALUE!</v>
      </c>
      <c r="EN638" s="1465"/>
      <c r="EO638" s="1465"/>
      <c r="EP638" s="1465"/>
      <c r="EQ638" s="1465"/>
      <c r="ER638" s="1465" t="e">
        <f t="shared" si="6"/>
        <v>#VALUE!</v>
      </c>
      <c r="ES638" s="1465"/>
      <c r="ET638" s="1465"/>
      <c r="EU638" s="1465"/>
      <c r="EV638" s="1465"/>
      <c r="EW638" s="1465" t="e">
        <f t="shared" si="7"/>
        <v>#VALUE!</v>
      </c>
      <c r="EX638" s="1465"/>
      <c r="EY638" s="1465"/>
      <c r="EZ638" s="1465"/>
      <c r="FA638" s="1465"/>
    </row>
    <row r="639" spans="2:157" ht="12.95" customHeight="1">
      <c r="B639" s="1650" t="s">
        <v>128</v>
      </c>
      <c r="C639" s="1651"/>
      <c r="D639" s="1651"/>
      <c r="E639" s="1651"/>
      <c r="F639" s="1651"/>
      <c r="G639" s="1651"/>
      <c r="H639" s="1651"/>
      <c r="I639" s="1651"/>
      <c r="J639" s="1651"/>
      <c r="K639" s="1651"/>
      <c r="L639" s="1651"/>
      <c r="M639" s="1651"/>
      <c r="N639" s="1651"/>
      <c r="O639" s="1651"/>
      <c r="P639" s="1651"/>
      <c r="Q639" s="1651"/>
      <c r="R639" s="1651"/>
      <c r="S639" s="1651"/>
      <c r="T639" s="1651"/>
      <c r="U639" s="1651"/>
      <c r="V639" s="1651"/>
      <c r="W639" s="1651"/>
      <c r="X639" s="1651"/>
      <c r="Y639" s="1651"/>
      <c r="Z639" s="1651"/>
      <c r="AA639" s="1651"/>
      <c r="AB639" s="1651"/>
      <c r="AC639" s="1651"/>
      <c r="AD639" s="1651"/>
      <c r="AE639" s="1651"/>
      <c r="AF639" s="1651"/>
      <c r="AG639" s="1651"/>
      <c r="AH639" s="1651"/>
      <c r="AI639" s="1651"/>
      <c r="AJ639" s="1651"/>
      <c r="AK639" s="1651"/>
      <c r="AL639" s="1651"/>
      <c r="AM639" s="1651"/>
      <c r="AN639" s="1652"/>
      <c r="AO639" s="1624">
        <f>SUM(AO627:AR638)</f>
        <v>111820203</v>
      </c>
      <c r="AP639" s="1622"/>
      <c r="AQ639" s="1622"/>
      <c r="AR639" s="1622"/>
      <c r="AS639" s="1623"/>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65" t="e">
        <f t="shared" si="2"/>
        <v>#VALUE!</v>
      </c>
      <c r="DY639" s="1465"/>
      <c r="DZ639" s="1465"/>
      <c r="EA639" s="1465"/>
      <c r="EB639" s="1465"/>
      <c r="EC639" s="1465" t="e">
        <f t="shared" si="3"/>
        <v>#VALUE!</v>
      </c>
      <c r="ED639" s="1465"/>
      <c r="EE639" s="1465"/>
      <c r="EF639" s="1465"/>
      <c r="EG639" s="1465"/>
      <c r="EH639" s="1465" t="e">
        <f t="shared" si="4"/>
        <v>#VALUE!</v>
      </c>
      <c r="EI639" s="1465"/>
      <c r="EJ639" s="1465"/>
      <c r="EK639" s="1465"/>
      <c r="EL639" s="1465"/>
      <c r="EM639" s="1465" t="e">
        <f t="shared" si="5"/>
        <v>#VALUE!</v>
      </c>
      <c r="EN639" s="1465"/>
      <c r="EO639" s="1465"/>
      <c r="EP639" s="1465"/>
      <c r="EQ639" s="1465"/>
      <c r="ER639" s="1465" t="e">
        <f t="shared" si="6"/>
        <v>#VALUE!</v>
      </c>
      <c r="ES639" s="1465"/>
      <c r="ET639" s="1465"/>
      <c r="EU639" s="1465"/>
      <c r="EV639" s="1465"/>
      <c r="EW639" s="1465" t="e">
        <f t="shared" si="7"/>
        <v>#VALUE!</v>
      </c>
      <c r="EX639" s="1465"/>
      <c r="EY639" s="1465"/>
      <c r="EZ639" s="1465"/>
      <c r="FA639" s="1465"/>
    </row>
    <row r="640" spans="2:157" ht="12.95" customHeight="1">
      <c r="B640" s="1650" t="s">
        <v>267</v>
      </c>
      <c r="C640" s="1651"/>
      <c r="D640" s="1651"/>
      <c r="E640" s="1651"/>
      <c r="F640" s="1651"/>
      <c r="G640" s="1651"/>
      <c r="H640" s="1651"/>
      <c r="I640" s="1651"/>
      <c r="J640" s="1651"/>
      <c r="K640" s="1651"/>
      <c r="L640" s="1651"/>
      <c r="M640" s="1651"/>
      <c r="N640" s="1651"/>
      <c r="O640" s="1651"/>
      <c r="P640" s="1651"/>
      <c r="Q640" s="1651"/>
      <c r="R640" s="1651"/>
      <c r="S640" s="1651"/>
      <c r="T640" s="1651"/>
      <c r="U640" s="1651"/>
      <c r="V640" s="1651"/>
      <c r="W640" s="1651"/>
      <c r="X640" s="1651"/>
      <c r="Y640" s="1651"/>
      <c r="Z640" s="1651"/>
      <c r="AA640" s="1651"/>
      <c r="AB640" s="1651"/>
      <c r="AC640" s="1651"/>
      <c r="AD640" s="1651"/>
      <c r="AE640" s="1651"/>
      <c r="AF640" s="1651"/>
      <c r="AG640" s="1651"/>
      <c r="AH640" s="1651"/>
      <c r="AI640" s="1651"/>
      <c r="AJ640" s="1651"/>
      <c r="AK640" s="1651"/>
      <c r="AL640" s="1651"/>
      <c r="AM640" s="1651"/>
      <c r="AN640" s="1652"/>
      <c r="AO640" s="1439">
        <v>50772671</v>
      </c>
      <c r="AP640" s="1440"/>
      <c r="AQ640" s="1440"/>
      <c r="AR640" s="1440"/>
      <c r="AS640" s="1441"/>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65" t="e">
        <f t="shared" si="2"/>
        <v>#VALUE!</v>
      </c>
      <c r="DY640" s="1465"/>
      <c r="DZ640" s="1465"/>
      <c r="EA640" s="1465"/>
      <c r="EB640" s="1465"/>
      <c r="EC640" s="1465" t="e">
        <f t="shared" si="3"/>
        <v>#VALUE!</v>
      </c>
      <c r="ED640" s="1465"/>
      <c r="EE640" s="1465"/>
      <c r="EF640" s="1465"/>
      <c r="EG640" s="1465"/>
      <c r="EH640" s="1465">
        <f t="shared" si="4"/>
        <v>337.05660377358492</v>
      </c>
      <c r="EI640" s="1465"/>
      <c r="EJ640" s="1465"/>
      <c r="EK640" s="1465"/>
      <c r="EL640" s="1465"/>
      <c r="EM640" s="1465" t="e">
        <f t="shared" si="5"/>
        <v>#VALUE!</v>
      </c>
      <c r="EN640" s="1465"/>
      <c r="EO640" s="1465"/>
      <c r="EP640" s="1465"/>
      <c r="EQ640" s="1465"/>
      <c r="ER640" s="1465" t="e">
        <f t="shared" si="6"/>
        <v>#VALUE!</v>
      </c>
      <c r="ES640" s="1465"/>
      <c r="ET640" s="1465"/>
      <c r="EU640" s="1465"/>
      <c r="EV640" s="1465"/>
      <c r="EW640" s="1465" t="e">
        <f t="shared" si="7"/>
        <v>#VALUE!</v>
      </c>
      <c r="EX640" s="1465"/>
      <c r="EY640" s="1465"/>
      <c r="EZ640" s="1465"/>
      <c r="FA640" s="1465"/>
    </row>
    <row r="641" spans="1:157" ht="12.95" customHeight="1">
      <c r="B641" s="1481" t="s">
        <v>268</v>
      </c>
      <c r="C641" s="1482"/>
      <c r="D641" s="1482"/>
      <c r="E641" s="1482"/>
      <c r="F641" s="1482"/>
      <c r="G641" s="1482"/>
      <c r="H641" s="1482"/>
      <c r="I641" s="1482"/>
      <c r="J641" s="1482"/>
      <c r="K641" s="1482"/>
      <c r="L641" s="1482"/>
      <c r="M641" s="1482"/>
      <c r="N641" s="1482"/>
      <c r="O641" s="1482"/>
      <c r="P641" s="1482"/>
      <c r="Q641" s="1482"/>
      <c r="R641" s="1482"/>
      <c r="S641" s="1482"/>
      <c r="T641" s="1482"/>
      <c r="U641" s="1482"/>
      <c r="V641" s="1482"/>
      <c r="W641" s="1482"/>
      <c r="X641" s="1482"/>
      <c r="Y641" s="1482"/>
      <c r="Z641" s="1482"/>
      <c r="AA641" s="1482"/>
      <c r="AB641" s="1482"/>
      <c r="AC641" s="1482"/>
      <c r="AD641" s="1482"/>
      <c r="AE641" s="1482"/>
      <c r="AF641" s="1482"/>
      <c r="AG641" s="1482"/>
      <c r="AH641" s="1482"/>
      <c r="AI641" s="1482"/>
      <c r="AJ641" s="1482"/>
      <c r="AK641" s="1482"/>
      <c r="AL641" s="1482"/>
      <c r="AM641" s="1482"/>
      <c r="AN641" s="1483"/>
      <c r="AO641" s="1624">
        <f>AO639+AO640</f>
        <v>162592874</v>
      </c>
      <c r="AP641" s="1622"/>
      <c r="AQ641" s="1622"/>
      <c r="AR641" s="1622"/>
      <c r="AS641" s="1623"/>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65" t="e">
        <f t="shared" si="2"/>
        <v>#VALUE!</v>
      </c>
      <c r="DY641" s="1465"/>
      <c r="DZ641" s="1465"/>
      <c r="EA641" s="1465"/>
      <c r="EB641" s="1465"/>
      <c r="EC641" s="1465" t="e">
        <f t="shared" si="3"/>
        <v>#VALUE!</v>
      </c>
      <c r="ED641" s="1465"/>
      <c r="EE641" s="1465"/>
      <c r="EF641" s="1465"/>
      <c r="EG641" s="1465"/>
      <c r="EH641" s="1465">
        <f t="shared" si="4"/>
        <v>41.150943396226417</v>
      </c>
      <c r="EI641" s="1465"/>
      <c r="EJ641" s="1465"/>
      <c r="EK641" s="1465"/>
      <c r="EL641" s="1465"/>
      <c r="EM641" s="1465" t="e">
        <f t="shared" si="5"/>
        <v>#VALUE!</v>
      </c>
      <c r="EN641" s="1465"/>
      <c r="EO641" s="1465"/>
      <c r="EP641" s="1465"/>
      <c r="EQ641" s="1465"/>
      <c r="ER641" s="1465" t="e">
        <f t="shared" si="6"/>
        <v>#VALUE!</v>
      </c>
      <c r="ES641" s="1465"/>
      <c r="ET641" s="1465"/>
      <c r="EU641" s="1465"/>
      <c r="EV641" s="1465"/>
      <c r="EW641" s="1465" t="e">
        <f t="shared" si="7"/>
        <v>#VALUE!</v>
      </c>
      <c r="EX641" s="1465"/>
      <c r="EY641" s="1465"/>
      <c r="EZ641" s="1465"/>
      <c r="FA641" s="1465"/>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65" t="e">
        <f t="shared" si="2"/>
        <v>#VALUE!</v>
      </c>
      <c r="DY642" s="1465"/>
      <c r="DZ642" s="1465"/>
      <c r="EA642" s="1465"/>
      <c r="EB642" s="1465"/>
      <c r="EC642" s="1465" t="e">
        <f t="shared" si="3"/>
        <v>#VALUE!</v>
      </c>
      <c r="ED642" s="1465"/>
      <c r="EE642" s="1465"/>
      <c r="EF642" s="1465"/>
      <c r="EG642" s="1465"/>
      <c r="EH642" s="1465">
        <f t="shared" si="4"/>
        <v>1887.8113207547169</v>
      </c>
      <c r="EI642" s="1465"/>
      <c r="EJ642" s="1465"/>
      <c r="EK642" s="1465"/>
      <c r="EL642" s="1465"/>
      <c r="EM642" s="1465" t="e">
        <f t="shared" si="5"/>
        <v>#VALUE!</v>
      </c>
      <c r="EN642" s="1465"/>
      <c r="EO642" s="1465"/>
      <c r="EP642" s="1465"/>
      <c r="EQ642" s="1465"/>
      <c r="ER642" s="1465" t="e">
        <f t="shared" si="6"/>
        <v>#VALUE!</v>
      </c>
      <c r="ES642" s="1465"/>
      <c r="ET642" s="1465"/>
      <c r="EU642" s="1465"/>
      <c r="EV642" s="1465"/>
      <c r="EW642" s="1465" t="e">
        <f t="shared" si="7"/>
        <v>#VALUE!</v>
      </c>
      <c r="EX642" s="1465"/>
      <c r="EY642" s="1465"/>
      <c r="EZ642" s="1465"/>
      <c r="FA642" s="1465"/>
    </row>
    <row r="643" spans="1:157" ht="12.95" customHeight="1">
      <c r="A643" s="55" t="s">
        <v>112</v>
      </c>
      <c r="B643" t="s">
        <v>463</v>
      </c>
      <c r="G643" s="1421" t="str">
        <f>C627</f>
        <v>Citibank</v>
      </c>
      <c r="H643" s="1421"/>
      <c r="I643" s="1421"/>
      <c r="J643" s="1421"/>
      <c r="K643" s="1421"/>
      <c r="L643" s="1421"/>
      <c r="M643" s="1421"/>
      <c r="N643" s="1421"/>
      <c r="O643" s="1421"/>
      <c r="P643" s="1421"/>
      <c r="Q643" s="1421"/>
      <c r="R643" s="1421"/>
      <c r="S643" s="8"/>
      <c r="T643" s="55" t="s">
        <v>113</v>
      </c>
      <c r="U643" t="s">
        <v>463</v>
      </c>
      <c r="Z643" s="1421" t="str">
        <f>C628</f>
        <v>HCD - AHSC</v>
      </c>
      <c r="AA643" s="1421"/>
      <c r="AB643" s="1421"/>
      <c r="AC643" s="1421"/>
      <c r="AD643" s="1421"/>
      <c r="AE643" s="1421"/>
      <c r="AF643" s="1421"/>
      <c r="AG643" s="1421"/>
      <c r="AH643" s="1421"/>
      <c r="AI643" s="1421"/>
      <c r="AJ643" s="1421"/>
      <c r="AK643" s="142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65" t="e">
        <f t="shared" si="2"/>
        <v>#VALUE!</v>
      </c>
      <c r="DY643" s="1465"/>
      <c r="DZ643" s="1465"/>
      <c r="EA643" s="1465"/>
      <c r="EB643" s="1465"/>
      <c r="EC643" s="1465" t="e">
        <f t="shared" si="3"/>
        <v>#VALUE!</v>
      </c>
      <c r="ED643" s="1465"/>
      <c r="EE643" s="1465"/>
      <c r="EF643" s="1465"/>
      <c r="EG643" s="1465"/>
      <c r="EH643" s="1465" t="e">
        <f t="shared" si="4"/>
        <v>#VALUE!</v>
      </c>
      <c r="EI643" s="1465"/>
      <c r="EJ643" s="1465"/>
      <c r="EK643" s="1465"/>
      <c r="EL643" s="1465"/>
      <c r="EM643" s="1465" t="e">
        <f t="shared" si="5"/>
        <v>#VALUE!</v>
      </c>
      <c r="EN643" s="1465"/>
      <c r="EO643" s="1465"/>
      <c r="EP643" s="1465"/>
      <c r="EQ643" s="1465"/>
      <c r="ER643" s="1465" t="e">
        <f t="shared" si="6"/>
        <v>#VALUE!</v>
      </c>
      <c r="ES643" s="1465"/>
      <c r="ET643" s="1465"/>
      <c r="EU643" s="1465"/>
      <c r="EV643" s="1465"/>
      <c r="EW643" s="1465" t="e">
        <f t="shared" si="7"/>
        <v>#VALUE!</v>
      </c>
      <c r="EX643" s="1465"/>
      <c r="EY643" s="1465"/>
      <c r="EZ643" s="1465"/>
      <c r="FA643" s="1465"/>
    </row>
    <row r="644" spans="1:157" ht="12.95" customHeight="1">
      <c r="A644" s="22"/>
      <c r="B644" t="s">
        <v>85</v>
      </c>
      <c r="G644" s="1364" t="s">
        <v>2754</v>
      </c>
      <c r="H644" s="1364"/>
      <c r="I644" s="1364"/>
      <c r="J644" s="1364"/>
      <c r="K644" s="1364"/>
      <c r="L644" s="1364"/>
      <c r="M644" s="1364"/>
      <c r="N644" s="1364"/>
      <c r="O644" s="1364"/>
      <c r="P644" s="1364"/>
      <c r="Q644" s="1364"/>
      <c r="R644" s="1364"/>
      <c r="S644" s="8"/>
      <c r="T644" s="22"/>
      <c r="U644" t="s">
        <v>85</v>
      </c>
      <c r="Z644" s="1409" t="s">
        <v>2751</v>
      </c>
      <c r="AA644" s="1364"/>
      <c r="AB644" s="1364"/>
      <c r="AC644" s="1364"/>
      <c r="AD644" s="1364"/>
      <c r="AE644" s="1364"/>
      <c r="AF644" s="1364"/>
      <c r="AG644" s="1364"/>
      <c r="AH644" s="1364"/>
      <c r="AI644" s="1364"/>
      <c r="AJ644" s="1364"/>
      <c r="AK644" s="1364"/>
      <c r="AV644" s="3"/>
      <c r="AW644" s="3"/>
      <c r="AX644" s="3"/>
      <c r="AY644" s="3"/>
      <c r="AZ644" s="3"/>
      <c r="BA644" s="3"/>
      <c r="BB644" s="3"/>
      <c r="BC644" s="3"/>
      <c r="BD644" s="3"/>
      <c r="BE644" s="3"/>
      <c r="BF644" s="3"/>
      <c r="BG644" s="3"/>
      <c r="BH644" s="3"/>
      <c r="BI644" s="3"/>
      <c r="BJ644" s="3"/>
      <c r="BK644" s="3"/>
      <c r="BL644" s="3"/>
      <c r="BM644" s="3"/>
      <c r="DX644" s="1465" t="e">
        <f t="shared" si="2"/>
        <v>#VALUE!</v>
      </c>
      <c r="DY644" s="1465"/>
      <c r="DZ644" s="1465"/>
      <c r="EA644" s="1465"/>
      <c r="EB644" s="1465"/>
      <c r="EC644" s="1465" t="e">
        <f t="shared" si="3"/>
        <v>#VALUE!</v>
      </c>
      <c r="ED644" s="1465"/>
      <c r="EE644" s="1465"/>
      <c r="EF644" s="1465"/>
      <c r="EG644" s="1465"/>
      <c r="EH644" s="1465" t="e">
        <f t="shared" si="4"/>
        <v>#VALUE!</v>
      </c>
      <c r="EI644" s="1465"/>
      <c r="EJ644" s="1465"/>
      <c r="EK644" s="1465"/>
      <c r="EL644" s="1465"/>
      <c r="EM644" s="1465">
        <f t="shared" si="5"/>
        <v>281.53846153846155</v>
      </c>
      <c r="EN644" s="1465"/>
      <c r="EO644" s="1465"/>
      <c r="EP644" s="1465"/>
      <c r="EQ644" s="1465"/>
      <c r="ER644" s="1465" t="e">
        <f t="shared" si="6"/>
        <v>#VALUE!</v>
      </c>
      <c r="ES644" s="1465"/>
      <c r="ET644" s="1465"/>
      <c r="EU644" s="1465"/>
      <c r="EV644" s="1465"/>
      <c r="EW644" s="1465" t="e">
        <f t="shared" si="7"/>
        <v>#VALUE!</v>
      </c>
      <c r="EX644" s="1465"/>
      <c r="EY644" s="1465"/>
      <c r="EZ644" s="1465"/>
      <c r="FA644" s="1465"/>
    </row>
    <row r="645" spans="1:157" ht="12.95" customHeight="1">
      <c r="A645" s="22"/>
      <c r="B645" t="s">
        <v>580</v>
      </c>
      <c r="G645" s="1364" t="s">
        <v>2755</v>
      </c>
      <c r="H645" s="1364"/>
      <c r="I645" s="1364"/>
      <c r="J645" s="1364"/>
      <c r="K645" s="1364"/>
      <c r="L645" s="1364"/>
      <c r="M645" s="1364"/>
      <c r="N645" s="1364"/>
      <c r="O645" s="1364"/>
      <c r="P645" s="1364"/>
      <c r="Q645" s="1364"/>
      <c r="R645" s="1364"/>
      <c r="T645" s="22"/>
      <c r="U645" t="s">
        <v>580</v>
      </c>
      <c r="Z645" s="1472" t="s">
        <v>2752</v>
      </c>
      <c r="AA645" s="1444"/>
      <c r="AB645" s="1444"/>
      <c r="AC645" s="1444"/>
      <c r="AD645" s="1444"/>
      <c r="AE645" s="1444"/>
      <c r="AF645" s="1444"/>
      <c r="AG645" s="1444"/>
      <c r="AH645" s="1444"/>
      <c r="AI645" s="1444"/>
      <c r="AJ645" s="1444"/>
      <c r="AK645" s="1444"/>
      <c r="AV645" s="3"/>
      <c r="AW645" s="3"/>
      <c r="AX645" s="3"/>
      <c r="AY645" s="3"/>
      <c r="AZ645" s="3"/>
      <c r="BA645" s="3"/>
      <c r="BB645" s="3"/>
      <c r="BC645" s="3"/>
      <c r="BD645" s="3"/>
      <c r="BE645" s="3"/>
      <c r="BF645" s="3"/>
      <c r="BG645" s="3"/>
      <c r="BH645" s="3"/>
      <c r="BI645" s="3"/>
      <c r="BJ645" s="3"/>
      <c r="BK645" s="3"/>
      <c r="BL645" s="3"/>
      <c r="BM645" s="3"/>
      <c r="DX645" s="1465" t="e">
        <f t="shared" si="2"/>
        <v>#VALUE!</v>
      </c>
      <c r="DY645" s="1465"/>
      <c r="DZ645" s="1465"/>
      <c r="EA645" s="1465"/>
      <c r="EB645" s="1465"/>
      <c r="EC645" s="1465" t="e">
        <f t="shared" si="3"/>
        <v>#VALUE!</v>
      </c>
      <c r="ED645" s="1465"/>
      <c r="EE645" s="1465"/>
      <c r="EF645" s="1465"/>
      <c r="EG645" s="1465"/>
      <c r="EH645" s="1465" t="e">
        <f t="shared" si="4"/>
        <v>#VALUE!</v>
      </c>
      <c r="EI645" s="1465"/>
      <c r="EJ645" s="1465"/>
      <c r="EK645" s="1465"/>
      <c r="EL645" s="1465"/>
      <c r="EM645" s="1465">
        <f t="shared" si="5"/>
        <v>1398.6923076923076</v>
      </c>
      <c r="EN645" s="1465"/>
      <c r="EO645" s="1465"/>
      <c r="EP645" s="1465"/>
      <c r="EQ645" s="1465"/>
      <c r="ER645" s="1465" t="e">
        <f t="shared" si="6"/>
        <v>#VALUE!</v>
      </c>
      <c r="ES645" s="1465"/>
      <c r="ET645" s="1465"/>
      <c r="EU645" s="1465"/>
      <c r="EV645" s="1465"/>
      <c r="EW645" s="1465" t="e">
        <f t="shared" si="7"/>
        <v>#VALUE!</v>
      </c>
      <c r="EX645" s="1465"/>
      <c r="EY645" s="1465"/>
      <c r="EZ645" s="1465"/>
      <c r="FA645" s="1465"/>
    </row>
    <row r="646" spans="1:157" ht="12.95" customHeight="1">
      <c r="A646" s="22"/>
      <c r="B646" t="s">
        <v>17</v>
      </c>
      <c r="G646" s="1364" t="s">
        <v>2756</v>
      </c>
      <c r="H646" s="1364"/>
      <c r="I646" s="1364"/>
      <c r="J646" s="1364"/>
      <c r="K646" s="1364"/>
      <c r="L646" s="1364"/>
      <c r="M646" s="1364"/>
      <c r="N646" s="1364"/>
      <c r="O646" s="1364"/>
      <c r="P646" s="1364"/>
      <c r="Q646" s="1364"/>
      <c r="R646" s="1364"/>
      <c r="S646" s="8"/>
      <c r="T646" s="22"/>
      <c r="U646" t="s">
        <v>17</v>
      </c>
      <c r="Z646" s="1472" t="s">
        <v>2749</v>
      </c>
      <c r="AA646" s="1444"/>
      <c r="AB646" s="1444"/>
      <c r="AC646" s="1444"/>
      <c r="AD646" s="1444"/>
      <c r="AE646" s="1444"/>
      <c r="AF646" s="1444"/>
      <c r="AG646" s="1444"/>
      <c r="AH646" s="1444"/>
      <c r="AI646" s="1444"/>
      <c r="AJ646" s="1444"/>
      <c r="AK646" s="1444"/>
      <c r="AZ646" s="3"/>
      <c r="BA646" s="3"/>
      <c r="BB646" s="3"/>
      <c r="BC646" s="3"/>
      <c r="BD646" s="3"/>
      <c r="BE646" s="3"/>
      <c r="BF646" s="3"/>
      <c r="BG646" s="3"/>
      <c r="BH646" s="3"/>
      <c r="BI646" s="3"/>
      <c r="BJ646" s="3"/>
      <c r="BK646" s="3"/>
      <c r="BL646" s="3"/>
      <c r="BM646" s="3"/>
      <c r="DX646" s="1465" t="e">
        <f t="shared" si="2"/>
        <v>#VALUE!</v>
      </c>
      <c r="DY646" s="1465"/>
      <c r="DZ646" s="1465"/>
      <c r="EA646" s="1465"/>
      <c r="EB646" s="1465"/>
      <c r="EC646" s="1465" t="e">
        <f t="shared" si="3"/>
        <v>#VALUE!</v>
      </c>
      <c r="ED646" s="1465"/>
      <c r="EE646" s="1465"/>
      <c r="EF646" s="1465"/>
      <c r="EG646" s="1465"/>
      <c r="EH646" s="1465" t="e">
        <f t="shared" si="4"/>
        <v>#VALUE!</v>
      </c>
      <c r="EI646" s="1465"/>
      <c r="EJ646" s="1465"/>
      <c r="EK646" s="1465"/>
      <c r="EL646" s="1465"/>
      <c r="EM646" s="1465">
        <f t="shared" si="5"/>
        <v>757.75</v>
      </c>
      <c r="EN646" s="1465"/>
      <c r="EO646" s="1465"/>
      <c r="EP646" s="1465"/>
      <c r="EQ646" s="1465"/>
      <c r="ER646" s="1465" t="e">
        <f t="shared" si="6"/>
        <v>#VALUE!</v>
      </c>
      <c r="ES646" s="1465"/>
      <c r="ET646" s="1465"/>
      <c r="EU646" s="1465"/>
      <c r="EV646" s="1465"/>
      <c r="EW646" s="1465" t="e">
        <f t="shared" si="7"/>
        <v>#VALUE!</v>
      </c>
      <c r="EX646" s="1465"/>
      <c r="EY646" s="1465"/>
      <c r="EZ646" s="1465"/>
      <c r="FA646" s="1465"/>
    </row>
    <row r="647" spans="1:157" ht="12.95" customHeight="1">
      <c r="A647" s="22"/>
      <c r="B647" t="s">
        <v>316</v>
      </c>
      <c r="G647" s="1443" t="s">
        <v>2757</v>
      </c>
      <c r="H647" s="1443"/>
      <c r="I647" s="1443"/>
      <c r="J647" s="1443"/>
      <c r="K647" s="1443"/>
      <c r="L647" s="1443"/>
      <c r="O647" s="33" t="s">
        <v>206</v>
      </c>
      <c r="P647" s="1472" t="s">
        <v>591</v>
      </c>
      <c r="Q647" s="1433"/>
      <c r="R647" s="1433"/>
      <c r="S647" s="10"/>
      <c r="T647" s="22"/>
      <c r="U647" t="s">
        <v>316</v>
      </c>
      <c r="Z647" s="1442" t="s">
        <v>2750</v>
      </c>
      <c r="AA647" s="1443"/>
      <c r="AB647" s="1443"/>
      <c r="AC647" s="1443"/>
      <c r="AD647" s="1443"/>
      <c r="AE647" s="1443"/>
      <c r="AH647" s="33" t="s">
        <v>206</v>
      </c>
      <c r="AI647" s="1472" t="s">
        <v>591</v>
      </c>
      <c r="AJ647" s="1433"/>
      <c r="AK647" s="1433"/>
      <c r="AZ647" s="34"/>
      <c r="BA647" s="34"/>
      <c r="BB647" s="34"/>
      <c r="BC647" s="34"/>
      <c r="BD647" s="34"/>
      <c r="BE647" s="34"/>
      <c r="BF647" s="34"/>
      <c r="BG647" s="34"/>
      <c r="BH647" s="34"/>
      <c r="BI647" s="34"/>
      <c r="BJ647" s="34"/>
      <c r="BK647" s="34"/>
      <c r="BL647" s="34"/>
      <c r="BM647" s="34"/>
      <c r="DX647" s="1465" t="e">
        <f t="shared" si="2"/>
        <v>#VALUE!</v>
      </c>
      <c r="DY647" s="1465"/>
      <c r="DZ647" s="1465"/>
      <c r="EA647" s="1465"/>
      <c r="EB647" s="1465"/>
      <c r="EC647" s="1465" t="e">
        <f t="shared" si="3"/>
        <v>#VALUE!</v>
      </c>
      <c r="ED647" s="1465"/>
      <c r="EE647" s="1465"/>
      <c r="EF647" s="1465"/>
      <c r="EG647" s="1465"/>
      <c r="EH647" s="1465" t="e">
        <f t="shared" si="4"/>
        <v>#VALUE!</v>
      </c>
      <c r="EI647" s="1465"/>
      <c r="EJ647" s="1465"/>
      <c r="EK647" s="1465"/>
      <c r="EL647" s="1465"/>
      <c r="EM647" s="1465" t="e">
        <f t="shared" si="5"/>
        <v>#VALUE!</v>
      </c>
      <c r="EN647" s="1465"/>
      <c r="EO647" s="1465"/>
      <c r="EP647" s="1465"/>
      <c r="EQ647" s="1465"/>
      <c r="ER647" s="1465" t="e">
        <f t="shared" si="6"/>
        <v>#VALUE!</v>
      </c>
      <c r="ES647" s="1465"/>
      <c r="ET647" s="1465"/>
      <c r="EU647" s="1465"/>
      <c r="EV647" s="1465"/>
      <c r="EW647" s="1465" t="e">
        <f t="shared" si="7"/>
        <v>#VALUE!</v>
      </c>
      <c r="EX647" s="1465"/>
      <c r="EY647" s="1465"/>
      <c r="EZ647" s="1465"/>
      <c r="FA647" s="1465"/>
    </row>
    <row r="648" spans="1:157" ht="12.95" customHeight="1">
      <c r="A648" s="22"/>
      <c r="B648" t="s">
        <v>18</v>
      </c>
      <c r="H648" s="1364" t="str">
        <f>M627</f>
        <v>Loan, Conventional</v>
      </c>
      <c r="I648" s="1364"/>
      <c r="J648" s="1364"/>
      <c r="K648" s="1364"/>
      <c r="L648" s="1364"/>
      <c r="M648" s="1364"/>
      <c r="N648" s="1364"/>
      <c r="O648" s="1364"/>
      <c r="P648" s="1364"/>
      <c r="Q648" s="1364"/>
      <c r="R648" s="1364"/>
      <c r="S648" s="8"/>
      <c r="T648" s="22"/>
      <c r="U648" t="s">
        <v>18</v>
      </c>
      <c r="AA648" s="1364" t="str">
        <f>M628</f>
        <v>Loan, Residual Receipts</v>
      </c>
      <c r="AB648" s="1364"/>
      <c r="AC648" s="1364"/>
      <c r="AD648" s="1364"/>
      <c r="AE648" s="1364"/>
      <c r="AF648" s="1364"/>
      <c r="AG648" s="1364"/>
      <c r="AH648" s="1364"/>
      <c r="AI648" s="1364"/>
      <c r="AJ648" s="1364"/>
      <c r="AK648" s="1364"/>
      <c r="AZ648" s="34"/>
      <c r="BA648" s="34"/>
      <c r="BB648" s="34"/>
      <c r="BC648" s="34"/>
      <c r="BD648" s="34"/>
      <c r="BE648" s="34"/>
      <c r="BF648" s="34"/>
      <c r="BG648" s="34"/>
      <c r="BH648" s="34"/>
      <c r="BI648" s="34"/>
      <c r="BJ648" s="34"/>
      <c r="BK648" s="34"/>
      <c r="BL648" s="34"/>
      <c r="BM648" s="34"/>
      <c r="DX648" s="1465" t="e">
        <f t="shared" si="2"/>
        <v>#VALUE!</v>
      </c>
      <c r="DY648" s="1465"/>
      <c r="DZ648" s="1465"/>
      <c r="EA648" s="1465"/>
      <c r="EB648" s="1465"/>
      <c r="EC648" s="1465" t="e">
        <f t="shared" si="3"/>
        <v>#VALUE!</v>
      </c>
      <c r="ED648" s="1465"/>
      <c r="EE648" s="1465"/>
      <c r="EF648" s="1465"/>
      <c r="EG648" s="1465"/>
      <c r="EH648" s="1465" t="e">
        <f t="shared" si="4"/>
        <v>#VALUE!</v>
      </c>
      <c r="EI648" s="1465"/>
      <c r="EJ648" s="1465"/>
      <c r="EK648" s="1465"/>
      <c r="EL648" s="1465"/>
      <c r="EM648" s="1465" t="e">
        <f t="shared" si="5"/>
        <v>#VALUE!</v>
      </c>
      <c r="EN648" s="1465"/>
      <c r="EO648" s="1465"/>
      <c r="EP648" s="1465"/>
      <c r="EQ648" s="1465"/>
      <c r="ER648" s="1465" t="e">
        <f t="shared" si="6"/>
        <v>#VALUE!</v>
      </c>
      <c r="ES648" s="1465"/>
      <c r="ET648" s="1465"/>
      <c r="EU648" s="1465"/>
      <c r="EV648" s="1465"/>
      <c r="EW648" s="1465" t="e">
        <f t="shared" si="7"/>
        <v>#VALUE!</v>
      </c>
      <c r="EX648" s="1465"/>
      <c r="EY648" s="1465"/>
      <c r="EZ648" s="1465"/>
      <c r="FA648" s="1465"/>
    </row>
    <row r="649" spans="1:157" ht="12.95" customHeight="1">
      <c r="A649" s="22"/>
      <c r="B649" t="s">
        <v>20</v>
      </c>
      <c r="N649" s="1356" t="s">
        <v>545</v>
      </c>
      <c r="O649" s="1356"/>
      <c r="T649" s="22"/>
      <c r="U649" t="s">
        <v>20</v>
      </c>
      <c r="AG649" s="1356" t="s">
        <v>545</v>
      </c>
      <c r="AH649" s="1356"/>
      <c r="AZ649" s="34"/>
      <c r="BA649" s="34"/>
      <c r="BB649" s="34"/>
      <c r="BC649" s="34"/>
      <c r="BD649" s="34"/>
      <c r="BE649" s="34"/>
      <c r="BF649" s="34"/>
      <c r="BG649" s="34"/>
      <c r="BH649" s="34"/>
      <c r="BI649" s="34"/>
      <c r="BJ649" s="34"/>
      <c r="BK649" s="34"/>
      <c r="BL649" s="34"/>
      <c r="BM649" s="34"/>
      <c r="DX649" s="1465" t="e">
        <f t="shared" si="2"/>
        <v>#VALUE!</v>
      </c>
      <c r="DY649" s="1465"/>
      <c r="DZ649" s="1465"/>
      <c r="EA649" s="1465"/>
      <c r="EB649" s="1465"/>
      <c r="EC649" s="1465" t="e">
        <f t="shared" si="3"/>
        <v>#VALUE!</v>
      </c>
      <c r="ED649" s="1465"/>
      <c r="EE649" s="1465"/>
      <c r="EF649" s="1465"/>
      <c r="EG649" s="1465"/>
      <c r="EH649" s="1465" t="e">
        <f t="shared" si="4"/>
        <v>#VALUE!</v>
      </c>
      <c r="EI649" s="1465"/>
      <c r="EJ649" s="1465"/>
      <c r="EK649" s="1465"/>
      <c r="EL649" s="1465"/>
      <c r="EM649" s="1465" t="e">
        <f t="shared" si="5"/>
        <v>#VALUE!</v>
      </c>
      <c r="EN649" s="1465"/>
      <c r="EO649" s="1465"/>
      <c r="EP649" s="1465"/>
      <c r="EQ649" s="1465"/>
      <c r="ER649" s="1465" t="e">
        <f t="shared" si="6"/>
        <v>#VALUE!</v>
      </c>
      <c r="ES649" s="1465"/>
      <c r="ET649" s="1465"/>
      <c r="EU649" s="1465"/>
      <c r="EV649" s="1465"/>
      <c r="EW649" s="1465" t="e">
        <f t="shared" si="7"/>
        <v>#VALUE!</v>
      </c>
      <c r="EX649" s="1465"/>
      <c r="EY649" s="1465"/>
      <c r="EZ649" s="1465"/>
      <c r="FA649" s="1465"/>
    </row>
    <row r="650" spans="1:157" ht="12.95" customHeight="1">
      <c r="A650" s="22"/>
      <c r="T650" s="22"/>
      <c r="AZ650" s="34"/>
      <c r="BA650" s="34"/>
      <c r="BB650" s="34"/>
      <c r="BC650" s="34"/>
      <c r="BD650" s="34"/>
      <c r="BE650" s="34"/>
      <c r="BF650" s="34"/>
      <c r="BG650" s="34"/>
      <c r="BH650" s="34"/>
      <c r="BI650" s="34"/>
      <c r="BJ650" s="34"/>
      <c r="BK650" s="34"/>
      <c r="BL650" s="34"/>
      <c r="BM650" s="34"/>
      <c r="DX650" s="1465" t="e">
        <f t="shared" si="2"/>
        <v>#VALUE!</v>
      </c>
      <c r="DY650" s="1465"/>
      <c r="DZ650" s="1465"/>
      <c r="EA650" s="1465"/>
      <c r="EB650" s="1465"/>
      <c r="EC650" s="1465" t="e">
        <f t="shared" si="3"/>
        <v>#VALUE!</v>
      </c>
      <c r="ED650" s="1465"/>
      <c r="EE650" s="1465"/>
      <c r="EF650" s="1465"/>
      <c r="EG650" s="1465"/>
      <c r="EH650" s="1465" t="e">
        <f t="shared" si="4"/>
        <v>#VALUE!</v>
      </c>
      <c r="EI650" s="1465"/>
      <c r="EJ650" s="1465"/>
      <c r="EK650" s="1465"/>
      <c r="EL650" s="1465"/>
      <c r="EM650" s="1465" t="e">
        <f t="shared" si="5"/>
        <v>#VALUE!</v>
      </c>
      <c r="EN650" s="1465"/>
      <c r="EO650" s="1465"/>
      <c r="EP650" s="1465"/>
      <c r="EQ650" s="1465"/>
      <c r="ER650" s="1465" t="e">
        <f t="shared" si="6"/>
        <v>#VALUE!</v>
      </c>
      <c r="ES650" s="1465"/>
      <c r="ET650" s="1465"/>
      <c r="EU650" s="1465"/>
      <c r="EV650" s="1465"/>
      <c r="EW650" s="1465" t="e">
        <f t="shared" si="7"/>
        <v>#VALUE!</v>
      </c>
      <c r="EX650" s="1465"/>
      <c r="EY650" s="1465"/>
      <c r="EZ650" s="1465"/>
      <c r="FA650" s="1465"/>
    </row>
    <row r="651" spans="1:157" ht="12.95" customHeight="1">
      <c r="A651" s="55" t="s">
        <v>119</v>
      </c>
      <c r="B651" t="s">
        <v>463</v>
      </c>
      <c r="G651" s="1421" t="str">
        <f>C629</f>
        <v>San Francisco Housing Accelerator Fund</v>
      </c>
      <c r="H651" s="1421"/>
      <c r="I651" s="1421"/>
      <c r="J651" s="1421"/>
      <c r="K651" s="1421"/>
      <c r="L651" s="1421"/>
      <c r="M651" s="1421"/>
      <c r="N651" s="1421"/>
      <c r="O651" s="1421"/>
      <c r="P651" s="1421"/>
      <c r="Q651" s="1421"/>
      <c r="R651" s="1421"/>
      <c r="T651" s="55" t="s">
        <v>581</v>
      </c>
      <c r="U651" t="s">
        <v>463</v>
      </c>
      <c r="Z651" s="1421" t="str">
        <f>C630</f>
        <v>County of Santa Clara</v>
      </c>
      <c r="AA651" s="1421"/>
      <c r="AB651" s="1421"/>
      <c r="AC651" s="1421"/>
      <c r="AD651" s="1421"/>
      <c r="AE651" s="1421"/>
      <c r="AF651" s="1421"/>
      <c r="AG651" s="1421"/>
      <c r="AH651" s="1421"/>
      <c r="AI651" s="1421"/>
      <c r="AJ651" s="1421"/>
      <c r="AK651" s="1421"/>
      <c r="AZ651" s="34"/>
      <c r="BA651" s="34"/>
      <c r="BB651" s="34"/>
      <c r="BC651" s="34"/>
      <c r="BD651" s="34"/>
      <c r="BE651" s="34"/>
      <c r="BF651" s="34"/>
      <c r="BG651" s="34"/>
      <c r="BH651" s="34"/>
      <c r="BI651" s="34"/>
      <c r="BJ651" s="34"/>
      <c r="BK651" s="34"/>
      <c r="BL651" s="34"/>
      <c r="BM651" s="34"/>
      <c r="DX651" s="1465" t="e">
        <f t="shared" si="2"/>
        <v>#VALUE!</v>
      </c>
      <c r="DY651" s="1465"/>
      <c r="DZ651" s="1465"/>
      <c r="EA651" s="1465"/>
      <c r="EB651" s="1465"/>
      <c r="EC651" s="1465" t="e">
        <f t="shared" si="3"/>
        <v>#VALUE!</v>
      </c>
      <c r="ED651" s="1465"/>
      <c r="EE651" s="1465"/>
      <c r="EF651" s="1465"/>
      <c r="EG651" s="1465"/>
      <c r="EH651" s="1465" t="e">
        <f t="shared" si="4"/>
        <v>#VALUE!</v>
      </c>
      <c r="EI651" s="1465"/>
      <c r="EJ651" s="1465"/>
      <c r="EK651" s="1465"/>
      <c r="EL651" s="1465"/>
      <c r="EM651" s="1465" t="e">
        <f t="shared" si="5"/>
        <v>#VALUE!</v>
      </c>
      <c r="EN651" s="1465"/>
      <c r="EO651" s="1465"/>
      <c r="EP651" s="1465"/>
      <c r="EQ651" s="1465"/>
      <c r="ER651" s="1465" t="e">
        <f t="shared" si="6"/>
        <v>#VALUE!</v>
      </c>
      <c r="ES651" s="1465"/>
      <c r="ET651" s="1465"/>
      <c r="EU651" s="1465"/>
      <c r="EV651" s="1465"/>
      <c r="EW651" s="1465" t="e">
        <f t="shared" si="7"/>
        <v>#VALUE!</v>
      </c>
      <c r="EX651" s="1465"/>
      <c r="EY651" s="1465"/>
      <c r="EZ651" s="1465"/>
      <c r="FA651" s="1465"/>
    </row>
    <row r="652" spans="1:157" ht="12.95" customHeight="1">
      <c r="A652" s="22"/>
      <c r="B652" t="s">
        <v>85</v>
      </c>
      <c r="G652" s="1364" t="str">
        <f>G578</f>
        <v>564 Market Street, Suite 225</v>
      </c>
      <c r="H652" s="1364"/>
      <c r="I652" s="1364"/>
      <c r="J652" s="1364"/>
      <c r="K652" s="1364"/>
      <c r="L652" s="1364"/>
      <c r="M652" s="1364"/>
      <c r="N652" s="1364"/>
      <c r="O652" s="1364"/>
      <c r="P652" s="1364"/>
      <c r="Q652" s="1364"/>
      <c r="R652" s="1364"/>
      <c r="T652" s="22"/>
      <c r="U652" t="s">
        <v>85</v>
      </c>
      <c r="Z652" s="1364" t="str">
        <f>Z578</f>
        <v>150 W Tasman Drive</v>
      </c>
      <c r="AA652" s="1364"/>
      <c r="AB652" s="1364"/>
      <c r="AC652" s="1364"/>
      <c r="AD652" s="1364"/>
      <c r="AE652" s="1364"/>
      <c r="AF652" s="1364"/>
      <c r="AG652" s="1364"/>
      <c r="AH652" s="1364"/>
      <c r="AI652" s="1364"/>
      <c r="AJ652" s="1364"/>
      <c r="AK652" s="1364"/>
      <c r="AZ652" s="34"/>
      <c r="BA652" s="34"/>
      <c r="BB652" s="34"/>
      <c r="BC652" s="34"/>
      <c r="BD652" s="34"/>
      <c r="BE652" s="34"/>
      <c r="BF652" s="34"/>
      <c r="BG652" s="34"/>
      <c r="BH652" s="34"/>
      <c r="BI652" s="34"/>
      <c r="BJ652" s="34"/>
      <c r="BK652" s="34"/>
      <c r="BL652" s="34"/>
      <c r="BM652" s="34"/>
      <c r="DX652" s="1465" t="e">
        <f t="shared" si="2"/>
        <v>#VALUE!</v>
      </c>
      <c r="DY652" s="1465"/>
      <c r="DZ652" s="1465"/>
      <c r="EA652" s="1465"/>
      <c r="EB652" s="1465"/>
      <c r="EC652" s="1465" t="e">
        <f t="shared" si="3"/>
        <v>#VALUE!</v>
      </c>
      <c r="ED652" s="1465"/>
      <c r="EE652" s="1465"/>
      <c r="EF652" s="1465"/>
      <c r="EG652" s="1465"/>
      <c r="EH652" s="1465" t="e">
        <f t="shared" si="4"/>
        <v>#VALUE!</v>
      </c>
      <c r="EI652" s="1465"/>
      <c r="EJ652" s="1465"/>
      <c r="EK652" s="1465"/>
      <c r="EL652" s="1465"/>
      <c r="EM652" s="1465" t="e">
        <f t="shared" si="5"/>
        <v>#VALUE!</v>
      </c>
      <c r="EN652" s="1465"/>
      <c r="EO652" s="1465"/>
      <c r="EP652" s="1465"/>
      <c r="EQ652" s="1465"/>
      <c r="ER652" s="1465" t="e">
        <f t="shared" si="6"/>
        <v>#VALUE!</v>
      </c>
      <c r="ES652" s="1465"/>
      <c r="ET652" s="1465"/>
      <c r="EU652" s="1465"/>
      <c r="EV652" s="1465"/>
      <c r="EW652" s="1465" t="e">
        <f t="shared" si="7"/>
        <v>#VALUE!</v>
      </c>
      <c r="EX652" s="1465"/>
      <c r="EY652" s="1465"/>
      <c r="EZ652" s="1465"/>
      <c r="FA652" s="1465"/>
    </row>
    <row r="653" spans="1:157" ht="12.95" customHeight="1">
      <c r="A653" s="22"/>
      <c r="B653" t="s">
        <v>580</v>
      </c>
      <c r="G653" s="1444" t="str">
        <f t="shared" ref="G653:G654" si="8">G579</f>
        <v>San Francisco, CA</v>
      </c>
      <c r="H653" s="1444"/>
      <c r="I653" s="1444"/>
      <c r="J653" s="1444"/>
      <c r="K653" s="1444"/>
      <c r="L653" s="1444"/>
      <c r="M653" s="1444"/>
      <c r="N653" s="1444"/>
      <c r="O653" s="1444"/>
      <c r="P653" s="1444"/>
      <c r="Q653" s="1444"/>
      <c r="R653" s="1444"/>
      <c r="T653" s="22"/>
      <c r="U653" t="s">
        <v>580</v>
      </c>
      <c r="Z653" s="1444" t="str">
        <f t="shared" ref="Z653:Z654" si="9">Z579</f>
        <v>San Jose, CA</v>
      </c>
      <c r="AA653" s="1444"/>
      <c r="AB653" s="1444"/>
      <c r="AC653" s="1444"/>
      <c r="AD653" s="1444"/>
      <c r="AE653" s="1444"/>
      <c r="AF653" s="1444"/>
      <c r="AG653" s="1444"/>
      <c r="AH653" s="1444"/>
      <c r="AI653" s="1444"/>
      <c r="AJ653" s="1444"/>
      <c r="AK653" s="1444"/>
      <c r="AZ653" s="34"/>
      <c r="BA653" s="34"/>
      <c r="BB653" s="34"/>
      <c r="BC653" s="34"/>
      <c r="BD653" s="34"/>
      <c r="BE653" s="34"/>
      <c r="BF653" s="34"/>
      <c r="BG653" s="34"/>
      <c r="BH653" s="34"/>
      <c r="BI653" s="34"/>
      <c r="BJ653" s="34"/>
      <c r="BK653" s="34"/>
      <c r="BL653" s="34"/>
      <c r="BM653" s="34"/>
      <c r="DX653" s="1465" t="e">
        <f t="shared" si="2"/>
        <v>#VALUE!</v>
      </c>
      <c r="DY653" s="1465"/>
      <c r="DZ653" s="1465"/>
      <c r="EA653" s="1465"/>
      <c r="EB653" s="1465"/>
      <c r="EC653" s="1465" t="e">
        <f t="shared" si="3"/>
        <v>#VALUE!</v>
      </c>
      <c r="ED653" s="1465"/>
      <c r="EE653" s="1465"/>
      <c r="EF653" s="1465"/>
      <c r="EG653" s="1465"/>
      <c r="EH653" s="1465" t="e">
        <f t="shared" si="4"/>
        <v>#VALUE!</v>
      </c>
      <c r="EI653" s="1465"/>
      <c r="EJ653" s="1465"/>
      <c r="EK653" s="1465"/>
      <c r="EL653" s="1465"/>
      <c r="EM653" s="1465" t="e">
        <f t="shared" si="5"/>
        <v>#VALUE!</v>
      </c>
      <c r="EN653" s="1465"/>
      <c r="EO653" s="1465"/>
      <c r="EP653" s="1465"/>
      <c r="EQ653" s="1465"/>
      <c r="ER653" s="1465" t="e">
        <f t="shared" si="6"/>
        <v>#VALUE!</v>
      </c>
      <c r="ES653" s="1465"/>
      <c r="ET653" s="1465"/>
      <c r="EU653" s="1465"/>
      <c r="EV653" s="1465"/>
      <c r="EW653" s="1465" t="e">
        <f t="shared" si="7"/>
        <v>#VALUE!</v>
      </c>
      <c r="EX653" s="1465"/>
      <c r="EY653" s="1465"/>
      <c r="EZ653" s="1465"/>
      <c r="FA653" s="1465"/>
    </row>
    <row r="654" spans="1:157" ht="12.95" customHeight="1">
      <c r="A654" s="22"/>
      <c r="B654" t="s">
        <v>17</v>
      </c>
      <c r="G654" s="1444" t="str">
        <f t="shared" si="8"/>
        <v>Jan Lindenthal-Cox</v>
      </c>
      <c r="H654" s="1444"/>
      <c r="I654" s="1444"/>
      <c r="J654" s="1444"/>
      <c r="K654" s="1444"/>
      <c r="L654" s="1444"/>
      <c r="M654" s="1444"/>
      <c r="N654" s="1444"/>
      <c r="O654" s="1444"/>
      <c r="P654" s="1444"/>
      <c r="Q654" s="1444"/>
      <c r="R654" s="1444"/>
      <c r="T654" s="22"/>
      <c r="U654" t="s">
        <v>17</v>
      </c>
      <c r="Z654" s="1444" t="str">
        <f t="shared" si="9"/>
        <v>Adonis Bill</v>
      </c>
      <c r="AA654" s="1444"/>
      <c r="AB654" s="1444"/>
      <c r="AC654" s="1444"/>
      <c r="AD654" s="1444"/>
      <c r="AE654" s="1444"/>
      <c r="AF654" s="1444"/>
      <c r="AG654" s="1444"/>
      <c r="AH654" s="1444"/>
      <c r="AI654" s="1444"/>
      <c r="AJ654" s="1444"/>
      <c r="AK654" s="1444"/>
      <c r="AZ654" s="34"/>
      <c r="BA654" s="34"/>
      <c r="BB654" s="34"/>
      <c r="BC654" s="34"/>
      <c r="BD654" s="34"/>
      <c r="BE654" s="34"/>
      <c r="BF654" s="34"/>
      <c r="BG654" s="34"/>
      <c r="BH654" s="34"/>
      <c r="BI654" s="34"/>
      <c r="BJ654" s="34"/>
      <c r="BK654" s="34"/>
      <c r="BL654" s="34"/>
      <c r="BM654" s="34"/>
      <c r="DX654" s="1465" t="e">
        <f t="shared" si="2"/>
        <v>#VALUE!</v>
      </c>
      <c r="DY654" s="1465"/>
      <c r="DZ654" s="1465"/>
      <c r="EA654" s="1465"/>
      <c r="EB654" s="1465"/>
      <c r="EC654" s="1465" t="e">
        <f t="shared" si="3"/>
        <v>#VALUE!</v>
      </c>
      <c r="ED654" s="1465"/>
      <c r="EE654" s="1465"/>
      <c r="EF654" s="1465"/>
      <c r="EG654" s="1465"/>
      <c r="EH654" s="1465" t="e">
        <f t="shared" si="4"/>
        <v>#VALUE!</v>
      </c>
      <c r="EI654" s="1465"/>
      <c r="EJ654" s="1465"/>
      <c r="EK654" s="1465"/>
      <c r="EL654" s="1465"/>
      <c r="EM654" s="1465" t="e">
        <f t="shared" si="5"/>
        <v>#VALUE!</v>
      </c>
      <c r="EN654" s="1465"/>
      <c r="EO654" s="1465"/>
      <c r="EP654" s="1465"/>
      <c r="EQ654" s="1465"/>
      <c r="ER654" s="1465" t="e">
        <f t="shared" si="6"/>
        <v>#VALUE!</v>
      </c>
      <c r="ES654" s="1465"/>
      <c r="ET654" s="1465"/>
      <c r="EU654" s="1465"/>
      <c r="EV654" s="1465"/>
      <c r="EW654" s="1465" t="e">
        <f t="shared" si="7"/>
        <v>#VALUE!</v>
      </c>
      <c r="EX654" s="1465"/>
      <c r="EY654" s="1465"/>
      <c r="EZ654" s="1465"/>
      <c r="FA654" s="1465"/>
    </row>
    <row r="655" spans="1:157" ht="12.95" customHeight="1">
      <c r="A655" s="22"/>
      <c r="B655" t="s">
        <v>316</v>
      </c>
      <c r="G655" s="1443" t="str">
        <f>G581</f>
        <v>650.465.9864</v>
      </c>
      <c r="H655" s="1443"/>
      <c r="I655" s="1443"/>
      <c r="J655" s="1443"/>
      <c r="K655" s="1443"/>
      <c r="L655" s="1443"/>
      <c r="O655" s="33" t="s">
        <v>206</v>
      </c>
      <c r="P655" s="1472" t="s">
        <v>591</v>
      </c>
      <c r="Q655" s="1433"/>
      <c r="R655" s="1433"/>
      <c r="T655" s="22"/>
      <c r="U655" t="s">
        <v>316</v>
      </c>
      <c r="Z655" s="1443" t="str">
        <f>Z581</f>
        <v>408.278.6467</v>
      </c>
      <c r="AA655" s="1443"/>
      <c r="AB655" s="1443"/>
      <c r="AC655" s="1443"/>
      <c r="AD655" s="1443"/>
      <c r="AE655" s="1443"/>
      <c r="AH655" s="33" t="s">
        <v>206</v>
      </c>
      <c r="AI655" s="1472" t="s">
        <v>591</v>
      </c>
      <c r="AJ655" s="1433"/>
      <c r="AK655" s="1433"/>
      <c r="AZ655" s="34"/>
      <c r="BA655" s="34"/>
      <c r="BB655" s="34"/>
      <c r="BC655" s="34"/>
      <c r="BD655" s="34"/>
      <c r="BE655" s="34"/>
      <c r="BF655" s="34"/>
      <c r="BG655" s="34"/>
      <c r="BH655" s="34"/>
      <c r="BI655" s="34"/>
      <c r="BJ655" s="34"/>
      <c r="BK655" s="34"/>
      <c r="BL655" s="34"/>
      <c r="BM655" s="34"/>
      <c r="DX655" s="1465" t="e">
        <f t="shared" si="2"/>
        <v>#VALUE!</v>
      </c>
      <c r="DY655" s="1465"/>
      <c r="DZ655" s="1465"/>
      <c r="EA655" s="1465"/>
      <c r="EB655" s="1465"/>
      <c r="EC655" s="1465" t="e">
        <f t="shared" si="3"/>
        <v>#VALUE!</v>
      </c>
      <c r="ED655" s="1465"/>
      <c r="EE655" s="1465"/>
      <c r="EF655" s="1465"/>
      <c r="EG655" s="1465"/>
      <c r="EH655" s="1465" t="e">
        <f t="shared" si="4"/>
        <v>#VALUE!</v>
      </c>
      <c r="EI655" s="1465"/>
      <c r="EJ655" s="1465"/>
      <c r="EK655" s="1465"/>
      <c r="EL655" s="1465"/>
      <c r="EM655" s="1465" t="e">
        <f t="shared" si="5"/>
        <v>#VALUE!</v>
      </c>
      <c r="EN655" s="1465"/>
      <c r="EO655" s="1465"/>
      <c r="EP655" s="1465"/>
      <c r="EQ655" s="1465"/>
      <c r="ER655" s="1465" t="e">
        <f t="shared" si="6"/>
        <v>#VALUE!</v>
      </c>
      <c r="ES655" s="1465"/>
      <c r="ET655" s="1465"/>
      <c r="EU655" s="1465"/>
      <c r="EV655" s="1465"/>
      <c r="EW655" s="1465" t="e">
        <f t="shared" si="7"/>
        <v>#VALUE!</v>
      </c>
      <c r="EX655" s="1465"/>
      <c r="EY655" s="1465"/>
      <c r="EZ655" s="1465"/>
      <c r="FA655" s="1465"/>
    </row>
    <row r="656" spans="1:157" ht="12.95" customHeight="1">
      <c r="A656" s="22"/>
      <c r="B656" t="s">
        <v>18</v>
      </c>
      <c r="H656" s="1364" t="str">
        <f>M629</f>
        <v>Loan, Residual Receipts</v>
      </c>
      <c r="I656" s="1364"/>
      <c r="J656" s="1364"/>
      <c r="K656" s="1364"/>
      <c r="L656" s="1364"/>
      <c r="M656" s="1364"/>
      <c r="N656" s="1364"/>
      <c r="O656" s="1364"/>
      <c r="P656" s="1364"/>
      <c r="Q656" s="1364"/>
      <c r="R656" s="1364"/>
      <c r="T656" s="22"/>
      <c r="U656" t="s">
        <v>18</v>
      </c>
      <c r="AA656" s="1364" t="str">
        <f>M630</f>
        <v>Loan, Residual Receipts</v>
      </c>
      <c r="AB656" s="1364"/>
      <c r="AC656" s="1364"/>
      <c r="AD656" s="1364"/>
      <c r="AE656" s="1364"/>
      <c r="AF656" s="1364"/>
      <c r="AG656" s="1364"/>
      <c r="AH656" s="1364"/>
      <c r="AI656" s="1364"/>
      <c r="AJ656" s="1364"/>
      <c r="AK656" s="1364"/>
      <c r="AZ656" s="34"/>
      <c r="BA656" s="34"/>
      <c r="BB656" s="34"/>
      <c r="BC656" s="34"/>
      <c r="BD656" s="34"/>
      <c r="BE656" s="34"/>
      <c r="BF656" s="34"/>
      <c r="BG656" s="34"/>
      <c r="BH656" s="34"/>
      <c r="BI656" s="34"/>
      <c r="BJ656" s="34"/>
      <c r="BK656" s="34"/>
      <c r="BL656" s="34"/>
      <c r="BM656" s="34"/>
      <c r="DX656" s="1465" t="e">
        <f t="shared" si="2"/>
        <v>#VALUE!</v>
      </c>
      <c r="DY656" s="1465"/>
      <c r="DZ656" s="1465"/>
      <c r="EA656" s="1465"/>
      <c r="EB656" s="1465"/>
      <c r="EC656" s="1465" t="e">
        <f t="shared" si="3"/>
        <v>#VALUE!</v>
      </c>
      <c r="ED656" s="1465"/>
      <c r="EE656" s="1465"/>
      <c r="EF656" s="1465"/>
      <c r="EG656" s="1465"/>
      <c r="EH656" s="1465" t="e">
        <f t="shared" si="4"/>
        <v>#VALUE!</v>
      </c>
      <c r="EI656" s="1465"/>
      <c r="EJ656" s="1465"/>
      <c r="EK656" s="1465"/>
      <c r="EL656" s="1465"/>
      <c r="EM656" s="1465" t="e">
        <f t="shared" si="5"/>
        <v>#VALUE!</v>
      </c>
      <c r="EN656" s="1465"/>
      <c r="EO656" s="1465"/>
      <c r="EP656" s="1465"/>
      <c r="EQ656" s="1465"/>
      <c r="ER656" s="1465" t="e">
        <f t="shared" si="6"/>
        <v>#VALUE!</v>
      </c>
      <c r="ES656" s="1465"/>
      <c r="ET656" s="1465"/>
      <c r="EU656" s="1465"/>
      <c r="EV656" s="1465"/>
      <c r="EW656" s="1465" t="e">
        <f t="shared" si="7"/>
        <v>#VALUE!</v>
      </c>
      <c r="EX656" s="1465"/>
      <c r="EY656" s="1465"/>
      <c r="EZ656" s="1465"/>
      <c r="FA656" s="1465"/>
    </row>
    <row r="657" spans="1:157" ht="12.95" customHeight="1">
      <c r="A657" s="22"/>
      <c r="B657" t="s">
        <v>20</v>
      </c>
      <c r="N657" s="1356" t="s">
        <v>545</v>
      </c>
      <c r="O657" s="1356"/>
      <c r="T657" s="22"/>
      <c r="U657" t="s">
        <v>20</v>
      </c>
      <c r="AG657" s="1356" t="s">
        <v>545</v>
      </c>
      <c r="AH657" s="1356"/>
      <c r="AZ657" s="34"/>
      <c r="BA657" s="34"/>
      <c r="BB657" s="34"/>
      <c r="BC657" s="34"/>
      <c r="BD657" s="34"/>
      <c r="BE657" s="34"/>
      <c r="BF657" s="34"/>
      <c r="BG657" s="34"/>
      <c r="BH657" s="34"/>
      <c r="BI657" s="34"/>
      <c r="BJ657" s="34"/>
      <c r="BK657" s="34"/>
      <c r="BL657" s="34"/>
      <c r="BM657" s="34"/>
      <c r="DX657" s="1465" t="e">
        <f t="shared" si="2"/>
        <v>#VALUE!</v>
      </c>
      <c r="DY657" s="1465"/>
      <c r="DZ657" s="1465"/>
      <c r="EA657" s="1465"/>
      <c r="EB657" s="1465"/>
      <c r="EC657" s="1465" t="e">
        <f t="shared" si="3"/>
        <v>#VALUE!</v>
      </c>
      <c r="ED657" s="1465"/>
      <c r="EE657" s="1465"/>
      <c r="EF657" s="1465"/>
      <c r="EG657" s="1465"/>
      <c r="EH657" s="1465" t="e">
        <f t="shared" si="4"/>
        <v>#VALUE!</v>
      </c>
      <c r="EI657" s="1465"/>
      <c r="EJ657" s="1465"/>
      <c r="EK657" s="1465"/>
      <c r="EL657" s="1465"/>
      <c r="EM657" s="1465" t="e">
        <f t="shared" si="5"/>
        <v>#VALUE!</v>
      </c>
      <c r="EN657" s="1465"/>
      <c r="EO657" s="1465"/>
      <c r="EP657" s="1465"/>
      <c r="EQ657" s="1465"/>
      <c r="ER657" s="1465" t="e">
        <f t="shared" si="6"/>
        <v>#VALUE!</v>
      </c>
      <c r="ES657" s="1465"/>
      <c r="ET657" s="1465"/>
      <c r="EU657" s="1465"/>
      <c r="EV657" s="1465"/>
      <c r="EW657" s="1465" t="e">
        <f t="shared" si="7"/>
        <v>#VALUE!</v>
      </c>
      <c r="EX657" s="1465"/>
      <c r="EY657" s="1465"/>
      <c r="EZ657" s="1465"/>
      <c r="FA657" s="1465"/>
    </row>
    <row r="658" spans="1:157" ht="12.95" customHeight="1">
      <c r="A658" s="22"/>
      <c r="T658" s="22"/>
      <c r="AZ658" s="34"/>
      <c r="BA658" s="34"/>
      <c r="BB658" s="34"/>
      <c r="BC658" s="34"/>
      <c r="BD658" s="34"/>
      <c r="BE658" s="34"/>
      <c r="BF658" s="34"/>
      <c r="BG658" s="34"/>
      <c r="BH658" s="34"/>
      <c r="BI658" s="34"/>
      <c r="BJ658" s="34"/>
      <c r="BK658" s="34"/>
      <c r="BL658" s="34"/>
      <c r="BM658" s="34"/>
      <c r="DX658" s="1465" t="e">
        <f t="shared" si="2"/>
        <v>#VALUE!</v>
      </c>
      <c r="DY658" s="1465"/>
      <c r="DZ658" s="1465"/>
      <c r="EA658" s="1465"/>
      <c r="EB658" s="1465"/>
      <c r="EC658" s="1465" t="e">
        <f t="shared" si="3"/>
        <v>#VALUE!</v>
      </c>
      <c r="ED658" s="1465"/>
      <c r="EE658" s="1465"/>
      <c r="EF658" s="1465"/>
      <c r="EG658" s="1465"/>
      <c r="EH658" s="1465" t="e">
        <f t="shared" si="4"/>
        <v>#VALUE!</v>
      </c>
      <c r="EI658" s="1465"/>
      <c r="EJ658" s="1465"/>
      <c r="EK658" s="1465"/>
      <c r="EL658" s="1465"/>
      <c r="EM658" s="1465" t="e">
        <f t="shared" si="5"/>
        <v>#VALUE!</v>
      </c>
      <c r="EN658" s="1465"/>
      <c r="EO658" s="1465"/>
      <c r="EP658" s="1465"/>
      <c r="EQ658" s="1465"/>
      <c r="ER658" s="1465" t="e">
        <f t="shared" si="6"/>
        <v>#VALUE!</v>
      </c>
      <c r="ES658" s="1465"/>
      <c r="ET658" s="1465"/>
      <c r="EU658" s="1465"/>
      <c r="EV658" s="1465"/>
      <c r="EW658" s="1465" t="e">
        <f t="shared" si="7"/>
        <v>#VALUE!</v>
      </c>
      <c r="EX658" s="1465"/>
      <c r="EY658" s="1465"/>
      <c r="EZ658" s="1465"/>
      <c r="FA658" s="1465"/>
    </row>
    <row r="659" spans="1:157" ht="12.95" customHeight="1">
      <c r="A659" s="55" t="s">
        <v>763</v>
      </c>
      <c r="B659" t="s">
        <v>463</v>
      </c>
      <c r="G659" s="1421" t="str">
        <f>C631</f>
        <v>City of San Jose</v>
      </c>
      <c r="H659" s="1421"/>
      <c r="I659" s="1421"/>
      <c r="J659" s="1421"/>
      <c r="K659" s="1421"/>
      <c r="L659" s="1421"/>
      <c r="M659" s="1421"/>
      <c r="N659" s="1421"/>
      <c r="O659" s="1421"/>
      <c r="P659" s="1421"/>
      <c r="Q659" s="1421"/>
      <c r="R659" s="1421"/>
      <c r="T659" s="55" t="s">
        <v>584</v>
      </c>
      <c r="U659" t="s">
        <v>463</v>
      </c>
      <c r="Z659" s="1421" t="str">
        <f>C632</f>
        <v>Affirmed Housing Group, Inc</v>
      </c>
      <c r="AA659" s="1421"/>
      <c r="AB659" s="1421"/>
      <c r="AC659" s="1421"/>
      <c r="AD659" s="1421"/>
      <c r="AE659" s="1421"/>
      <c r="AF659" s="1421"/>
      <c r="AG659" s="1421"/>
      <c r="AH659" s="1421"/>
      <c r="AI659" s="1421"/>
      <c r="AJ659" s="1421"/>
      <c r="AK659" s="1421"/>
      <c r="AZ659" s="34"/>
      <c r="BA659" s="34"/>
      <c r="BB659" s="34"/>
      <c r="BC659" s="34"/>
      <c r="BD659" s="34"/>
      <c r="BE659" s="34"/>
      <c r="BF659" s="34"/>
      <c r="BG659" s="34"/>
      <c r="BH659" s="34"/>
      <c r="BI659" s="34"/>
      <c r="BJ659" s="34"/>
      <c r="BK659" s="34"/>
      <c r="BL659" s="34"/>
      <c r="BM659" s="34"/>
      <c r="DX659" s="1465" t="e">
        <f t="shared" si="2"/>
        <v>#VALUE!</v>
      </c>
      <c r="DY659" s="1465"/>
      <c r="DZ659" s="1465"/>
      <c r="EA659" s="1465"/>
      <c r="EB659" s="1465"/>
      <c r="EC659" s="1465" t="e">
        <f t="shared" si="3"/>
        <v>#VALUE!</v>
      </c>
      <c r="ED659" s="1465"/>
      <c r="EE659" s="1465"/>
      <c r="EF659" s="1465"/>
      <c r="EG659" s="1465"/>
      <c r="EH659" s="1465" t="e">
        <f t="shared" si="4"/>
        <v>#VALUE!</v>
      </c>
      <c r="EI659" s="1465"/>
      <c r="EJ659" s="1465"/>
      <c r="EK659" s="1465"/>
      <c r="EL659" s="1465"/>
      <c r="EM659" s="1465" t="e">
        <f t="shared" si="5"/>
        <v>#VALUE!</v>
      </c>
      <c r="EN659" s="1465"/>
      <c r="EO659" s="1465"/>
      <c r="EP659" s="1465"/>
      <c r="EQ659" s="1465"/>
      <c r="ER659" s="1465" t="e">
        <f t="shared" si="6"/>
        <v>#VALUE!</v>
      </c>
      <c r="ES659" s="1465"/>
      <c r="ET659" s="1465"/>
      <c r="EU659" s="1465"/>
      <c r="EV659" s="1465"/>
      <c r="EW659" s="1465" t="e">
        <f t="shared" si="7"/>
        <v>#VALUE!</v>
      </c>
      <c r="EX659" s="1465"/>
      <c r="EY659" s="1465"/>
      <c r="EZ659" s="1465"/>
      <c r="FA659" s="1465"/>
    </row>
    <row r="660" spans="1:157" ht="12.95" customHeight="1">
      <c r="A660" s="22"/>
      <c r="B660" t="s">
        <v>85</v>
      </c>
      <c r="G660" s="1364" t="str">
        <f>G586</f>
        <v>200 E. Santa Clara Street - 12th Floor</v>
      </c>
      <c r="H660" s="1364"/>
      <c r="I660" s="1364"/>
      <c r="J660" s="1364"/>
      <c r="K660" s="1364"/>
      <c r="L660" s="1364"/>
      <c r="M660" s="1364"/>
      <c r="N660" s="1364"/>
      <c r="O660" s="1364"/>
      <c r="P660" s="1364"/>
      <c r="Q660" s="1364"/>
      <c r="R660" s="1364"/>
      <c r="T660" s="22"/>
      <c r="U660" t="s">
        <v>85</v>
      </c>
      <c r="Z660" s="1364" t="str">
        <f>G594</f>
        <v>13520 Evening Creek Drive N, Suite 160</v>
      </c>
      <c r="AA660" s="1364"/>
      <c r="AB660" s="1364"/>
      <c r="AC660" s="1364"/>
      <c r="AD660" s="1364"/>
      <c r="AE660" s="1364"/>
      <c r="AF660" s="1364"/>
      <c r="AG660" s="1364"/>
      <c r="AH660" s="1364"/>
      <c r="AI660" s="1364"/>
      <c r="AJ660" s="1364"/>
      <c r="AK660" s="1364"/>
      <c r="AZ660" s="34"/>
      <c r="BA660" s="34"/>
      <c r="BB660" s="34"/>
      <c r="BC660" s="34"/>
      <c r="BD660" s="34"/>
      <c r="BE660" s="34"/>
      <c r="BF660" s="34"/>
      <c r="BG660" s="34"/>
      <c r="BH660" s="34"/>
      <c r="BI660" s="34"/>
      <c r="BJ660" s="34"/>
      <c r="BK660" s="34"/>
      <c r="BL660" s="34"/>
      <c r="BM660" s="34"/>
      <c r="DX660" s="1465" t="e">
        <f t="shared" si="2"/>
        <v>#VALUE!</v>
      </c>
      <c r="DY660" s="1465"/>
      <c r="DZ660" s="1465"/>
      <c r="EA660" s="1465"/>
      <c r="EB660" s="1465"/>
      <c r="EC660" s="1465" t="e">
        <f t="shared" si="3"/>
        <v>#VALUE!</v>
      </c>
      <c r="ED660" s="1465"/>
      <c r="EE660" s="1465"/>
      <c r="EF660" s="1465"/>
      <c r="EG660" s="1465"/>
      <c r="EH660" s="1465" t="e">
        <f t="shared" si="4"/>
        <v>#VALUE!</v>
      </c>
      <c r="EI660" s="1465"/>
      <c r="EJ660" s="1465"/>
      <c r="EK660" s="1465"/>
      <c r="EL660" s="1465"/>
      <c r="EM660" s="1465" t="e">
        <f t="shared" si="5"/>
        <v>#VALUE!</v>
      </c>
      <c r="EN660" s="1465"/>
      <c r="EO660" s="1465"/>
      <c r="EP660" s="1465"/>
      <c r="EQ660" s="1465"/>
      <c r="ER660" s="1465" t="e">
        <f t="shared" si="6"/>
        <v>#VALUE!</v>
      </c>
      <c r="ES660" s="1465"/>
      <c r="ET660" s="1465"/>
      <c r="EU660" s="1465"/>
      <c r="EV660" s="1465"/>
      <c r="EW660" s="1465" t="e">
        <f t="shared" si="7"/>
        <v>#VALUE!</v>
      </c>
      <c r="EX660" s="1465"/>
      <c r="EY660" s="1465"/>
      <c r="EZ660" s="1465"/>
      <c r="FA660" s="1465"/>
    </row>
    <row r="661" spans="1:157" ht="12.95" customHeight="1">
      <c r="A661" s="22"/>
      <c r="B661" t="s">
        <v>580</v>
      </c>
      <c r="G661" s="1364" t="str">
        <f t="shared" ref="G661:G662" si="10">G587</f>
        <v>San Jose, CA</v>
      </c>
      <c r="H661" s="1364"/>
      <c r="I661" s="1364"/>
      <c r="J661" s="1364"/>
      <c r="K661" s="1364"/>
      <c r="L661" s="1364"/>
      <c r="M661" s="1364"/>
      <c r="N661" s="1364"/>
      <c r="O661" s="1364"/>
      <c r="P661" s="1364"/>
      <c r="Q661" s="1364"/>
      <c r="R661" s="1364"/>
      <c r="T661" s="22"/>
      <c r="U661" t="s">
        <v>580</v>
      </c>
      <c r="Z661" s="1444" t="str">
        <f t="shared" ref="Z661" si="11">G595</f>
        <v>San Diego, CA, 92128</v>
      </c>
      <c r="AA661" s="1444"/>
      <c r="AB661" s="1444"/>
      <c r="AC661" s="1444"/>
      <c r="AD661" s="1444"/>
      <c r="AE661" s="1444"/>
      <c r="AF661" s="1444"/>
      <c r="AG661" s="1444"/>
      <c r="AH661" s="1444"/>
      <c r="AI661" s="1444"/>
      <c r="AJ661" s="1444"/>
      <c r="AK661" s="1444"/>
      <c r="AZ661" s="34"/>
      <c r="BA661" s="34"/>
      <c r="BB661" s="34"/>
      <c r="BC661" s="34"/>
      <c r="BD661" s="34"/>
      <c r="BE661" s="34"/>
      <c r="BF661" s="34"/>
      <c r="BG661" s="34"/>
      <c r="BH661" s="34"/>
      <c r="BI661" s="34"/>
      <c r="BJ661" s="34"/>
      <c r="BK661" s="34"/>
      <c r="BL661" s="34"/>
      <c r="BM661" s="34"/>
      <c r="DX661" s="1465" t="e">
        <f t="shared" si="2"/>
        <v>#VALUE!</v>
      </c>
      <c r="DY661" s="1465"/>
      <c r="DZ661" s="1465"/>
      <c r="EA661" s="1465"/>
      <c r="EB661" s="1465"/>
      <c r="EC661" s="1465" t="e">
        <f t="shared" si="3"/>
        <v>#VALUE!</v>
      </c>
      <c r="ED661" s="1465"/>
      <c r="EE661" s="1465"/>
      <c r="EF661" s="1465"/>
      <c r="EG661" s="1465"/>
      <c r="EH661" s="1465" t="e">
        <f t="shared" si="4"/>
        <v>#VALUE!</v>
      </c>
      <c r="EI661" s="1465"/>
      <c r="EJ661" s="1465"/>
      <c r="EK661" s="1465"/>
      <c r="EL661" s="1465"/>
      <c r="EM661" s="1465" t="e">
        <f t="shared" si="5"/>
        <v>#VALUE!</v>
      </c>
      <c r="EN661" s="1465"/>
      <c r="EO661" s="1465"/>
      <c r="EP661" s="1465"/>
      <c r="EQ661" s="1465"/>
      <c r="ER661" s="1465" t="e">
        <f t="shared" si="6"/>
        <v>#VALUE!</v>
      </c>
      <c r="ES661" s="1465"/>
      <c r="ET661" s="1465"/>
      <c r="EU661" s="1465"/>
      <c r="EV661" s="1465"/>
      <c r="EW661" s="1465" t="e">
        <f t="shared" si="7"/>
        <v>#VALUE!</v>
      </c>
      <c r="EX661" s="1465"/>
      <c r="EY661" s="1465"/>
      <c r="EZ661" s="1465"/>
      <c r="FA661" s="1465"/>
    </row>
    <row r="662" spans="1:157" ht="12.95" customHeight="1">
      <c r="A662" s="22"/>
      <c r="B662" t="s">
        <v>17</v>
      </c>
      <c r="G662" s="1364" t="str">
        <f t="shared" si="10"/>
        <v>Lucy Ma</v>
      </c>
      <c r="H662" s="1364"/>
      <c r="I662" s="1364"/>
      <c r="J662" s="1364"/>
      <c r="K662" s="1364"/>
      <c r="L662" s="1364"/>
      <c r="M662" s="1364"/>
      <c r="N662" s="1364"/>
      <c r="O662" s="1364"/>
      <c r="P662" s="1364"/>
      <c r="Q662" s="1364"/>
      <c r="R662" s="1364"/>
      <c r="T662" s="22"/>
      <c r="U662" t="s">
        <v>17</v>
      </c>
      <c r="Z662" s="1444" t="s">
        <v>2634</v>
      </c>
      <c r="AA662" s="1444"/>
      <c r="AB662" s="1444"/>
      <c r="AC662" s="1444"/>
      <c r="AD662" s="1444"/>
      <c r="AE662" s="1444"/>
      <c r="AF662" s="1444"/>
      <c r="AG662" s="1444"/>
      <c r="AH662" s="1444"/>
      <c r="AI662" s="1444"/>
      <c r="AJ662" s="1444"/>
      <c r="AK662" s="144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65" t="e">
        <f t="shared" si="2"/>
        <v>#VALUE!</v>
      </c>
      <c r="DY662" s="1465"/>
      <c r="DZ662" s="1465"/>
      <c r="EA662" s="1465"/>
      <c r="EB662" s="1465"/>
      <c r="EC662" s="1465" t="e">
        <f t="shared" si="3"/>
        <v>#VALUE!</v>
      </c>
      <c r="ED662" s="1465"/>
      <c r="EE662" s="1465"/>
      <c r="EF662" s="1465"/>
      <c r="EG662" s="1465"/>
      <c r="EH662" s="1465" t="e">
        <f t="shared" si="4"/>
        <v>#VALUE!</v>
      </c>
      <c r="EI662" s="1465"/>
      <c r="EJ662" s="1465"/>
      <c r="EK662" s="1465"/>
      <c r="EL662" s="1465"/>
      <c r="EM662" s="1465" t="e">
        <f t="shared" si="5"/>
        <v>#VALUE!</v>
      </c>
      <c r="EN662" s="1465"/>
      <c r="EO662" s="1465"/>
      <c r="EP662" s="1465"/>
      <c r="EQ662" s="1465"/>
      <c r="ER662" s="1465" t="e">
        <f t="shared" si="6"/>
        <v>#VALUE!</v>
      </c>
      <c r="ES662" s="1465"/>
      <c r="ET662" s="1465"/>
      <c r="EU662" s="1465"/>
      <c r="EV662" s="1465"/>
      <c r="EW662" s="1465" t="e">
        <f t="shared" si="7"/>
        <v>#VALUE!</v>
      </c>
      <c r="EX662" s="1465"/>
      <c r="EY662" s="1465"/>
      <c r="EZ662" s="1465"/>
      <c r="FA662" s="1465"/>
    </row>
    <row r="663" spans="1:157" ht="12.95" customHeight="1">
      <c r="A663" s="22"/>
      <c r="B663" t="s">
        <v>316</v>
      </c>
      <c r="G663" s="1443" t="str">
        <f>G589</f>
        <v>669.309.4212</v>
      </c>
      <c r="H663" s="1443"/>
      <c r="I663" s="1443"/>
      <c r="J663" s="1443"/>
      <c r="K663" s="1443"/>
      <c r="L663" s="1443"/>
      <c r="O663" s="33" t="s">
        <v>206</v>
      </c>
      <c r="P663" s="1472" t="s">
        <v>591</v>
      </c>
      <c r="Q663" s="1433"/>
      <c r="R663" s="1433"/>
      <c r="T663" s="22"/>
      <c r="U663" t="s">
        <v>316</v>
      </c>
      <c r="Z663" s="1442" t="s">
        <v>2635</v>
      </c>
      <c r="AA663" s="1443"/>
      <c r="AB663" s="1443"/>
      <c r="AC663" s="1443"/>
      <c r="AD663" s="1443"/>
      <c r="AE663" s="1443"/>
      <c r="AH663" s="33" t="s">
        <v>206</v>
      </c>
      <c r="AI663" s="1472" t="s">
        <v>591</v>
      </c>
      <c r="AJ663" s="1433"/>
      <c r="AK663" s="143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65" t="e">
        <f t="shared" si="2"/>
        <v>#VALUE!</v>
      </c>
      <c r="DY663" s="1465"/>
      <c r="DZ663" s="1465"/>
      <c r="EA663" s="1465"/>
      <c r="EB663" s="1465"/>
      <c r="EC663" s="1465" t="e">
        <f t="shared" si="3"/>
        <v>#VALUE!</v>
      </c>
      <c r="ED663" s="1465"/>
      <c r="EE663" s="1465"/>
      <c r="EF663" s="1465"/>
      <c r="EG663" s="1465"/>
      <c r="EH663" s="1465" t="e">
        <f t="shared" si="4"/>
        <v>#VALUE!</v>
      </c>
      <c r="EI663" s="1465"/>
      <c r="EJ663" s="1465"/>
      <c r="EK663" s="1465"/>
      <c r="EL663" s="1465"/>
      <c r="EM663" s="1465" t="e">
        <f t="shared" si="5"/>
        <v>#VALUE!</v>
      </c>
      <c r="EN663" s="1465"/>
      <c r="EO663" s="1465"/>
      <c r="EP663" s="1465"/>
      <c r="EQ663" s="1465"/>
      <c r="ER663" s="1465" t="e">
        <f t="shared" si="6"/>
        <v>#VALUE!</v>
      </c>
      <c r="ES663" s="1465"/>
      <c r="ET663" s="1465"/>
      <c r="EU663" s="1465"/>
      <c r="EV663" s="1465"/>
      <c r="EW663" s="1465" t="e">
        <f t="shared" si="7"/>
        <v>#VALUE!</v>
      </c>
      <c r="EX663" s="1465"/>
      <c r="EY663" s="1465"/>
      <c r="EZ663" s="1465"/>
      <c r="FA663" s="1465"/>
    </row>
    <row r="664" spans="1:157" ht="12.95" customHeight="1">
      <c r="A664" s="22"/>
      <c r="B664" t="s">
        <v>18</v>
      </c>
      <c r="H664" s="1364" t="str">
        <f>M631</f>
        <v>Loan, Residual Receipts</v>
      </c>
      <c r="I664" s="1364"/>
      <c r="J664" s="1364"/>
      <c r="K664" s="1364"/>
      <c r="L664" s="1364"/>
      <c r="M664" s="1364"/>
      <c r="N664" s="1364"/>
      <c r="O664" s="1364"/>
      <c r="P664" s="1364"/>
      <c r="Q664" s="1364"/>
      <c r="R664" s="1364"/>
      <c r="T664" s="22"/>
      <c r="U664" t="s">
        <v>18</v>
      </c>
      <c r="AA664" s="1364" t="str">
        <f>M632</f>
        <v>Developer Fee, Deferral</v>
      </c>
      <c r="AB664" s="1364"/>
      <c r="AC664" s="1364"/>
      <c r="AD664" s="1364"/>
      <c r="AE664" s="1364"/>
      <c r="AF664" s="1364"/>
      <c r="AG664" s="1364"/>
      <c r="AH664" s="1364"/>
      <c r="AI664" s="1364"/>
      <c r="AJ664" s="1364"/>
      <c r="AK664" s="136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65" t="e">
        <f t="shared" si="2"/>
        <v>#VALUE!</v>
      </c>
      <c r="DY664" s="1465"/>
      <c r="DZ664" s="1465"/>
      <c r="EA664" s="1465"/>
      <c r="EB664" s="1465"/>
      <c r="EC664" s="1465" t="e">
        <f t="shared" si="3"/>
        <v>#VALUE!</v>
      </c>
      <c r="ED664" s="1465"/>
      <c r="EE664" s="1465"/>
      <c r="EF664" s="1465"/>
      <c r="EG664" s="1465"/>
      <c r="EH664" s="1465" t="e">
        <f t="shared" si="4"/>
        <v>#VALUE!</v>
      </c>
      <c r="EI664" s="1465"/>
      <c r="EJ664" s="1465"/>
      <c r="EK664" s="1465"/>
      <c r="EL664" s="1465"/>
      <c r="EM664" s="1465" t="e">
        <f t="shared" si="5"/>
        <v>#VALUE!</v>
      </c>
      <c r="EN664" s="1465"/>
      <c r="EO664" s="1465"/>
      <c r="EP664" s="1465"/>
      <c r="EQ664" s="1465"/>
      <c r="ER664" s="1465" t="e">
        <f t="shared" si="6"/>
        <v>#VALUE!</v>
      </c>
      <c r="ES664" s="1465"/>
      <c r="ET664" s="1465"/>
      <c r="EU664" s="1465"/>
      <c r="EV664" s="1465"/>
      <c r="EW664" s="1465" t="e">
        <f t="shared" si="7"/>
        <v>#VALUE!</v>
      </c>
      <c r="EX664" s="1465"/>
      <c r="EY664" s="1465"/>
      <c r="EZ664" s="1465"/>
      <c r="FA664" s="1465"/>
    </row>
    <row r="665" spans="1:157" ht="12.95" customHeight="1">
      <c r="A665" s="22"/>
      <c r="B665" t="s">
        <v>20</v>
      </c>
      <c r="N665" s="1356" t="s">
        <v>545</v>
      </c>
      <c r="O665" s="1356"/>
      <c r="T665" s="22"/>
      <c r="U665" t="s">
        <v>20</v>
      </c>
      <c r="AG665" s="1356" t="s">
        <v>545</v>
      </c>
      <c r="AH665" s="135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65" t="e">
        <f t="shared" si="2"/>
        <v>#VALUE!</v>
      </c>
      <c r="DY665" s="1465"/>
      <c r="DZ665" s="1465"/>
      <c r="EA665" s="1465"/>
      <c r="EB665" s="1465"/>
      <c r="EC665" s="1465" t="e">
        <f t="shared" si="3"/>
        <v>#VALUE!</v>
      </c>
      <c r="ED665" s="1465"/>
      <c r="EE665" s="1465"/>
      <c r="EF665" s="1465"/>
      <c r="EG665" s="1465"/>
      <c r="EH665" s="1465" t="e">
        <f t="shared" si="4"/>
        <v>#VALUE!</v>
      </c>
      <c r="EI665" s="1465"/>
      <c r="EJ665" s="1465"/>
      <c r="EK665" s="1465"/>
      <c r="EL665" s="1465"/>
      <c r="EM665" s="1465" t="e">
        <f t="shared" si="5"/>
        <v>#VALUE!</v>
      </c>
      <c r="EN665" s="1465"/>
      <c r="EO665" s="1465"/>
      <c r="EP665" s="1465"/>
      <c r="EQ665" s="1465"/>
      <c r="ER665" s="1465" t="e">
        <f t="shared" si="6"/>
        <v>#VALUE!</v>
      </c>
      <c r="ES665" s="1465"/>
      <c r="ET665" s="1465"/>
      <c r="EU665" s="1465"/>
      <c r="EV665" s="1465"/>
      <c r="EW665" s="1465" t="e">
        <f t="shared" si="7"/>
        <v>#VALUE!</v>
      </c>
      <c r="EX665" s="1465"/>
      <c r="EY665" s="1465"/>
      <c r="EZ665" s="1465"/>
      <c r="FA665" s="1465"/>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65" t="e">
        <f t="shared" si="2"/>
        <v>#VALUE!</v>
      </c>
      <c r="DY666" s="1465"/>
      <c r="DZ666" s="1465"/>
      <c r="EA666" s="1465"/>
      <c r="EB666" s="1465"/>
      <c r="EC666" s="1465" t="e">
        <f t="shared" si="3"/>
        <v>#VALUE!</v>
      </c>
      <c r="ED666" s="1465"/>
      <c r="EE666" s="1465"/>
      <c r="EF666" s="1465"/>
      <c r="EG666" s="1465"/>
      <c r="EH666" s="1465" t="e">
        <f t="shared" si="4"/>
        <v>#VALUE!</v>
      </c>
      <c r="EI666" s="1465"/>
      <c r="EJ666" s="1465"/>
      <c r="EK666" s="1465"/>
      <c r="EL666" s="1465"/>
      <c r="EM666" s="1465" t="e">
        <f t="shared" si="5"/>
        <v>#VALUE!</v>
      </c>
      <c r="EN666" s="1465"/>
      <c r="EO666" s="1465"/>
      <c r="EP666" s="1465"/>
      <c r="EQ666" s="1465"/>
      <c r="ER666" s="1465" t="e">
        <f t="shared" si="6"/>
        <v>#VALUE!</v>
      </c>
      <c r="ES666" s="1465"/>
      <c r="ET666" s="1465"/>
      <c r="EU666" s="1465"/>
      <c r="EV666" s="1465"/>
      <c r="EW666" s="1465" t="e">
        <f t="shared" si="7"/>
        <v>#VALUE!</v>
      </c>
      <c r="EX666" s="1465"/>
      <c r="EY666" s="1465"/>
      <c r="EZ666" s="1465"/>
      <c r="FA666" s="1465"/>
    </row>
    <row r="667" spans="1:157" ht="12.95" customHeight="1">
      <c r="A667" s="55" t="s">
        <v>455</v>
      </c>
      <c r="B667" t="s">
        <v>463</v>
      </c>
      <c r="G667" s="1421">
        <f>C633</f>
        <v>0</v>
      </c>
      <c r="H667" s="1421"/>
      <c r="I667" s="1421"/>
      <c r="J667" s="1421"/>
      <c r="K667" s="1421"/>
      <c r="L667" s="1421"/>
      <c r="M667" s="1421"/>
      <c r="N667" s="1421"/>
      <c r="O667" s="1421"/>
      <c r="P667" s="1421"/>
      <c r="Q667" s="1421"/>
      <c r="R667" s="1421"/>
      <c r="T667" s="55" t="s">
        <v>456</v>
      </c>
      <c r="U667" t="s">
        <v>463</v>
      </c>
      <c r="Z667" s="1421">
        <f>C634</f>
        <v>0</v>
      </c>
      <c r="AA667" s="1421"/>
      <c r="AB667" s="1421"/>
      <c r="AC667" s="1421"/>
      <c r="AD667" s="1421"/>
      <c r="AE667" s="1421"/>
      <c r="AF667" s="1421"/>
      <c r="AG667" s="1421"/>
      <c r="AH667" s="1421"/>
      <c r="AI667" s="1421"/>
      <c r="AJ667" s="1421"/>
      <c r="AK667" s="1421"/>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65" t="e">
        <f t="shared" si="2"/>
        <v>#VALUE!</v>
      </c>
      <c r="DY667" s="1465"/>
      <c r="DZ667" s="1465"/>
      <c r="EA667" s="1465"/>
      <c r="EB667" s="1465"/>
      <c r="EC667" s="1465" t="e">
        <f t="shared" si="3"/>
        <v>#VALUE!</v>
      </c>
      <c r="ED667" s="1465"/>
      <c r="EE667" s="1465"/>
      <c r="EF667" s="1465"/>
      <c r="EG667" s="1465"/>
      <c r="EH667" s="1465" t="e">
        <f t="shared" si="4"/>
        <v>#VALUE!</v>
      </c>
      <c r="EI667" s="1465"/>
      <c r="EJ667" s="1465"/>
      <c r="EK667" s="1465"/>
      <c r="EL667" s="1465"/>
      <c r="EM667" s="1465" t="e">
        <f t="shared" si="5"/>
        <v>#VALUE!</v>
      </c>
      <c r="EN667" s="1465"/>
      <c r="EO667" s="1465"/>
      <c r="EP667" s="1465"/>
      <c r="EQ667" s="1465"/>
      <c r="ER667" s="1465" t="e">
        <f t="shared" si="6"/>
        <v>#VALUE!</v>
      </c>
      <c r="ES667" s="1465"/>
      <c r="ET667" s="1465"/>
      <c r="EU667" s="1465"/>
      <c r="EV667" s="1465"/>
      <c r="EW667" s="1465" t="e">
        <f t="shared" si="7"/>
        <v>#VALUE!</v>
      </c>
      <c r="EX667" s="1465"/>
      <c r="EY667" s="1465"/>
      <c r="EZ667" s="1465"/>
      <c r="FA667" s="1465"/>
    </row>
    <row r="668" spans="1:157" ht="12.95" customHeight="1">
      <c r="A668" s="22"/>
      <c r="B668" t="s">
        <v>85</v>
      </c>
      <c r="G668" s="1364"/>
      <c r="H668" s="1364"/>
      <c r="I668" s="1364"/>
      <c r="J668" s="1364"/>
      <c r="K668" s="1364"/>
      <c r="L668" s="1364"/>
      <c r="M668" s="1364"/>
      <c r="N668" s="1364"/>
      <c r="O668" s="1364"/>
      <c r="P668" s="1364"/>
      <c r="Q668" s="1364"/>
      <c r="R668" s="1364"/>
      <c r="T668" s="22"/>
      <c r="U668" t="s">
        <v>85</v>
      </c>
      <c r="Z668" s="1364"/>
      <c r="AA668" s="1364"/>
      <c r="AB668" s="1364"/>
      <c r="AC668" s="1364"/>
      <c r="AD668" s="1364"/>
      <c r="AE668" s="1364"/>
      <c r="AF668" s="1364"/>
      <c r="AG668" s="1364"/>
      <c r="AH668" s="1364"/>
      <c r="AI668" s="1364"/>
      <c r="AJ668" s="1364"/>
      <c r="AK668" s="1364"/>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65" t="e">
        <f t="shared" si="2"/>
        <v>#VALUE!</v>
      </c>
      <c r="DY668" s="1465"/>
      <c r="DZ668" s="1465"/>
      <c r="EA668" s="1465"/>
      <c r="EB668" s="1465"/>
      <c r="EC668" s="1465" t="e">
        <f t="shared" si="3"/>
        <v>#VALUE!</v>
      </c>
      <c r="ED668" s="1465"/>
      <c r="EE668" s="1465"/>
      <c r="EF668" s="1465"/>
      <c r="EG668" s="1465"/>
      <c r="EH668" s="1465" t="e">
        <f t="shared" si="4"/>
        <v>#VALUE!</v>
      </c>
      <c r="EI668" s="1465"/>
      <c r="EJ668" s="1465"/>
      <c r="EK668" s="1465"/>
      <c r="EL668" s="1465"/>
      <c r="EM668" s="1465" t="e">
        <f t="shared" si="5"/>
        <v>#VALUE!</v>
      </c>
      <c r="EN668" s="1465"/>
      <c r="EO668" s="1465"/>
      <c r="EP668" s="1465"/>
      <c r="EQ668" s="1465"/>
      <c r="ER668" s="1465" t="e">
        <f t="shared" si="6"/>
        <v>#VALUE!</v>
      </c>
      <c r="ES668" s="1465"/>
      <c r="ET668" s="1465"/>
      <c r="EU668" s="1465"/>
      <c r="EV668" s="1465"/>
      <c r="EW668" s="1465" t="e">
        <f t="shared" si="7"/>
        <v>#VALUE!</v>
      </c>
      <c r="EX668" s="1465"/>
      <c r="EY668" s="1465"/>
      <c r="EZ668" s="1465"/>
      <c r="FA668" s="1465"/>
    </row>
    <row r="669" spans="1:157" ht="12.95" customHeight="1">
      <c r="A669" s="22"/>
      <c r="B669" t="s">
        <v>580</v>
      </c>
      <c r="G669" s="1364"/>
      <c r="H669" s="1364"/>
      <c r="I669" s="1364"/>
      <c r="J669" s="1364"/>
      <c r="K669" s="1364"/>
      <c r="L669" s="1364"/>
      <c r="M669" s="1364"/>
      <c r="N669" s="1364"/>
      <c r="O669" s="1364"/>
      <c r="P669" s="1364"/>
      <c r="Q669" s="1364"/>
      <c r="R669" s="1364"/>
      <c r="T669" s="22"/>
      <c r="U669" t="s">
        <v>580</v>
      </c>
      <c r="Z669" s="1444"/>
      <c r="AA669" s="1444"/>
      <c r="AB669" s="1444"/>
      <c r="AC669" s="1444"/>
      <c r="AD669" s="1444"/>
      <c r="AE669" s="1444"/>
      <c r="AF669" s="1444"/>
      <c r="AG669" s="1444"/>
      <c r="AH669" s="1444"/>
      <c r="AI669" s="1444"/>
      <c r="AJ669" s="1444"/>
      <c r="AK669" s="1444"/>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65" t="e">
        <f t="shared" si="2"/>
        <v>#VALUE!</v>
      </c>
      <c r="DY669" s="1465"/>
      <c r="DZ669" s="1465"/>
      <c r="EA669" s="1465"/>
      <c r="EB669" s="1465"/>
      <c r="EC669" s="1465" t="e">
        <f t="shared" si="3"/>
        <v>#VALUE!</v>
      </c>
      <c r="ED669" s="1465"/>
      <c r="EE669" s="1465"/>
      <c r="EF669" s="1465"/>
      <c r="EG669" s="1465"/>
      <c r="EH669" s="1465" t="e">
        <f t="shared" si="4"/>
        <v>#VALUE!</v>
      </c>
      <c r="EI669" s="1465"/>
      <c r="EJ669" s="1465"/>
      <c r="EK669" s="1465"/>
      <c r="EL669" s="1465"/>
      <c r="EM669" s="1465" t="e">
        <f t="shared" si="5"/>
        <v>#VALUE!</v>
      </c>
      <c r="EN669" s="1465"/>
      <c r="EO669" s="1465"/>
      <c r="EP669" s="1465"/>
      <c r="EQ669" s="1465"/>
      <c r="ER669" s="1465" t="e">
        <f t="shared" si="6"/>
        <v>#VALUE!</v>
      </c>
      <c r="ES669" s="1465"/>
      <c r="ET669" s="1465"/>
      <c r="EU669" s="1465"/>
      <c r="EV669" s="1465"/>
      <c r="EW669" s="1465" t="e">
        <f t="shared" si="7"/>
        <v>#VALUE!</v>
      </c>
      <c r="EX669" s="1465"/>
      <c r="EY669" s="1465"/>
      <c r="EZ669" s="1465"/>
      <c r="FA669" s="1465"/>
    </row>
    <row r="670" spans="1:157" ht="12.95" customHeight="1">
      <c r="A670" s="22"/>
      <c r="B670" t="s">
        <v>17</v>
      </c>
      <c r="G670" s="1364"/>
      <c r="H670" s="1364"/>
      <c r="I670" s="1364"/>
      <c r="J670" s="1364"/>
      <c r="K670" s="1364"/>
      <c r="L670" s="1364"/>
      <c r="M670" s="1364"/>
      <c r="N670" s="1364"/>
      <c r="O670" s="1364"/>
      <c r="P670" s="1364"/>
      <c r="Q670" s="1364"/>
      <c r="R670" s="1364"/>
      <c r="T670" s="22"/>
      <c r="U670" t="s">
        <v>17</v>
      </c>
      <c r="Z670" s="1444"/>
      <c r="AA670" s="1444"/>
      <c r="AB670" s="1444"/>
      <c r="AC670" s="1444"/>
      <c r="AD670" s="1444"/>
      <c r="AE670" s="1444"/>
      <c r="AF670" s="1444"/>
      <c r="AG670" s="1444"/>
      <c r="AH670" s="1444"/>
      <c r="AI670" s="1444"/>
      <c r="AJ670" s="1444"/>
      <c r="AK670" s="1444"/>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65">
        <f>SUMIF(DX635:EB669,"&gt;0")</f>
        <v>1696.8412698412696</v>
      </c>
      <c r="DY670" s="1465"/>
      <c r="DZ670" s="1465"/>
      <c r="EA670" s="1465"/>
      <c r="EB670" s="1465"/>
      <c r="EC670" s="1465">
        <f>SUMIF(EC635:EG669,"&gt;0")</f>
        <v>1071</v>
      </c>
      <c r="ED670" s="1465"/>
      <c r="EE670" s="1465"/>
      <c r="EF670" s="1465"/>
      <c r="EG670" s="1465"/>
      <c r="EH670" s="1465">
        <f>SUMIF(EH635:EL669,"&gt;0")</f>
        <v>2266.0188679245284</v>
      </c>
      <c r="EI670" s="1465"/>
      <c r="EJ670" s="1465"/>
      <c r="EK670" s="1465"/>
      <c r="EL670" s="1465"/>
      <c r="EM670" s="1465">
        <f>SUMIF(EM635:EQ669,"&gt;0")</f>
        <v>2437.9807692307691</v>
      </c>
      <c r="EN670" s="1465"/>
      <c r="EO670" s="1465"/>
      <c r="EP670" s="1465"/>
      <c r="EQ670" s="1465"/>
      <c r="ER670" s="1465">
        <f>SUMIF(ER635:EV669,"&gt;0")</f>
        <v>0</v>
      </c>
      <c r="ES670" s="1465"/>
      <c r="ET670" s="1465"/>
      <c r="EU670" s="1465"/>
      <c r="EV670" s="1465"/>
      <c r="EW670" s="1465">
        <f>SUMIF(EW635:FA669,"&gt;0")</f>
        <v>0</v>
      </c>
      <c r="EX670" s="1465"/>
      <c r="EY670" s="1465"/>
      <c r="EZ670" s="1465"/>
      <c r="FA670" s="1465"/>
    </row>
    <row r="671" spans="1:157" ht="12.95" customHeight="1">
      <c r="A671" s="22"/>
      <c r="B671" t="s">
        <v>316</v>
      </c>
      <c r="G671" s="1443"/>
      <c r="H671" s="1443"/>
      <c r="I671" s="1443"/>
      <c r="J671" s="1443"/>
      <c r="K671" s="1443"/>
      <c r="L671" s="1443"/>
      <c r="O671" s="33" t="s">
        <v>206</v>
      </c>
      <c r="P671" s="1433"/>
      <c r="Q671" s="1433"/>
      <c r="R671" s="1433"/>
      <c r="T671" s="22"/>
      <c r="U671" t="s">
        <v>316</v>
      </c>
      <c r="Z671" s="1443"/>
      <c r="AA671" s="1443"/>
      <c r="AB671" s="1443"/>
      <c r="AC671" s="1443"/>
      <c r="AD671" s="1443"/>
      <c r="AE671" s="1443"/>
      <c r="AH671" s="33" t="s">
        <v>206</v>
      </c>
      <c r="AI671" s="1433"/>
      <c r="AJ671" s="1433"/>
      <c r="AK671" s="1433"/>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64"/>
      <c r="I672" s="1364"/>
      <c r="J672" s="1364"/>
      <c r="K672" s="1364"/>
      <c r="L672" s="1364"/>
      <c r="M672" s="1364"/>
      <c r="N672" s="1364"/>
      <c r="O672" s="1364"/>
      <c r="P672" s="1364"/>
      <c r="Q672" s="1364"/>
      <c r="R672" s="1364"/>
      <c r="T672" s="22"/>
      <c r="U672" t="s">
        <v>18</v>
      </c>
      <c r="AA672" s="1364"/>
      <c r="AB672" s="1364"/>
      <c r="AC672" s="1364"/>
      <c r="AD672" s="1364"/>
      <c r="AE672" s="1364"/>
      <c r="AF672" s="1364"/>
      <c r="AG672" s="1364"/>
      <c r="AH672" s="1364"/>
      <c r="AI672" s="1364"/>
      <c r="AJ672" s="1364"/>
      <c r="AK672" s="1364"/>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56" t="s">
        <v>669</v>
      </c>
      <c r="O673" s="1356"/>
      <c r="T673" s="22"/>
      <c r="U673" t="s">
        <v>20</v>
      </c>
      <c r="AG673" s="1356" t="s">
        <v>669</v>
      </c>
      <c r="AH673" s="1356"/>
      <c r="AZ673" s="3"/>
    </row>
    <row r="674" spans="1:52" ht="12.95" customHeight="1">
      <c r="A674" s="22"/>
      <c r="T674" s="22"/>
      <c r="AZ674" s="3"/>
    </row>
    <row r="675" spans="1:52" ht="12.95" customHeight="1">
      <c r="A675" s="55" t="s">
        <v>461</v>
      </c>
      <c r="B675" t="s">
        <v>463</v>
      </c>
      <c r="G675" s="1421">
        <f>C635</f>
        <v>0</v>
      </c>
      <c r="H675" s="1421"/>
      <c r="I675" s="1421"/>
      <c r="J675" s="1421"/>
      <c r="K675" s="1421"/>
      <c r="L675" s="1421"/>
      <c r="M675" s="1421"/>
      <c r="N675" s="1421"/>
      <c r="O675" s="1421"/>
      <c r="P675" s="1421"/>
      <c r="Q675" s="1421"/>
      <c r="R675" s="1421"/>
      <c r="T675" s="55" t="s">
        <v>646</v>
      </c>
      <c r="U675" t="s">
        <v>463</v>
      </c>
      <c r="Z675" s="1421">
        <f>C636</f>
        <v>0</v>
      </c>
      <c r="AA675" s="1421"/>
      <c r="AB675" s="1421"/>
      <c r="AC675" s="1421"/>
      <c r="AD675" s="1421"/>
      <c r="AE675" s="1421"/>
      <c r="AF675" s="1421"/>
      <c r="AG675" s="1421"/>
      <c r="AH675" s="1421"/>
      <c r="AI675" s="1421"/>
      <c r="AJ675" s="1421"/>
      <c r="AK675" s="1421"/>
      <c r="AZ675" s="3"/>
    </row>
    <row r="676" spans="1:52" ht="12.95" customHeight="1">
      <c r="A676" s="22"/>
      <c r="B676" t="s">
        <v>85</v>
      </c>
      <c r="G676" s="1364"/>
      <c r="H676" s="1364"/>
      <c r="I676" s="1364"/>
      <c r="J676" s="1364"/>
      <c r="K676" s="1364"/>
      <c r="L676" s="1364"/>
      <c r="M676" s="1364"/>
      <c r="N676" s="1364"/>
      <c r="O676" s="1364"/>
      <c r="P676" s="1364"/>
      <c r="Q676" s="1364"/>
      <c r="R676" s="1364"/>
      <c r="T676" s="22"/>
      <c r="U676" t="s">
        <v>85</v>
      </c>
      <c r="Z676" s="1364"/>
      <c r="AA676" s="1364"/>
      <c r="AB676" s="1364"/>
      <c r="AC676" s="1364"/>
      <c r="AD676" s="1364"/>
      <c r="AE676" s="1364"/>
      <c r="AF676" s="1364"/>
      <c r="AG676" s="1364"/>
      <c r="AH676" s="1364"/>
      <c r="AI676" s="1364"/>
      <c r="AJ676" s="1364"/>
      <c r="AK676" s="1364"/>
      <c r="AZ676" s="3"/>
    </row>
    <row r="677" spans="1:52" ht="12.95" customHeight="1">
      <c r="A677" s="22"/>
      <c r="B677" t="s">
        <v>580</v>
      </c>
      <c r="G677" s="1364"/>
      <c r="H677" s="1364"/>
      <c r="I677" s="1364"/>
      <c r="J677" s="1364"/>
      <c r="K677" s="1364"/>
      <c r="L677" s="1364"/>
      <c r="M677" s="1364"/>
      <c r="N677" s="1364"/>
      <c r="O677" s="1364"/>
      <c r="P677" s="1364"/>
      <c r="Q677" s="1364"/>
      <c r="R677" s="1364"/>
      <c r="T677" s="22"/>
      <c r="U677" t="s">
        <v>580</v>
      </c>
      <c r="Z677" s="1444"/>
      <c r="AA677" s="1444"/>
      <c r="AB677" s="1444"/>
      <c r="AC677" s="1444"/>
      <c r="AD677" s="1444"/>
      <c r="AE677" s="1444"/>
      <c r="AF677" s="1444"/>
      <c r="AG677" s="1444"/>
      <c r="AH677" s="1444"/>
      <c r="AI677" s="1444"/>
      <c r="AJ677" s="1444"/>
      <c r="AK677" s="1444"/>
      <c r="AZ677" s="3"/>
    </row>
    <row r="678" spans="1:52" ht="12.95" customHeight="1">
      <c r="A678" s="22"/>
      <c r="B678" t="s">
        <v>17</v>
      </c>
      <c r="G678" s="1364"/>
      <c r="H678" s="1364"/>
      <c r="I678" s="1364"/>
      <c r="J678" s="1364"/>
      <c r="K678" s="1364"/>
      <c r="L678" s="1364"/>
      <c r="M678" s="1364"/>
      <c r="N678" s="1364"/>
      <c r="O678" s="1364"/>
      <c r="P678" s="1364"/>
      <c r="Q678" s="1364"/>
      <c r="R678" s="1364"/>
      <c r="T678" s="22"/>
      <c r="U678" t="s">
        <v>17</v>
      </c>
      <c r="Z678" s="1444"/>
      <c r="AA678" s="1444"/>
      <c r="AB678" s="1444"/>
      <c r="AC678" s="1444"/>
      <c r="AD678" s="1444"/>
      <c r="AE678" s="1444"/>
      <c r="AF678" s="1444"/>
      <c r="AG678" s="1444"/>
      <c r="AH678" s="1444"/>
      <c r="AI678" s="1444"/>
      <c r="AJ678" s="1444"/>
      <c r="AK678" s="1444"/>
      <c r="AZ678" s="3"/>
    </row>
    <row r="679" spans="1:52" ht="12.95" customHeight="1">
      <c r="A679" s="22"/>
      <c r="B679" t="s">
        <v>316</v>
      </c>
      <c r="G679" s="1443"/>
      <c r="H679" s="1443"/>
      <c r="I679" s="1443"/>
      <c r="J679" s="1443"/>
      <c r="K679" s="1443"/>
      <c r="L679" s="1443"/>
      <c r="O679" s="33" t="s">
        <v>206</v>
      </c>
      <c r="P679" s="1433"/>
      <c r="Q679" s="1433"/>
      <c r="R679" s="1433"/>
      <c r="T679" s="22"/>
      <c r="U679" t="s">
        <v>316</v>
      </c>
      <c r="Z679" s="1443"/>
      <c r="AA679" s="1443"/>
      <c r="AB679" s="1443"/>
      <c r="AC679" s="1443"/>
      <c r="AD679" s="1443"/>
      <c r="AE679" s="1443"/>
      <c r="AH679" s="33" t="s">
        <v>206</v>
      </c>
      <c r="AI679" s="1433"/>
      <c r="AJ679" s="1433"/>
      <c r="AK679" s="1433"/>
      <c r="AZ679" s="3"/>
    </row>
    <row r="680" spans="1:52" ht="12.95" customHeight="1">
      <c r="A680" s="22"/>
      <c r="B680" t="s">
        <v>18</v>
      </c>
      <c r="H680" s="1364"/>
      <c r="I680" s="1364"/>
      <c r="J680" s="1364"/>
      <c r="K680" s="1364"/>
      <c r="L680" s="1364"/>
      <c r="M680" s="1364"/>
      <c r="N680" s="1364"/>
      <c r="O680" s="1364"/>
      <c r="P680" s="1364"/>
      <c r="Q680" s="1364"/>
      <c r="R680" s="1364"/>
      <c r="T680" s="22"/>
      <c r="U680" t="s">
        <v>18</v>
      </c>
      <c r="AA680" s="1364"/>
      <c r="AB680" s="1364"/>
      <c r="AC680" s="1364"/>
      <c r="AD680" s="1364"/>
      <c r="AE680" s="1364"/>
      <c r="AF680" s="1364"/>
      <c r="AG680" s="1364"/>
      <c r="AH680" s="1364"/>
      <c r="AI680" s="1364"/>
      <c r="AJ680" s="1364"/>
      <c r="AK680" s="1364"/>
      <c r="AZ680" s="3"/>
    </row>
    <row r="681" spans="1:52" ht="12.95" customHeight="1">
      <c r="A681" s="22"/>
      <c r="B681" t="s">
        <v>20</v>
      </c>
      <c r="N681" s="1356" t="s">
        <v>669</v>
      </c>
      <c r="O681" s="1356"/>
      <c r="T681" s="22"/>
      <c r="U681" t="s">
        <v>20</v>
      </c>
      <c r="AG681" s="1356" t="s">
        <v>669</v>
      </c>
      <c r="AH681" s="1356"/>
      <c r="AZ681" s="3"/>
    </row>
    <row r="682" spans="1:52" ht="12.95" customHeight="1">
      <c r="A682" s="22"/>
      <c r="T682" s="22"/>
      <c r="AZ682" s="3"/>
    </row>
    <row r="683" spans="1:52" ht="12.95" customHeight="1">
      <c r="A683" s="55" t="s">
        <v>362</v>
      </c>
      <c r="B683" t="s">
        <v>463</v>
      </c>
      <c r="G683" s="1421">
        <f>C637</f>
        <v>0</v>
      </c>
      <c r="H683" s="1421"/>
      <c r="I683" s="1421"/>
      <c r="J683" s="1421"/>
      <c r="K683" s="1421"/>
      <c r="L683" s="1421"/>
      <c r="M683" s="1421"/>
      <c r="N683" s="1421"/>
      <c r="O683" s="1421"/>
      <c r="P683" s="1421"/>
      <c r="Q683" s="1421"/>
      <c r="R683" s="1421"/>
      <c r="T683" s="55" t="s">
        <v>363</v>
      </c>
      <c r="U683" t="s">
        <v>463</v>
      </c>
      <c r="Z683" s="1421">
        <f>C638</f>
        <v>0</v>
      </c>
      <c r="AA683" s="1421"/>
      <c r="AB683" s="1421"/>
      <c r="AC683" s="1421"/>
      <c r="AD683" s="1421"/>
      <c r="AE683" s="1421"/>
      <c r="AF683" s="1421"/>
      <c r="AG683" s="1421"/>
      <c r="AH683" s="1421"/>
      <c r="AI683" s="1421"/>
      <c r="AJ683" s="1421"/>
      <c r="AK683" s="1421"/>
      <c r="AZ683" s="3"/>
    </row>
    <row r="684" spans="1:52" ht="12.95" customHeight="1">
      <c r="B684" t="s">
        <v>85</v>
      </c>
      <c r="G684" s="1364"/>
      <c r="H684" s="1364"/>
      <c r="I684" s="1364"/>
      <c r="J684" s="1364"/>
      <c r="K684" s="1364"/>
      <c r="L684" s="1364"/>
      <c r="M684" s="1364"/>
      <c r="N684" s="1364"/>
      <c r="O684" s="1364"/>
      <c r="P684" s="1364"/>
      <c r="Q684" s="1364"/>
      <c r="R684" s="1364"/>
      <c r="T684" s="22"/>
      <c r="U684" t="s">
        <v>85</v>
      </c>
      <c r="Z684" s="1364"/>
      <c r="AA684" s="1364"/>
      <c r="AB684" s="1364"/>
      <c r="AC684" s="1364"/>
      <c r="AD684" s="1364"/>
      <c r="AE684" s="1364"/>
      <c r="AF684" s="1364"/>
      <c r="AG684" s="1364"/>
      <c r="AH684" s="1364"/>
      <c r="AI684" s="1364"/>
      <c r="AJ684" s="1364"/>
      <c r="AK684" s="1364"/>
      <c r="AZ684" s="3"/>
    </row>
    <row r="685" spans="1:52" ht="12.95" customHeight="1">
      <c r="B685" t="s">
        <v>580</v>
      </c>
      <c r="G685" s="1364"/>
      <c r="H685" s="1364"/>
      <c r="I685" s="1364"/>
      <c r="J685" s="1364"/>
      <c r="K685" s="1364"/>
      <c r="L685" s="1364"/>
      <c r="M685" s="1364"/>
      <c r="N685" s="1364"/>
      <c r="O685" s="1364"/>
      <c r="P685" s="1364"/>
      <c r="Q685" s="1364"/>
      <c r="R685" s="1364"/>
      <c r="U685" t="s">
        <v>580</v>
      </c>
      <c r="Z685" s="1444"/>
      <c r="AA685" s="1444"/>
      <c r="AB685" s="1444"/>
      <c r="AC685" s="1444"/>
      <c r="AD685" s="1444"/>
      <c r="AE685" s="1444"/>
      <c r="AF685" s="1444"/>
      <c r="AG685" s="1444"/>
      <c r="AH685" s="1444"/>
      <c r="AI685" s="1444"/>
      <c r="AJ685" s="1444"/>
      <c r="AK685" s="1444"/>
      <c r="AZ685" s="3"/>
    </row>
    <row r="686" spans="1:52" ht="12.95" customHeight="1">
      <c r="B686" t="s">
        <v>17</v>
      </c>
      <c r="G686" s="1364"/>
      <c r="H686" s="1364"/>
      <c r="I686" s="1364"/>
      <c r="J686" s="1364"/>
      <c r="K686" s="1364"/>
      <c r="L686" s="1364"/>
      <c r="M686" s="1364"/>
      <c r="N686" s="1364"/>
      <c r="O686" s="1364"/>
      <c r="P686" s="1364"/>
      <c r="Q686" s="1364"/>
      <c r="R686" s="1364"/>
      <c r="U686" t="s">
        <v>17</v>
      </c>
      <c r="Z686" s="1444"/>
      <c r="AA686" s="1444"/>
      <c r="AB686" s="1444"/>
      <c r="AC686" s="1444"/>
      <c r="AD686" s="1444"/>
      <c r="AE686" s="1444"/>
      <c r="AF686" s="1444"/>
      <c r="AG686" s="1444"/>
      <c r="AH686" s="1444"/>
      <c r="AI686" s="1444"/>
      <c r="AJ686" s="1444"/>
      <c r="AK686" s="1444"/>
      <c r="AZ686" s="3"/>
    </row>
    <row r="687" spans="1:52" ht="12.95" customHeight="1">
      <c r="B687" t="s">
        <v>316</v>
      </c>
      <c r="G687" s="1443"/>
      <c r="H687" s="1443"/>
      <c r="I687" s="1443"/>
      <c r="J687" s="1443"/>
      <c r="K687" s="1443"/>
      <c r="L687" s="1443"/>
      <c r="O687" s="33" t="s">
        <v>206</v>
      </c>
      <c r="P687" s="1433"/>
      <c r="Q687" s="1433"/>
      <c r="R687" s="1433"/>
      <c r="U687" t="s">
        <v>316</v>
      </c>
      <c r="Z687" s="1443"/>
      <c r="AA687" s="1443"/>
      <c r="AB687" s="1443"/>
      <c r="AC687" s="1443"/>
      <c r="AD687" s="1443"/>
      <c r="AE687" s="1443"/>
      <c r="AH687" s="33" t="s">
        <v>206</v>
      </c>
      <c r="AI687" s="1433"/>
      <c r="AJ687" s="1433"/>
      <c r="AK687" s="1433"/>
      <c r="AZ687" s="3"/>
    </row>
    <row r="688" spans="1:52" ht="12.95" customHeight="1">
      <c r="B688" t="s">
        <v>18</v>
      </c>
      <c r="H688" s="1364"/>
      <c r="I688" s="1364"/>
      <c r="J688" s="1364"/>
      <c r="K688" s="1364"/>
      <c r="L688" s="1364"/>
      <c r="M688" s="1364"/>
      <c r="N688" s="1364"/>
      <c r="O688" s="1364"/>
      <c r="P688" s="1364"/>
      <c r="Q688" s="1364"/>
      <c r="R688" s="1364"/>
      <c r="U688" t="s">
        <v>18</v>
      </c>
      <c r="AA688" s="1364"/>
      <c r="AB688" s="1364"/>
      <c r="AC688" s="1364"/>
      <c r="AD688" s="1364"/>
      <c r="AE688" s="1364"/>
      <c r="AF688" s="1364"/>
      <c r="AG688" s="1364"/>
      <c r="AH688" s="1364"/>
      <c r="AI688" s="1364"/>
      <c r="AJ688" s="1364"/>
      <c r="AK688" s="1364"/>
      <c r="AZ688" s="3"/>
    </row>
    <row r="689" spans="1:67" ht="12.95" customHeight="1">
      <c r="B689" t="s">
        <v>20</v>
      </c>
      <c r="N689" s="1356" t="s">
        <v>669</v>
      </c>
      <c r="O689" s="1356"/>
      <c r="U689" t="s">
        <v>20</v>
      </c>
      <c r="AG689" s="1356" t="s">
        <v>669</v>
      </c>
      <c r="AH689" s="1356"/>
      <c r="AZ689" s="3"/>
    </row>
    <row r="690" spans="1:67" ht="12.95" customHeight="1">
      <c r="AZ690" s="3"/>
    </row>
    <row r="691" spans="1:67" ht="12.95" customHeight="1">
      <c r="A691" s="2" t="s">
        <v>576</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56" t="s">
        <v>545</v>
      </c>
      <c r="AF693" s="1356"/>
      <c r="AZ693" s="3"/>
    </row>
    <row r="694" spans="1:67" ht="12.95" customHeight="1">
      <c r="B694" s="135"/>
      <c r="C694" s="135"/>
      <c r="D694" s="136" t="s">
        <v>438</v>
      </c>
      <c r="E694" s="135"/>
      <c r="F694" s="135"/>
      <c r="G694" s="135"/>
      <c r="H694" s="135"/>
      <c r="AE694" s="1356" t="s">
        <v>545</v>
      </c>
      <c r="AF694" s="1356"/>
      <c r="AZ694" s="3"/>
    </row>
    <row r="695" spans="1:67" ht="12.95" customHeight="1">
      <c r="B695" s="135"/>
      <c r="C695" s="135"/>
      <c r="D695" s="136" t="s">
        <v>920</v>
      </c>
      <c r="E695" s="135"/>
      <c r="F695" s="135"/>
      <c r="G695" s="135"/>
      <c r="H695" s="135"/>
      <c r="AE695" s="1711">
        <v>45797</v>
      </c>
      <c r="AF695" s="1711"/>
      <c r="AG695" s="1711"/>
      <c r="AH695" s="1711"/>
      <c r="AI695" s="1711"/>
    </row>
    <row r="696" spans="1:67" ht="12.95" customHeight="1">
      <c r="B696" s="135"/>
      <c r="C696" s="135"/>
      <c r="D696" s="317" t="s">
        <v>983</v>
      </c>
      <c r="E696" s="135"/>
      <c r="F696" s="135"/>
      <c r="G696" s="135"/>
      <c r="H696" s="135"/>
      <c r="AE696" s="1710">
        <v>45867</v>
      </c>
      <c r="AF696" s="1710"/>
      <c r="AG696" s="1710"/>
      <c r="AH696" s="1710"/>
      <c r="AI696" s="1710"/>
    </row>
    <row r="697" spans="1:67" ht="12.95" customHeight="1">
      <c r="B697" s="135"/>
      <c r="C697" s="135"/>
    </row>
    <row r="698" spans="1:67" ht="12.95" customHeight="1">
      <c r="B698" s="135"/>
      <c r="C698" s="135"/>
      <c r="D698" s="136" t="s">
        <v>816</v>
      </c>
      <c r="E698" s="135"/>
      <c r="F698" s="135"/>
      <c r="G698" s="135"/>
      <c r="H698" s="135"/>
      <c r="AE698" s="1711">
        <v>46051</v>
      </c>
      <c r="AF698" s="1711"/>
      <c r="AG698" s="1711"/>
      <c r="AH698" s="1711"/>
      <c r="AI698" s="1711"/>
    </row>
    <row r="699" spans="1:67" ht="12.95" customHeight="1">
      <c r="B699" s="135"/>
      <c r="C699" s="135"/>
      <c r="D699" s="136" t="s">
        <v>436</v>
      </c>
      <c r="E699" s="135"/>
      <c r="F699" s="135"/>
      <c r="G699" s="135"/>
      <c r="H699" s="135"/>
      <c r="AE699" s="1670">
        <v>0.53690000000000004</v>
      </c>
      <c r="AF699" s="1670"/>
      <c r="AG699" s="1670"/>
      <c r="AH699" s="1670"/>
      <c r="AI699" s="1670"/>
    </row>
    <row r="700" spans="1:67" ht="12.95" customHeight="1">
      <c r="B700" s="135"/>
      <c r="C700" s="135"/>
      <c r="D700" s="136" t="s">
        <v>437</v>
      </c>
      <c r="E700" s="135"/>
      <c r="F700" s="135"/>
      <c r="G700" s="135"/>
      <c r="H700" s="135"/>
      <c r="W700" s="1421" t="str">
        <f>H335</f>
        <v>City of San Jose</v>
      </c>
      <c r="X700" s="1421"/>
      <c r="Y700" s="1421"/>
      <c r="Z700" s="1421"/>
      <c r="AA700" s="1421"/>
      <c r="AB700" s="1421"/>
      <c r="AC700" s="1421"/>
      <c r="AD700" s="1421"/>
      <c r="AE700" s="1421"/>
      <c r="AF700" s="1421"/>
      <c r="AG700" s="1421"/>
      <c r="AH700" s="1421"/>
      <c r="AI700" s="1421"/>
      <c r="AJ700" s="1421"/>
      <c r="AK700" s="1421"/>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56" t="s">
        <v>669</v>
      </c>
      <c r="AF702" s="1356"/>
      <c r="AZ702" s="4" t="s">
        <v>324</v>
      </c>
    </row>
    <row r="703" spans="1:67" ht="12.95" customHeight="1">
      <c r="B703" s="135"/>
      <c r="C703" s="135"/>
      <c r="D703" s="136" t="s">
        <v>442</v>
      </c>
      <c r="E703" s="135"/>
      <c r="F703" s="135"/>
      <c r="G703" s="135"/>
      <c r="H703" s="135"/>
      <c r="W703" s="1409" t="s">
        <v>591</v>
      </c>
      <c r="X703" s="1364"/>
      <c r="Y703" s="1364"/>
      <c r="Z703" s="1364"/>
      <c r="AA703" s="1364"/>
      <c r="AB703" s="1364"/>
      <c r="AC703" s="1364"/>
      <c r="AD703" s="1364"/>
      <c r="AE703" s="1364"/>
      <c r="AF703" s="1364"/>
      <c r="AG703" s="1364"/>
      <c r="AH703" s="1364"/>
      <c r="AI703" s="1364"/>
      <c r="AJ703" s="1364"/>
      <c r="AK703" s="1364"/>
      <c r="AZ703" s="4" t="s">
        <v>325</v>
      </c>
    </row>
    <row r="704" spans="1:67" ht="12.95" customHeight="1">
      <c r="B704" s="135"/>
      <c r="C704" s="135"/>
      <c r="D704" s="136" t="s">
        <v>87</v>
      </c>
      <c r="E704" s="135"/>
      <c r="F704" s="135"/>
      <c r="G704" s="135"/>
      <c r="H704" s="135"/>
      <c r="J704" s="1409" t="s">
        <v>591</v>
      </c>
      <c r="K704" s="1364"/>
      <c r="L704" s="1364"/>
      <c r="M704" s="1364"/>
      <c r="N704" s="1364"/>
      <c r="O704" s="1364"/>
      <c r="P704" s="1364"/>
      <c r="Q704" s="1364"/>
      <c r="R704" s="1364"/>
      <c r="S704" s="1364"/>
      <c r="T704" s="1364"/>
      <c r="U704" s="1364"/>
      <c r="V704" s="1364"/>
      <c r="W704" s="1364"/>
      <c r="X704" s="1364"/>
      <c r="AZ704" s="4" t="s">
        <v>163</v>
      </c>
      <c r="BB704" s="34"/>
      <c r="BC704" s="34"/>
      <c r="BD704" s="34"/>
      <c r="BE704" s="3"/>
      <c r="BF704" s="3"/>
      <c r="BJ704" s="3"/>
      <c r="BK704" s="3"/>
      <c r="BL704" s="3"/>
      <c r="BM704" s="3"/>
      <c r="BN704" s="34"/>
      <c r="BO704" s="34"/>
    </row>
    <row r="705" spans="1:185" ht="12.95" customHeight="1">
      <c r="B705" s="135"/>
      <c r="C705" s="135"/>
      <c r="D705" s="136" t="s">
        <v>88</v>
      </c>
      <c r="J705" s="1443"/>
      <c r="K705" s="1443"/>
      <c r="L705" s="1443"/>
      <c r="M705" s="1443"/>
      <c r="N705" s="1443"/>
      <c r="O705" s="1443"/>
      <c r="P705" s="4" t="s">
        <v>206</v>
      </c>
      <c r="Q705" s="4"/>
      <c r="R705" s="1433"/>
      <c r="S705" s="1433"/>
      <c r="T705" s="1433"/>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64" t="s">
        <v>307</v>
      </c>
      <c r="X706" s="1364"/>
      <c r="Y706" s="1364"/>
      <c r="Z706" s="1364"/>
      <c r="AA706" s="1364"/>
      <c r="AB706" s="1364"/>
      <c r="AC706" s="1364"/>
      <c r="AD706" s="1364"/>
      <c r="AE706" s="1364"/>
      <c r="AF706" s="1364"/>
      <c r="AG706" s="1364"/>
      <c r="AH706" s="1364"/>
      <c r="AI706" s="1364"/>
      <c r="AJ706" s="1364"/>
      <c r="AK706" s="1364"/>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64" t="s">
        <v>334</v>
      </c>
      <c r="F707" s="1364"/>
      <c r="G707" s="1364"/>
      <c r="H707" s="1364"/>
      <c r="I707" s="1364"/>
      <c r="J707" s="1364"/>
      <c r="K707" s="1364"/>
      <c r="L707" s="1364"/>
      <c r="M707" s="1364"/>
      <c r="N707" s="1364"/>
      <c r="O707" s="1364"/>
      <c r="P707" s="1364"/>
      <c r="Q707" s="1364"/>
      <c r="R707" s="1364"/>
      <c r="S707" s="1364"/>
      <c r="T707" s="1364"/>
      <c r="U707" s="1364"/>
      <c r="V707" s="1364"/>
      <c r="W707" s="1364"/>
      <c r="X707" s="1364"/>
      <c r="Y707" s="1364"/>
      <c r="Z707" s="1364"/>
      <c r="AA707" s="1364"/>
      <c r="AB707" s="1364"/>
      <c r="AC707" s="1364"/>
      <c r="AD707" s="1364"/>
      <c r="AE707" s="1364"/>
      <c r="AF707" s="1364"/>
      <c r="AG707" s="1364"/>
      <c r="AH707" s="1364"/>
      <c r="AI707" s="1364"/>
      <c r="AJ707" s="1364"/>
      <c r="AK707" s="1364"/>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6" t="s">
        <v>95</v>
      </c>
      <c r="B709" s="1266"/>
      <c r="C709" s="1266"/>
      <c r="D709" s="1266"/>
      <c r="E709" s="1266"/>
      <c r="F709" s="1266"/>
      <c r="G709" s="1266"/>
      <c r="H709" s="1266"/>
      <c r="I709" s="1266"/>
      <c r="J709" s="1266"/>
      <c r="K709" s="1266"/>
      <c r="L709" s="1266"/>
      <c r="M709" s="1266"/>
      <c r="N709" s="1266"/>
      <c r="O709" s="1266"/>
      <c r="P709" s="1266"/>
      <c r="Q709" s="1266"/>
      <c r="R709" s="1266"/>
      <c r="S709" s="1266"/>
      <c r="T709" s="1266"/>
      <c r="U709" s="1266"/>
      <c r="V709" s="1266"/>
      <c r="W709" s="1266"/>
      <c r="X709" s="1266"/>
      <c r="Y709" s="1266"/>
      <c r="Z709" s="1266"/>
      <c r="AA709" s="1266"/>
      <c r="AB709" s="1266"/>
      <c r="AC709" s="1266"/>
      <c r="AD709" s="1266"/>
      <c r="AE709" s="1266"/>
      <c r="AF709" s="1266"/>
      <c r="AG709" s="1266"/>
      <c r="AH709" s="1266"/>
      <c r="AI709" s="1266"/>
      <c r="AJ709" s="1266"/>
      <c r="AK709" s="1266"/>
      <c r="AL709" s="1266"/>
      <c r="AM709" s="1266"/>
      <c r="AN709" s="1266"/>
      <c r="AO709" s="1266"/>
      <c r="AP709" s="1266"/>
      <c r="AQ709" s="1266"/>
      <c r="AR709" s="1266"/>
      <c r="AS709" s="1266"/>
      <c r="AT709" s="126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6"/>
      <c r="B710" s="1266"/>
      <c r="C710" s="1266"/>
      <c r="D710" s="1266"/>
      <c r="E710" s="1266"/>
      <c r="F710" s="1266"/>
      <c r="G710" s="1266"/>
      <c r="H710" s="1266"/>
      <c r="I710" s="1266"/>
      <c r="J710" s="1266"/>
      <c r="K710" s="1266"/>
      <c r="L710" s="1266"/>
      <c r="M710" s="1266"/>
      <c r="N710" s="1266"/>
      <c r="O710" s="1266"/>
      <c r="P710" s="1266"/>
      <c r="Q710" s="1266"/>
      <c r="R710" s="1266"/>
      <c r="S710" s="1266"/>
      <c r="T710" s="1266"/>
      <c r="U710" s="1266"/>
      <c r="V710" s="1266"/>
      <c r="W710" s="1266"/>
      <c r="X710" s="1266"/>
      <c r="Y710" s="1266"/>
      <c r="Z710" s="1266"/>
      <c r="AA710" s="1266"/>
      <c r="AB710" s="1266"/>
      <c r="AC710" s="1266"/>
      <c r="AD710" s="1266"/>
      <c r="AE710" s="1266"/>
      <c r="AF710" s="1266"/>
      <c r="AG710" s="1266"/>
      <c r="AH710" s="1266"/>
      <c r="AI710" s="1266"/>
      <c r="AJ710" s="1266"/>
      <c r="AK710" s="1266"/>
      <c r="AL710" s="1266"/>
      <c r="AM710" s="1266"/>
      <c r="AN710" s="1266"/>
      <c r="AO710" s="1266"/>
      <c r="AP710" s="1266"/>
      <c r="AQ710" s="1266"/>
      <c r="AR710" s="1266"/>
      <c r="AS710" s="1266"/>
      <c r="AT710" s="126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6"/>
      <c r="B711" s="1266"/>
      <c r="C711" s="1266"/>
      <c r="D711" s="1266"/>
      <c r="E711" s="1266"/>
      <c r="F711" s="1266"/>
      <c r="G711" s="1266"/>
      <c r="H711" s="1266"/>
      <c r="I711" s="1266"/>
      <c r="J711" s="1266"/>
      <c r="K711" s="1266"/>
      <c r="L711" s="1266"/>
      <c r="M711" s="1266"/>
      <c r="N711" s="1266"/>
      <c r="O711" s="1266"/>
      <c r="P711" s="1266"/>
      <c r="Q711" s="1266"/>
      <c r="R711" s="1266"/>
      <c r="S711" s="1266"/>
      <c r="T711" s="1266"/>
      <c r="U711" s="1266"/>
      <c r="V711" s="1266"/>
      <c r="W711" s="1266"/>
      <c r="X711" s="1266"/>
      <c r="Y711" s="1266"/>
      <c r="Z711" s="1266"/>
      <c r="AA711" s="1266"/>
      <c r="AB711" s="1266"/>
      <c r="AC711" s="1266"/>
      <c r="AD711" s="1266"/>
      <c r="AE711" s="1266"/>
      <c r="AF711" s="1266"/>
      <c r="AG711" s="1266"/>
      <c r="AH711" s="1266"/>
      <c r="AI711" s="1266"/>
      <c r="AJ711" s="1266"/>
      <c r="AK711" s="1266"/>
      <c r="AL711" s="1266"/>
      <c r="AM711" s="1266"/>
      <c r="AN711" s="1266"/>
      <c r="AO711" s="1266"/>
      <c r="AP711" s="1266"/>
      <c r="AQ711" s="1266"/>
      <c r="AR711" s="1266"/>
      <c r="AS711" s="1266"/>
      <c r="AT711" s="126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662" t="s">
        <v>389</v>
      </c>
      <c r="C714" s="1395"/>
      <c r="D714" s="1395"/>
      <c r="E714" s="1395"/>
      <c r="F714" s="1396"/>
      <c r="G714" s="1662" t="s">
        <v>285</v>
      </c>
      <c r="H714" s="1395"/>
      <c r="I714" s="1395"/>
      <c r="J714" s="1396"/>
      <c r="K714" s="1731" t="s">
        <v>1679</v>
      </c>
      <c r="L714" s="1732"/>
      <c r="M714" s="1732"/>
      <c r="N714" s="1733"/>
      <c r="O714" s="1662" t="s">
        <v>447</v>
      </c>
      <c r="P714" s="1395"/>
      <c r="Q714" s="1395"/>
      <c r="R714" s="1395"/>
      <c r="S714" s="1396"/>
      <c r="T714" s="1394" t="s">
        <v>1950</v>
      </c>
      <c r="U714" s="1395"/>
      <c r="V714" s="1395"/>
      <c r="W714" s="1396"/>
      <c r="X714" s="1394" t="s">
        <v>1952</v>
      </c>
      <c r="Y714" s="1395"/>
      <c r="Z714" s="1395"/>
      <c r="AA714" s="1395"/>
      <c r="AB714" s="1396"/>
      <c r="AC714" s="1394" t="s">
        <v>1951</v>
      </c>
      <c r="AD714" s="1395"/>
      <c r="AE714" s="1395"/>
      <c r="AF714" s="1395"/>
      <c r="AG714" s="1396"/>
      <c r="AH714" s="1394" t="s">
        <v>1953</v>
      </c>
      <c r="AI714" s="1395"/>
      <c r="AJ714" s="1396"/>
      <c r="AK714" s="1394" t="s">
        <v>1980</v>
      </c>
      <c r="AL714" s="1395"/>
      <c r="AM714" s="1395"/>
      <c r="AN714" s="1395"/>
      <c r="AO714" s="13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97"/>
      <c r="C715" s="1398"/>
      <c r="D715" s="1398"/>
      <c r="E715" s="1398"/>
      <c r="F715" s="1399"/>
      <c r="G715" s="1397"/>
      <c r="H715" s="1398"/>
      <c r="I715" s="1398"/>
      <c r="J715" s="1399"/>
      <c r="K715" s="1734"/>
      <c r="L715" s="1735"/>
      <c r="M715" s="1735"/>
      <c r="N715" s="1736"/>
      <c r="O715" s="1397"/>
      <c r="P715" s="1398"/>
      <c r="Q715" s="1398"/>
      <c r="R715" s="1398"/>
      <c r="S715" s="1399"/>
      <c r="T715" s="1397"/>
      <c r="U715" s="1398"/>
      <c r="V715" s="1398"/>
      <c r="W715" s="1399"/>
      <c r="X715" s="1397"/>
      <c r="Y715" s="1398"/>
      <c r="Z715" s="1398"/>
      <c r="AA715" s="1398"/>
      <c r="AB715" s="1399"/>
      <c r="AC715" s="1397"/>
      <c r="AD715" s="1398"/>
      <c r="AE715" s="1398"/>
      <c r="AF715" s="1398"/>
      <c r="AG715" s="1399"/>
      <c r="AH715" s="1397"/>
      <c r="AI715" s="1398"/>
      <c r="AJ715" s="1399"/>
      <c r="AK715" s="1397"/>
      <c r="AL715" s="1398"/>
      <c r="AM715" s="1398"/>
      <c r="AN715" s="1398"/>
      <c r="AO715" s="13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97"/>
      <c r="C716" s="1398"/>
      <c r="D716" s="1398"/>
      <c r="E716" s="1398"/>
      <c r="F716" s="1399"/>
      <c r="G716" s="1397"/>
      <c r="H716" s="1398"/>
      <c r="I716" s="1398"/>
      <c r="J716" s="1399"/>
      <c r="K716" s="1734"/>
      <c r="L716" s="1735"/>
      <c r="M716" s="1735"/>
      <c r="N716" s="1736"/>
      <c r="O716" s="1397"/>
      <c r="P716" s="1398"/>
      <c r="Q716" s="1398"/>
      <c r="R716" s="1398"/>
      <c r="S716" s="1399"/>
      <c r="T716" s="1397"/>
      <c r="U716" s="1398"/>
      <c r="V716" s="1398"/>
      <c r="W716" s="1399"/>
      <c r="X716" s="1397"/>
      <c r="Y716" s="1398"/>
      <c r="Z716" s="1398"/>
      <c r="AA716" s="1398"/>
      <c r="AB716" s="1399"/>
      <c r="AC716" s="1397"/>
      <c r="AD716" s="1398"/>
      <c r="AE716" s="1398"/>
      <c r="AF716" s="1398"/>
      <c r="AG716" s="1399"/>
      <c r="AH716" s="1397"/>
      <c r="AI716" s="1398"/>
      <c r="AJ716" s="1399"/>
      <c r="AK716" s="1397"/>
      <c r="AL716" s="1398"/>
      <c r="AM716" s="1398"/>
      <c r="AN716" s="1398"/>
      <c r="AO716" s="1399"/>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400"/>
      <c r="C717" s="1401"/>
      <c r="D717" s="1401"/>
      <c r="E717" s="1401"/>
      <c r="F717" s="1402"/>
      <c r="G717" s="1400"/>
      <c r="H717" s="1401"/>
      <c r="I717" s="1401"/>
      <c r="J717" s="1402"/>
      <c r="K717" s="1734"/>
      <c r="L717" s="1735"/>
      <c r="M717" s="1735"/>
      <c r="N717" s="1736"/>
      <c r="O717" s="1400"/>
      <c r="P717" s="1401"/>
      <c r="Q717" s="1401"/>
      <c r="R717" s="1401"/>
      <c r="S717" s="1402"/>
      <c r="T717" s="1400"/>
      <c r="U717" s="1401"/>
      <c r="V717" s="1401"/>
      <c r="W717" s="1402"/>
      <c r="X717" s="1400"/>
      <c r="Y717" s="1401"/>
      <c r="Z717" s="1401"/>
      <c r="AA717" s="1401"/>
      <c r="AB717" s="1402"/>
      <c r="AC717" s="1400"/>
      <c r="AD717" s="1401"/>
      <c r="AE717" s="1401"/>
      <c r="AF717" s="1401"/>
      <c r="AG717" s="1402"/>
      <c r="AH717" s="1400"/>
      <c r="AI717" s="1401"/>
      <c r="AJ717" s="1402"/>
      <c r="AK717" s="1400"/>
      <c r="AL717" s="1401"/>
      <c r="AM717" s="1401"/>
      <c r="AN717" s="1401"/>
      <c r="AO717" s="1402"/>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68"/>
      <c r="CJ717" s="1470"/>
      <c r="CK717" s="121" t="s">
        <v>475</v>
      </c>
      <c r="CL717" s="122"/>
      <c r="CM717" s="1468"/>
      <c r="CN717" s="1470"/>
      <c r="CO717" s="3"/>
      <c r="CP717" s="1391" t="s">
        <v>633</v>
      </c>
      <c r="CQ717" s="1392"/>
      <c r="CR717" s="1392"/>
      <c r="CS717" s="1392"/>
      <c r="CT717" s="1393"/>
      <c r="CU717" s="1471" t="s">
        <v>325</v>
      </c>
      <c r="CV717" s="1471"/>
      <c r="CW717" s="1471"/>
      <c r="CX717" s="1471"/>
      <c r="CY717" s="1471"/>
      <c r="CZ717" s="1471" t="s">
        <v>163</v>
      </c>
      <c r="DA717" s="1471"/>
      <c r="DB717" s="1471"/>
      <c r="DC717" s="1471"/>
      <c r="DD717" s="1471"/>
      <c r="DE717" s="1471" t="s">
        <v>164</v>
      </c>
      <c r="DF717" s="1471"/>
      <c r="DG717" s="1471"/>
      <c r="DH717" s="1471"/>
      <c r="DI717" s="1471"/>
      <c r="DJ717" s="1471" t="s">
        <v>460</v>
      </c>
      <c r="DK717" s="1471"/>
      <c r="DL717" s="1471"/>
      <c r="DM717" s="1471"/>
      <c r="DN717" s="1471"/>
      <c r="DO717" s="1471" t="s">
        <v>30</v>
      </c>
      <c r="DP717" s="1471"/>
      <c r="DQ717" s="1471"/>
      <c r="DR717" s="1471"/>
      <c r="DS717" s="1471"/>
      <c r="DT717" s="89"/>
      <c r="DU717" s="1471" t="s">
        <v>633</v>
      </c>
      <c r="DV717" s="1471"/>
      <c r="DW717" s="1471"/>
      <c r="DX717" s="1471"/>
      <c r="DY717" s="1471"/>
      <c r="DZ717" s="1471" t="s">
        <v>325</v>
      </c>
      <c r="EA717" s="1471"/>
      <c r="EB717" s="1471"/>
      <c r="EC717" s="1471"/>
      <c r="ED717" s="1471"/>
      <c r="EE717" s="1471" t="s">
        <v>163</v>
      </c>
      <c r="EF717" s="1471"/>
      <c r="EG717" s="1471"/>
      <c r="EH717" s="1471"/>
      <c r="EI717" s="1471"/>
      <c r="EJ717" s="1471" t="s">
        <v>164</v>
      </c>
      <c r="EK717" s="1471"/>
      <c r="EL717" s="1471"/>
      <c r="EM717" s="1471"/>
      <c r="EN717" s="1471"/>
      <c r="EO717" s="1471" t="s">
        <v>460</v>
      </c>
      <c r="EP717" s="1471"/>
      <c r="EQ717" s="1471"/>
      <c r="ER717" s="1471"/>
      <c r="ES717" s="1471"/>
      <c r="ET717" s="1471" t="s">
        <v>30</v>
      </c>
      <c r="EU717" s="1471"/>
      <c r="EV717" s="1471"/>
      <c r="EW717" s="1471"/>
      <c r="EX717" s="1471"/>
      <c r="EY717" s="4"/>
      <c r="EZ717" s="1471" t="s">
        <v>633</v>
      </c>
      <c r="FA717" s="1471"/>
      <c r="FB717" s="1471"/>
      <c r="FC717" s="1471"/>
      <c r="FD717" s="1471"/>
      <c r="FE717" s="1471" t="s">
        <v>325</v>
      </c>
      <c r="FF717" s="1471"/>
      <c r="FG717" s="1471"/>
      <c r="FH717" s="1471"/>
      <c r="FI717" s="1471"/>
      <c r="FJ717" s="1471" t="s">
        <v>163</v>
      </c>
      <c r="FK717" s="1471"/>
      <c r="FL717" s="1471"/>
      <c r="FM717" s="1471"/>
      <c r="FN717" s="1471"/>
      <c r="FO717" s="1471" t="s">
        <v>164</v>
      </c>
      <c r="FP717" s="1471"/>
      <c r="FQ717" s="1471"/>
      <c r="FR717" s="1471"/>
      <c r="FS717" s="1471"/>
      <c r="FT717" s="1471" t="s">
        <v>460</v>
      </c>
      <c r="FU717" s="1471"/>
      <c r="FV717" s="1471"/>
      <c r="FW717" s="1471"/>
      <c r="FX717" s="1471"/>
      <c r="FY717" s="1471" t="s">
        <v>30</v>
      </c>
      <c r="FZ717" s="1471"/>
      <c r="GA717" s="1471"/>
      <c r="GB717" s="1471"/>
      <c r="GC717" s="1471"/>
    </row>
    <row r="718" spans="1:185" ht="12.95" customHeight="1">
      <c r="A718" s="4"/>
      <c r="B718" s="1341" t="s">
        <v>324</v>
      </c>
      <c r="C718" s="1342"/>
      <c r="D718" s="1342"/>
      <c r="E718" s="1342"/>
      <c r="F718" s="1343"/>
      <c r="G718" s="1338">
        <v>1</v>
      </c>
      <c r="H718" s="1339"/>
      <c r="I718" s="1339"/>
      <c r="J718" s="1340"/>
      <c r="K718" s="1388">
        <v>427</v>
      </c>
      <c r="L718" s="1389"/>
      <c r="M718" s="1389"/>
      <c r="N718" s="1390"/>
      <c r="O718" s="1368">
        <v>1005</v>
      </c>
      <c r="P718" s="1369"/>
      <c r="Q718" s="1369"/>
      <c r="R718" s="1369"/>
      <c r="S718" s="1370"/>
      <c r="T718" s="1368">
        <v>50</v>
      </c>
      <c r="U718" s="1369"/>
      <c r="V718" s="1369"/>
      <c r="W718" s="1370"/>
      <c r="X718" s="1365">
        <f t="shared" ref="X718:X741" si="12">O718+T718</f>
        <v>1055</v>
      </c>
      <c r="Y718" s="1366"/>
      <c r="Z718" s="1366"/>
      <c r="AA718" s="1366"/>
      <c r="AB718" s="1367"/>
      <c r="AC718" s="1361">
        <v>0.3</v>
      </c>
      <c r="AD718" s="1362"/>
      <c r="AE718" s="1362"/>
      <c r="AF718" s="1362"/>
      <c r="AG718" s="1363"/>
      <c r="AH718" s="1371">
        <f>IF($AC718&gt;0,($X718/$AZ718), "")</f>
        <v>0.30005688282138793</v>
      </c>
      <c r="AI718" s="1372"/>
      <c r="AJ718" s="1373"/>
      <c r="AK718" s="1341" t="s">
        <v>591</v>
      </c>
      <c r="AL718" s="1342"/>
      <c r="AM718" s="1342"/>
      <c r="AN718" s="1342"/>
      <c r="AO718" s="1343"/>
      <c r="AP718" s="3"/>
      <c r="AQ718" s="3"/>
      <c r="AR718" s="3"/>
      <c r="AS718" s="3"/>
      <c r="AZ718" s="118">
        <f t="shared" ref="AZ718:AZ752" si="13">IF($G718=0,"N/A",VLOOKUP($T$189,TC_Rent,(MATCH($B718,bedrooms,FALSE)),FALSE))</f>
        <v>3516</v>
      </c>
      <c r="BA718" s="3"/>
      <c r="BB718" s="3"/>
      <c r="BC718" s="3"/>
      <c r="BD718" s="3"/>
      <c r="BE718" s="204"/>
      <c r="BF718" s="293">
        <f t="shared" ref="BF718:BF752" si="14">G718</f>
        <v>1</v>
      </c>
      <c r="BG718" s="297">
        <f t="shared" ref="BG718:BG752" si="15">IF($BF$753=0,0,BF718/$BF$753)</f>
        <v>5.1813471502590676E-3</v>
      </c>
      <c r="BH718" s="298">
        <f t="shared" ref="BH718:BH752" si="16">IF(BG718=0,"",BG718*AC718)</f>
        <v>1.5544041450777201E-3</v>
      </c>
      <c r="BI718" s="3"/>
      <c r="BJ718" s="3"/>
      <c r="BK718" s="3"/>
      <c r="BL718" s="3"/>
      <c r="BM718" s="3"/>
      <c r="BN718" s="3"/>
      <c r="BS718" s="293">
        <f t="shared" ref="BS718:BS752" si="17">G718</f>
        <v>1</v>
      </c>
      <c r="BT718" s="297">
        <f t="shared" ref="BT718:BT752" si="18">IF($BS$753=0,0,BS718/$BS$753)</f>
        <v>5.1813471502590676E-3</v>
      </c>
      <c r="BU718" s="298">
        <f t="shared" ref="BU718:BU752" si="19">IF(BT718=0,"",BT718*AH718)</f>
        <v>1.5546988747222174E-3</v>
      </c>
      <c r="CC718" s="3"/>
      <c r="CD718" s="3"/>
      <c r="CE718" s="3"/>
      <c r="CF718" s="3"/>
      <c r="CG718" s="1466">
        <f>IF(AND(AC718&lt;=0.5,AC718&gt;=0.36),1,0)</f>
        <v>0</v>
      </c>
      <c r="CH718" s="1467"/>
      <c r="CI718" s="1468">
        <f>IF(CG718=1,G718,0)</f>
        <v>0</v>
      </c>
      <c r="CJ718" s="1470"/>
      <c r="CK718" s="1466">
        <f t="shared" ref="CK718:CK752" si="20">IF(AND(AC718&lt;=0.35,AC718&gt;0),1,0)</f>
        <v>1</v>
      </c>
      <c r="CL718" s="1467"/>
      <c r="CM718" s="1468">
        <f t="shared" ref="CM718:CM752" si="21">IF(CK718=1,G718,0)</f>
        <v>1</v>
      </c>
      <c r="CN718" s="1470"/>
      <c r="CO718" s="3"/>
      <c r="CP718" s="1461">
        <f t="shared" ref="CP718:CP752" si="22">IF(B718="SRO/Studio",G718,0)</f>
        <v>1</v>
      </c>
      <c r="CQ718" s="1462"/>
      <c r="CR718" s="1462"/>
      <c r="CS718" s="1462"/>
      <c r="CT718" s="1463"/>
      <c r="CU718" s="1460">
        <f t="shared" ref="CU718:CU752" si="23">IF(B718="1 Bedroom",G718,0)</f>
        <v>0</v>
      </c>
      <c r="CV718" s="1460"/>
      <c r="CW718" s="1460"/>
      <c r="CX718" s="1460"/>
      <c r="CY718" s="1460"/>
      <c r="CZ718" s="1460">
        <f t="shared" ref="CZ718:CZ752" si="24">IF(B718="2 Bedrooms",G718,0)</f>
        <v>0</v>
      </c>
      <c r="DA718" s="1460"/>
      <c r="DB718" s="1460"/>
      <c r="DC718" s="1460"/>
      <c r="DD718" s="1460"/>
      <c r="DE718" s="1460">
        <f t="shared" ref="DE718:DE752" si="25">IF(B718="3 Bedrooms",G718,0)</f>
        <v>0</v>
      </c>
      <c r="DF718" s="1460"/>
      <c r="DG718" s="1460"/>
      <c r="DH718" s="1460"/>
      <c r="DI718" s="1460"/>
      <c r="DJ718" s="1460">
        <f t="shared" ref="DJ718:DJ752" si="26">IF(B718="4 Bedrooms",G718,0)</f>
        <v>0</v>
      </c>
      <c r="DK718" s="1460"/>
      <c r="DL718" s="1460"/>
      <c r="DM718" s="1460"/>
      <c r="DN718" s="1460"/>
      <c r="DO718" s="1460">
        <f t="shared" ref="DO718:DO752" si="27">IF(B718="5 Bedrooms",G718,0)</f>
        <v>0</v>
      </c>
      <c r="DP718" s="1460"/>
      <c r="DQ718" s="1460"/>
      <c r="DR718" s="1460"/>
      <c r="DS718" s="1460"/>
      <c r="DT718" s="6"/>
      <c r="DU718" s="1459">
        <f t="shared" ref="DU718:DU752" si="28">IF(AND(B718="SRO/Studio",AC718&lt;=0.3),G718,0)</f>
        <v>1</v>
      </c>
      <c r="DV718" s="1459"/>
      <c r="DW718" s="1459"/>
      <c r="DX718" s="1459"/>
      <c r="DY718" s="1459"/>
      <c r="DZ718" s="1459">
        <f t="shared" ref="DZ718:DZ752" si="29">IF(AND(B718="1 Bedroom",AC718&lt;=0.3),G718,0)</f>
        <v>0</v>
      </c>
      <c r="EA718" s="1459"/>
      <c r="EB718" s="1459"/>
      <c r="EC718" s="1459"/>
      <c r="ED718" s="1459"/>
      <c r="EE718" s="1459">
        <f t="shared" ref="EE718:EE752" si="30">IF(AND(B718="2 Bedrooms",AC718&lt;=0.3),G718,0)</f>
        <v>0</v>
      </c>
      <c r="EF718" s="1459"/>
      <c r="EG718" s="1459"/>
      <c r="EH718" s="1459"/>
      <c r="EI718" s="1459"/>
      <c r="EJ718" s="1459">
        <f t="shared" ref="EJ718:EJ752" si="31">IF(AND(B718="3 Bedrooms",AC718&lt;=0.3),G718,0)</f>
        <v>0</v>
      </c>
      <c r="EK718" s="1459"/>
      <c r="EL718" s="1459"/>
      <c r="EM718" s="1459"/>
      <c r="EN718" s="1459"/>
      <c r="EO718" s="1459">
        <f t="shared" ref="EO718:EO752" si="32">IF(AND(B718="4 Bedrooms",AC718&lt;=0.3),G718,0)</f>
        <v>0</v>
      </c>
      <c r="EP718" s="1459"/>
      <c r="EQ718" s="1459"/>
      <c r="ER718" s="1459"/>
      <c r="ES718" s="1459"/>
      <c r="ET718" s="1459">
        <f t="shared" ref="ET718:ET752" si="33">IF(AND(B718="5 Bedrooms",AC718&lt;=0.3),G718,0)</f>
        <v>0</v>
      </c>
      <c r="EU718" s="1459"/>
      <c r="EV718" s="1459"/>
      <c r="EW718" s="1459"/>
      <c r="EX718" s="1459"/>
      <c r="EY718" s="4"/>
      <c r="EZ718" s="1466">
        <f t="shared" ref="EZ718:EZ752" si="34">IF(CP718&gt;0,O718,"")</f>
        <v>1005</v>
      </c>
      <c r="FA718" s="1473"/>
      <c r="FB718" s="1473"/>
      <c r="FC718" s="1473"/>
      <c r="FD718" s="1467"/>
      <c r="FE718" s="1466" t="str">
        <f t="shared" ref="FE718:FE752" si="35">IF(CU718&gt;0,O718,"")</f>
        <v/>
      </c>
      <c r="FF718" s="1473"/>
      <c r="FG718" s="1473"/>
      <c r="FH718" s="1473"/>
      <c r="FI718" s="1467"/>
      <c r="FJ718" s="1466" t="str">
        <f t="shared" ref="FJ718:FJ752" si="36">IF(CZ718&gt;0,O718,"")</f>
        <v/>
      </c>
      <c r="FK718" s="1473"/>
      <c r="FL718" s="1473"/>
      <c r="FM718" s="1473"/>
      <c r="FN718" s="1467"/>
      <c r="FO718" s="1466" t="str">
        <f t="shared" ref="FO718:FO752" si="37">IF(DE718&gt;0,O718,"")</f>
        <v/>
      </c>
      <c r="FP718" s="1473"/>
      <c r="FQ718" s="1473"/>
      <c r="FR718" s="1473"/>
      <c r="FS718" s="1467"/>
      <c r="FT718" s="1466" t="str">
        <f t="shared" ref="FT718:FT752" si="38">IF(DJ718&gt;0,O718,"")</f>
        <v/>
      </c>
      <c r="FU718" s="1473"/>
      <c r="FV718" s="1473"/>
      <c r="FW718" s="1473"/>
      <c r="FX718" s="1467"/>
      <c r="FY718" s="1466" t="str">
        <f t="shared" ref="FY718:FY752" si="39">IF(DO718&gt;0,O718,"")</f>
        <v/>
      </c>
      <c r="FZ718" s="1473"/>
      <c r="GA718" s="1473"/>
      <c r="GB718" s="1473"/>
      <c r="GC718" s="1467"/>
    </row>
    <row r="719" spans="1:185" ht="12.95" customHeight="1">
      <c r="A719" s="4"/>
      <c r="B719" s="1341" t="s">
        <v>324</v>
      </c>
      <c r="C719" s="1342"/>
      <c r="D719" s="1342"/>
      <c r="E719" s="1342"/>
      <c r="F719" s="1343"/>
      <c r="G719" s="1338">
        <v>62</v>
      </c>
      <c r="H719" s="1339"/>
      <c r="I719" s="1339"/>
      <c r="J719" s="1340"/>
      <c r="K719" s="1388">
        <v>427</v>
      </c>
      <c r="L719" s="1389"/>
      <c r="M719" s="1389"/>
      <c r="N719" s="1390"/>
      <c r="O719" s="1368">
        <v>1708</v>
      </c>
      <c r="P719" s="1369"/>
      <c r="Q719" s="1369"/>
      <c r="R719" s="1369"/>
      <c r="S719" s="1370"/>
      <c r="T719" s="1368">
        <v>50</v>
      </c>
      <c r="U719" s="1369"/>
      <c r="V719" s="1369"/>
      <c r="W719" s="1370"/>
      <c r="X719" s="1365">
        <f t="shared" si="12"/>
        <v>1758</v>
      </c>
      <c r="Y719" s="1366"/>
      <c r="Z719" s="1366"/>
      <c r="AA719" s="1366"/>
      <c r="AB719" s="1367"/>
      <c r="AC719" s="1361">
        <v>0.5</v>
      </c>
      <c r="AD719" s="1362"/>
      <c r="AE719" s="1362"/>
      <c r="AF719" s="1362"/>
      <c r="AG719" s="1363"/>
      <c r="AH719" s="1371">
        <f t="shared" ref="AH719:AH752" si="40">IF($AC719&gt;0,($X719/$AZ719), "")</f>
        <v>0.5</v>
      </c>
      <c r="AI719" s="1372"/>
      <c r="AJ719" s="1373"/>
      <c r="AK719" s="1341" t="s">
        <v>591</v>
      </c>
      <c r="AL719" s="1342"/>
      <c r="AM719" s="1342"/>
      <c r="AN719" s="1342"/>
      <c r="AO719" s="1343"/>
      <c r="AP719" s="3"/>
      <c r="AQ719" s="3"/>
      <c r="AR719" s="3"/>
      <c r="AS719" s="3"/>
      <c r="AZ719" s="118">
        <f t="shared" si="13"/>
        <v>3516</v>
      </c>
      <c r="BA719" s="3"/>
      <c r="BB719" s="3"/>
      <c r="BC719" s="3"/>
      <c r="BD719" s="3"/>
      <c r="BE719" s="204"/>
      <c r="BF719" s="294">
        <f t="shared" si="14"/>
        <v>62</v>
      </c>
      <c r="BG719" s="297">
        <f t="shared" si="15"/>
        <v>0.32124352331606215</v>
      </c>
      <c r="BH719" s="298">
        <f t="shared" si="16"/>
        <v>0.16062176165803108</v>
      </c>
      <c r="BI719" s="3"/>
      <c r="BJ719" s="3"/>
      <c r="BK719" s="3"/>
      <c r="BL719" s="3"/>
      <c r="BM719" s="3"/>
      <c r="BN719" s="3"/>
      <c r="BS719" s="294">
        <f t="shared" si="17"/>
        <v>62</v>
      </c>
      <c r="BT719" s="297">
        <f t="shared" si="18"/>
        <v>0.32124352331606215</v>
      </c>
      <c r="BU719" s="298">
        <f t="shared" si="19"/>
        <v>0.16062176165803108</v>
      </c>
      <c r="CC719" s="3"/>
      <c r="CD719" s="3"/>
      <c r="CE719" s="3"/>
      <c r="CF719" s="3"/>
      <c r="CG719" s="1466">
        <f t="shared" ref="CG719:CG752" si="41">IF(AND(AC719&lt;=0.5,AC719&gt;=0.36),1,0)</f>
        <v>1</v>
      </c>
      <c r="CH719" s="1467"/>
      <c r="CI719" s="1468">
        <f t="shared" ref="CI719:CI752" si="42">IF(CG719=1,G719,0)</f>
        <v>62</v>
      </c>
      <c r="CJ719" s="1470"/>
      <c r="CK719" s="1466">
        <f t="shared" si="20"/>
        <v>0</v>
      </c>
      <c r="CL719" s="1467"/>
      <c r="CM719" s="1468">
        <f t="shared" si="21"/>
        <v>0</v>
      </c>
      <c r="CN719" s="1470"/>
      <c r="CO719" s="3"/>
      <c r="CP719" s="1461">
        <f t="shared" si="22"/>
        <v>62</v>
      </c>
      <c r="CQ719" s="1462"/>
      <c r="CR719" s="1462"/>
      <c r="CS719" s="1462"/>
      <c r="CT719" s="1463"/>
      <c r="CU719" s="1460">
        <f t="shared" si="23"/>
        <v>0</v>
      </c>
      <c r="CV719" s="1460"/>
      <c r="CW719" s="1460"/>
      <c r="CX719" s="1460"/>
      <c r="CY719" s="1460"/>
      <c r="CZ719" s="1460">
        <f t="shared" si="24"/>
        <v>0</v>
      </c>
      <c r="DA719" s="1460"/>
      <c r="DB719" s="1460"/>
      <c r="DC719" s="1460"/>
      <c r="DD719" s="1460"/>
      <c r="DE719" s="1460">
        <f t="shared" si="25"/>
        <v>0</v>
      </c>
      <c r="DF719" s="1460"/>
      <c r="DG719" s="1460"/>
      <c r="DH719" s="1460"/>
      <c r="DI719" s="1460"/>
      <c r="DJ719" s="1460">
        <f t="shared" si="26"/>
        <v>0</v>
      </c>
      <c r="DK719" s="1460"/>
      <c r="DL719" s="1460"/>
      <c r="DM719" s="1460"/>
      <c r="DN719" s="1460"/>
      <c r="DO719" s="1460">
        <f t="shared" si="27"/>
        <v>0</v>
      </c>
      <c r="DP719" s="1460"/>
      <c r="DQ719" s="1460"/>
      <c r="DR719" s="1460"/>
      <c r="DS719" s="1460"/>
      <c r="DT719" s="6"/>
      <c r="DU719" s="1459">
        <f t="shared" si="28"/>
        <v>0</v>
      </c>
      <c r="DV719" s="1459"/>
      <c r="DW719" s="1459"/>
      <c r="DX719" s="1459"/>
      <c r="DY719" s="1459"/>
      <c r="DZ719" s="1459">
        <f t="shared" si="29"/>
        <v>0</v>
      </c>
      <c r="EA719" s="1459"/>
      <c r="EB719" s="1459"/>
      <c r="EC719" s="1459"/>
      <c r="ED719" s="1459"/>
      <c r="EE719" s="1459">
        <f t="shared" si="30"/>
        <v>0</v>
      </c>
      <c r="EF719" s="1459"/>
      <c r="EG719" s="1459"/>
      <c r="EH719" s="1459"/>
      <c r="EI719" s="1459"/>
      <c r="EJ719" s="1459">
        <f t="shared" si="31"/>
        <v>0</v>
      </c>
      <c r="EK719" s="1459"/>
      <c r="EL719" s="1459"/>
      <c r="EM719" s="1459"/>
      <c r="EN719" s="1459"/>
      <c r="EO719" s="1459">
        <f t="shared" si="32"/>
        <v>0</v>
      </c>
      <c r="EP719" s="1459"/>
      <c r="EQ719" s="1459"/>
      <c r="ER719" s="1459"/>
      <c r="ES719" s="1459"/>
      <c r="ET719" s="1459">
        <f t="shared" si="33"/>
        <v>0</v>
      </c>
      <c r="EU719" s="1459"/>
      <c r="EV719" s="1459"/>
      <c r="EW719" s="1459"/>
      <c r="EX719" s="1459"/>
      <c r="EY719" s="4"/>
      <c r="EZ719" s="1466">
        <f t="shared" si="34"/>
        <v>1708</v>
      </c>
      <c r="FA719" s="1473"/>
      <c r="FB719" s="1473"/>
      <c r="FC719" s="1473"/>
      <c r="FD719" s="1467"/>
      <c r="FE719" s="1466" t="str">
        <f t="shared" si="35"/>
        <v/>
      </c>
      <c r="FF719" s="1473"/>
      <c r="FG719" s="1473"/>
      <c r="FH719" s="1473"/>
      <c r="FI719" s="1467"/>
      <c r="FJ719" s="1466" t="str">
        <f t="shared" si="36"/>
        <v/>
      </c>
      <c r="FK719" s="1473"/>
      <c r="FL719" s="1473"/>
      <c r="FM719" s="1473"/>
      <c r="FN719" s="1467"/>
      <c r="FO719" s="1466" t="str">
        <f t="shared" si="37"/>
        <v/>
      </c>
      <c r="FP719" s="1473"/>
      <c r="FQ719" s="1473"/>
      <c r="FR719" s="1473"/>
      <c r="FS719" s="1467"/>
      <c r="FT719" s="1466" t="str">
        <f t="shared" si="38"/>
        <v/>
      </c>
      <c r="FU719" s="1473"/>
      <c r="FV719" s="1473"/>
      <c r="FW719" s="1473"/>
      <c r="FX719" s="1467"/>
      <c r="FY719" s="1466" t="str">
        <f t="shared" si="39"/>
        <v/>
      </c>
      <c r="FZ719" s="1473"/>
      <c r="GA719" s="1473"/>
      <c r="GB719" s="1473"/>
      <c r="GC719" s="1467"/>
    </row>
    <row r="720" spans="1:185" ht="12.95" customHeight="1">
      <c r="A720" s="4"/>
      <c r="B720" s="1341"/>
      <c r="C720" s="1342"/>
      <c r="D720" s="1342"/>
      <c r="E720" s="1342"/>
      <c r="F720" s="1343"/>
      <c r="G720" s="1338"/>
      <c r="H720" s="1339"/>
      <c r="I720" s="1339"/>
      <c r="J720" s="1340"/>
      <c r="K720" s="1388"/>
      <c r="L720" s="1389"/>
      <c r="M720" s="1389"/>
      <c r="N720" s="1390"/>
      <c r="O720" s="1368"/>
      <c r="P720" s="1369"/>
      <c r="Q720" s="1369"/>
      <c r="R720" s="1369"/>
      <c r="S720" s="1370"/>
      <c r="T720" s="1368"/>
      <c r="U720" s="1369"/>
      <c r="V720" s="1369"/>
      <c r="W720" s="1370"/>
      <c r="X720" s="1365">
        <f t="shared" si="12"/>
        <v>0</v>
      </c>
      <c r="Y720" s="1366"/>
      <c r="Z720" s="1366"/>
      <c r="AA720" s="1366"/>
      <c r="AB720" s="1367"/>
      <c r="AC720" s="1361"/>
      <c r="AD720" s="1362"/>
      <c r="AE720" s="1362"/>
      <c r="AF720" s="1362"/>
      <c r="AG720" s="1363"/>
      <c r="AH720" s="1371" t="str">
        <f t="shared" si="40"/>
        <v/>
      </c>
      <c r="AI720" s="1372"/>
      <c r="AJ720" s="1373"/>
      <c r="AK720" s="1341" t="s">
        <v>591</v>
      </c>
      <c r="AL720" s="1342"/>
      <c r="AM720" s="1342"/>
      <c r="AN720" s="1342"/>
      <c r="AO720" s="1343"/>
      <c r="AP720" s="3"/>
      <c r="AQ720" s="3"/>
      <c r="AR720" s="3"/>
      <c r="AS720" s="3"/>
      <c r="AZ720" s="118" t="str">
        <f t="shared" si="13"/>
        <v>N/A</v>
      </c>
      <c r="BA720" s="3"/>
      <c r="BB720" s="3"/>
      <c r="BC720" s="3"/>
      <c r="BD720" s="3"/>
      <c r="BE720" s="204"/>
      <c r="BF720" s="294">
        <f t="shared" si="14"/>
        <v>0</v>
      </c>
      <c r="BG720" s="297">
        <f t="shared" si="15"/>
        <v>0</v>
      </c>
      <c r="BH720" s="298" t="str">
        <f t="shared" si="16"/>
        <v/>
      </c>
      <c r="BI720" s="3"/>
      <c r="BJ720" s="3"/>
      <c r="BK720" s="3"/>
      <c r="BL720" s="3"/>
      <c r="BM720" s="3"/>
      <c r="BN720" s="3"/>
      <c r="BS720" s="294">
        <f t="shared" si="17"/>
        <v>0</v>
      </c>
      <c r="BT720" s="297">
        <f t="shared" si="18"/>
        <v>0</v>
      </c>
      <c r="BU720" s="298" t="str">
        <f t="shared" si="19"/>
        <v/>
      </c>
      <c r="CC720" s="3"/>
      <c r="CD720" s="3"/>
      <c r="CE720" s="3"/>
      <c r="CF720" s="3"/>
      <c r="CG720" s="1466">
        <f t="shared" si="41"/>
        <v>0</v>
      </c>
      <c r="CH720" s="1467"/>
      <c r="CI720" s="1468">
        <f t="shared" si="42"/>
        <v>0</v>
      </c>
      <c r="CJ720" s="1470"/>
      <c r="CK720" s="1466">
        <f t="shared" si="20"/>
        <v>0</v>
      </c>
      <c r="CL720" s="1467"/>
      <c r="CM720" s="1468">
        <f t="shared" si="21"/>
        <v>0</v>
      </c>
      <c r="CN720" s="1470"/>
      <c r="CO720" s="3"/>
      <c r="CP720" s="1461">
        <f t="shared" si="22"/>
        <v>0</v>
      </c>
      <c r="CQ720" s="1462"/>
      <c r="CR720" s="1462"/>
      <c r="CS720" s="1462"/>
      <c r="CT720" s="1463"/>
      <c r="CU720" s="1460">
        <f t="shared" si="23"/>
        <v>0</v>
      </c>
      <c r="CV720" s="1460"/>
      <c r="CW720" s="1460"/>
      <c r="CX720" s="1460"/>
      <c r="CY720" s="1460"/>
      <c r="CZ720" s="1460">
        <f t="shared" si="24"/>
        <v>0</v>
      </c>
      <c r="DA720" s="1460"/>
      <c r="DB720" s="1460"/>
      <c r="DC720" s="1460"/>
      <c r="DD720" s="1460"/>
      <c r="DE720" s="1460">
        <f t="shared" si="25"/>
        <v>0</v>
      </c>
      <c r="DF720" s="1460"/>
      <c r="DG720" s="1460"/>
      <c r="DH720" s="1460"/>
      <c r="DI720" s="1460"/>
      <c r="DJ720" s="1460">
        <f t="shared" si="26"/>
        <v>0</v>
      </c>
      <c r="DK720" s="1460"/>
      <c r="DL720" s="1460"/>
      <c r="DM720" s="1460"/>
      <c r="DN720" s="1460"/>
      <c r="DO720" s="1460">
        <f t="shared" si="27"/>
        <v>0</v>
      </c>
      <c r="DP720" s="1460"/>
      <c r="DQ720" s="1460"/>
      <c r="DR720" s="1460"/>
      <c r="DS720" s="1460"/>
      <c r="DT720" s="6"/>
      <c r="DU720" s="1459">
        <f t="shared" si="28"/>
        <v>0</v>
      </c>
      <c r="DV720" s="1459"/>
      <c r="DW720" s="1459"/>
      <c r="DX720" s="1459"/>
      <c r="DY720" s="1459"/>
      <c r="DZ720" s="1459">
        <f t="shared" si="29"/>
        <v>0</v>
      </c>
      <c r="EA720" s="1459"/>
      <c r="EB720" s="1459"/>
      <c r="EC720" s="1459"/>
      <c r="ED720" s="1459"/>
      <c r="EE720" s="1459">
        <f t="shared" si="30"/>
        <v>0</v>
      </c>
      <c r="EF720" s="1459"/>
      <c r="EG720" s="1459"/>
      <c r="EH720" s="1459"/>
      <c r="EI720" s="1459"/>
      <c r="EJ720" s="1459">
        <f t="shared" si="31"/>
        <v>0</v>
      </c>
      <c r="EK720" s="1459"/>
      <c r="EL720" s="1459"/>
      <c r="EM720" s="1459"/>
      <c r="EN720" s="1459"/>
      <c r="EO720" s="1459">
        <f t="shared" si="32"/>
        <v>0</v>
      </c>
      <c r="EP720" s="1459"/>
      <c r="EQ720" s="1459"/>
      <c r="ER720" s="1459"/>
      <c r="ES720" s="1459"/>
      <c r="ET720" s="1459">
        <f t="shared" si="33"/>
        <v>0</v>
      </c>
      <c r="EU720" s="1459"/>
      <c r="EV720" s="1459"/>
      <c r="EW720" s="1459"/>
      <c r="EX720" s="1459"/>
      <c r="EZ720" s="1466" t="str">
        <f t="shared" si="34"/>
        <v/>
      </c>
      <c r="FA720" s="1473"/>
      <c r="FB720" s="1473"/>
      <c r="FC720" s="1473"/>
      <c r="FD720" s="1467"/>
      <c r="FE720" s="1466" t="str">
        <f t="shared" si="35"/>
        <v/>
      </c>
      <c r="FF720" s="1473"/>
      <c r="FG720" s="1473"/>
      <c r="FH720" s="1473"/>
      <c r="FI720" s="1467"/>
      <c r="FJ720" s="1466" t="str">
        <f t="shared" si="36"/>
        <v/>
      </c>
      <c r="FK720" s="1473"/>
      <c r="FL720" s="1473"/>
      <c r="FM720" s="1473"/>
      <c r="FN720" s="1467"/>
      <c r="FO720" s="1466" t="str">
        <f t="shared" si="37"/>
        <v/>
      </c>
      <c r="FP720" s="1473"/>
      <c r="FQ720" s="1473"/>
      <c r="FR720" s="1473"/>
      <c r="FS720" s="1467"/>
      <c r="FT720" s="1466" t="str">
        <f t="shared" si="38"/>
        <v/>
      </c>
      <c r="FU720" s="1473"/>
      <c r="FV720" s="1473"/>
      <c r="FW720" s="1473"/>
      <c r="FX720" s="1467"/>
      <c r="FY720" s="1466" t="str">
        <f t="shared" si="39"/>
        <v/>
      </c>
      <c r="FZ720" s="1473"/>
      <c r="GA720" s="1473"/>
      <c r="GB720" s="1473"/>
      <c r="GC720" s="1467"/>
    </row>
    <row r="721" spans="1:185" ht="12.95" customHeight="1">
      <c r="B721" s="1341" t="s">
        <v>325</v>
      </c>
      <c r="C721" s="1342"/>
      <c r="D721" s="1342"/>
      <c r="E721" s="1342"/>
      <c r="F721" s="1343"/>
      <c r="G721" s="1338">
        <v>25</v>
      </c>
      <c r="H721" s="1339"/>
      <c r="I721" s="1339"/>
      <c r="J721" s="1340"/>
      <c r="K721" s="1388">
        <v>591</v>
      </c>
      <c r="L721" s="1389"/>
      <c r="M721" s="1389"/>
      <c r="N721" s="1390"/>
      <c r="O721" s="1368">
        <v>1071</v>
      </c>
      <c r="P721" s="1369"/>
      <c r="Q721" s="1369"/>
      <c r="R721" s="1369"/>
      <c r="S721" s="1370"/>
      <c r="T721" s="1368">
        <v>59</v>
      </c>
      <c r="U721" s="1369"/>
      <c r="V721" s="1369"/>
      <c r="W721" s="1370"/>
      <c r="X721" s="1365">
        <f t="shared" si="12"/>
        <v>1130</v>
      </c>
      <c r="Y721" s="1366"/>
      <c r="Z721" s="1366"/>
      <c r="AA721" s="1366"/>
      <c r="AB721" s="1367"/>
      <c r="AC721" s="1361">
        <v>0.3</v>
      </c>
      <c r="AD721" s="1362"/>
      <c r="AE721" s="1362"/>
      <c r="AF721" s="1362"/>
      <c r="AG721" s="1363"/>
      <c r="AH721" s="1371">
        <f t="shared" si="40"/>
        <v>0.29989384288747345</v>
      </c>
      <c r="AI721" s="1372"/>
      <c r="AJ721" s="1373"/>
      <c r="AK721" s="1341" t="s">
        <v>2100</v>
      </c>
      <c r="AL721" s="1342"/>
      <c r="AM721" s="1342"/>
      <c r="AN721" s="1342"/>
      <c r="AO721" s="1343"/>
      <c r="AP721" s="3"/>
      <c r="AQ721" s="3"/>
      <c r="AR721" s="3"/>
      <c r="AS721" s="3"/>
      <c r="AY721" s="116"/>
      <c r="AZ721" s="118">
        <f t="shared" si="13"/>
        <v>3768</v>
      </c>
      <c r="BA721" s="3"/>
      <c r="BB721" s="3"/>
      <c r="BC721" s="3"/>
      <c r="BD721" s="3"/>
      <c r="BE721" s="204"/>
      <c r="BF721" s="294">
        <f t="shared" si="14"/>
        <v>25</v>
      </c>
      <c r="BG721" s="297">
        <f t="shared" si="15"/>
        <v>0.12953367875647667</v>
      </c>
      <c r="BH721" s="298">
        <f t="shared" si="16"/>
        <v>3.8860103626942998E-2</v>
      </c>
      <c r="BI721" s="3"/>
      <c r="BJ721" s="3"/>
      <c r="BK721" s="3"/>
      <c r="BL721" s="3"/>
      <c r="BM721" s="3"/>
      <c r="BN721" s="3"/>
      <c r="BS721" s="294">
        <f t="shared" si="17"/>
        <v>25</v>
      </c>
      <c r="BT721" s="297">
        <f t="shared" si="18"/>
        <v>0.12953367875647667</v>
      </c>
      <c r="BU721" s="298">
        <f t="shared" si="19"/>
        <v>3.8846352705631269E-2</v>
      </c>
      <c r="CC721" s="3"/>
      <c r="CD721" s="3"/>
      <c r="CE721" s="3"/>
      <c r="CF721" s="3"/>
      <c r="CG721" s="1466">
        <f t="shared" si="41"/>
        <v>0</v>
      </c>
      <c r="CH721" s="1467"/>
      <c r="CI721" s="1468">
        <f t="shared" si="42"/>
        <v>0</v>
      </c>
      <c r="CJ721" s="1470"/>
      <c r="CK721" s="1466">
        <f t="shared" si="20"/>
        <v>1</v>
      </c>
      <c r="CL721" s="1467"/>
      <c r="CM721" s="1468">
        <f t="shared" si="21"/>
        <v>25</v>
      </c>
      <c r="CN721" s="1470"/>
      <c r="CO721" s="3"/>
      <c r="CP721" s="1461">
        <f t="shared" si="22"/>
        <v>0</v>
      </c>
      <c r="CQ721" s="1462"/>
      <c r="CR721" s="1462"/>
      <c r="CS721" s="1462"/>
      <c r="CT721" s="1463"/>
      <c r="CU721" s="1460">
        <f t="shared" si="23"/>
        <v>25</v>
      </c>
      <c r="CV721" s="1460"/>
      <c r="CW721" s="1460"/>
      <c r="CX721" s="1460"/>
      <c r="CY721" s="1460"/>
      <c r="CZ721" s="1460">
        <f t="shared" si="24"/>
        <v>0</v>
      </c>
      <c r="DA721" s="1460"/>
      <c r="DB721" s="1460"/>
      <c r="DC721" s="1460"/>
      <c r="DD721" s="1460"/>
      <c r="DE721" s="1460">
        <f t="shared" si="25"/>
        <v>0</v>
      </c>
      <c r="DF721" s="1460"/>
      <c r="DG721" s="1460"/>
      <c r="DH721" s="1460"/>
      <c r="DI721" s="1460"/>
      <c r="DJ721" s="1460">
        <f t="shared" si="26"/>
        <v>0</v>
      </c>
      <c r="DK721" s="1460"/>
      <c r="DL721" s="1460"/>
      <c r="DM721" s="1460"/>
      <c r="DN721" s="1460"/>
      <c r="DO721" s="1460">
        <f t="shared" si="27"/>
        <v>0</v>
      </c>
      <c r="DP721" s="1460"/>
      <c r="DQ721" s="1460"/>
      <c r="DR721" s="1460"/>
      <c r="DS721" s="1460"/>
      <c r="DT721" s="6"/>
      <c r="DU721" s="1459">
        <f t="shared" si="28"/>
        <v>0</v>
      </c>
      <c r="DV721" s="1459"/>
      <c r="DW721" s="1459"/>
      <c r="DX721" s="1459"/>
      <c r="DY721" s="1459"/>
      <c r="DZ721" s="1459">
        <f t="shared" si="29"/>
        <v>25</v>
      </c>
      <c r="EA721" s="1459"/>
      <c r="EB721" s="1459"/>
      <c r="EC721" s="1459"/>
      <c r="ED721" s="1459"/>
      <c r="EE721" s="1459">
        <f t="shared" si="30"/>
        <v>0</v>
      </c>
      <c r="EF721" s="1459"/>
      <c r="EG721" s="1459"/>
      <c r="EH721" s="1459"/>
      <c r="EI721" s="1459"/>
      <c r="EJ721" s="1459">
        <f t="shared" si="31"/>
        <v>0</v>
      </c>
      <c r="EK721" s="1459"/>
      <c r="EL721" s="1459"/>
      <c r="EM721" s="1459"/>
      <c r="EN721" s="1459"/>
      <c r="EO721" s="1459">
        <f t="shared" si="32"/>
        <v>0</v>
      </c>
      <c r="EP721" s="1459"/>
      <c r="EQ721" s="1459"/>
      <c r="ER721" s="1459"/>
      <c r="ES721" s="1459"/>
      <c r="ET721" s="1459">
        <f t="shared" si="33"/>
        <v>0</v>
      </c>
      <c r="EU721" s="1459"/>
      <c r="EV721" s="1459"/>
      <c r="EW721" s="1459"/>
      <c r="EX721" s="1459"/>
      <c r="EZ721" s="1466" t="str">
        <f t="shared" si="34"/>
        <v/>
      </c>
      <c r="FA721" s="1473"/>
      <c r="FB721" s="1473"/>
      <c r="FC721" s="1473"/>
      <c r="FD721" s="1467"/>
      <c r="FE721" s="1466">
        <f t="shared" si="35"/>
        <v>1071</v>
      </c>
      <c r="FF721" s="1473"/>
      <c r="FG721" s="1473"/>
      <c r="FH721" s="1473"/>
      <c r="FI721" s="1467"/>
      <c r="FJ721" s="1466" t="str">
        <f t="shared" si="36"/>
        <v/>
      </c>
      <c r="FK721" s="1473"/>
      <c r="FL721" s="1473"/>
      <c r="FM721" s="1473"/>
      <c r="FN721" s="1467"/>
      <c r="FO721" s="1466" t="str">
        <f t="shared" si="37"/>
        <v/>
      </c>
      <c r="FP721" s="1473"/>
      <c r="FQ721" s="1473"/>
      <c r="FR721" s="1473"/>
      <c r="FS721" s="1467"/>
      <c r="FT721" s="1466" t="str">
        <f t="shared" si="38"/>
        <v/>
      </c>
      <c r="FU721" s="1473"/>
      <c r="FV721" s="1473"/>
      <c r="FW721" s="1473"/>
      <c r="FX721" s="1467"/>
      <c r="FY721" s="1466" t="str">
        <f t="shared" si="39"/>
        <v/>
      </c>
      <c r="FZ721" s="1473"/>
      <c r="GA721" s="1473"/>
      <c r="GB721" s="1473"/>
      <c r="GC721" s="1467"/>
    </row>
    <row r="722" spans="1:185" ht="12.95" customHeight="1">
      <c r="B722" s="1341"/>
      <c r="C722" s="1342"/>
      <c r="D722" s="1342"/>
      <c r="E722" s="1342"/>
      <c r="F722" s="1343"/>
      <c r="G722" s="1338"/>
      <c r="H722" s="1339"/>
      <c r="I722" s="1339"/>
      <c r="J722" s="1340"/>
      <c r="K722" s="1388"/>
      <c r="L722" s="1389"/>
      <c r="M722" s="1389"/>
      <c r="N722" s="1390"/>
      <c r="O722" s="1368"/>
      <c r="P722" s="1369"/>
      <c r="Q722" s="1369"/>
      <c r="R722" s="1369"/>
      <c r="S722" s="1370"/>
      <c r="T722" s="1368"/>
      <c r="U722" s="1369"/>
      <c r="V722" s="1369"/>
      <c r="W722" s="1370"/>
      <c r="X722" s="1365">
        <f t="shared" si="12"/>
        <v>0</v>
      </c>
      <c r="Y722" s="1366"/>
      <c r="Z722" s="1366"/>
      <c r="AA722" s="1366"/>
      <c r="AB722" s="1367"/>
      <c r="AC722" s="1361"/>
      <c r="AD722" s="1362"/>
      <c r="AE722" s="1362"/>
      <c r="AF722" s="1362"/>
      <c r="AG722" s="1363"/>
      <c r="AH722" s="1371" t="str">
        <f t="shared" si="40"/>
        <v/>
      </c>
      <c r="AI722" s="1372"/>
      <c r="AJ722" s="1373"/>
      <c r="AK722" s="1341" t="s">
        <v>591</v>
      </c>
      <c r="AL722" s="1342"/>
      <c r="AM722" s="1342"/>
      <c r="AN722" s="1342"/>
      <c r="AO722" s="1343"/>
      <c r="AP722" s="3"/>
      <c r="AQ722" s="3"/>
      <c r="AR722" s="3"/>
      <c r="AS722" s="3"/>
      <c r="AY722" s="116"/>
      <c r="AZ722" s="118" t="str">
        <f t="shared" si="13"/>
        <v>N/A</v>
      </c>
      <c r="BA722" s="3"/>
      <c r="BB722" s="3"/>
      <c r="BC722" s="3"/>
      <c r="BD722" s="3"/>
      <c r="BE722" s="204"/>
      <c r="BF722" s="294">
        <f t="shared" si="14"/>
        <v>0</v>
      </c>
      <c r="BG722" s="297">
        <f t="shared" si="15"/>
        <v>0</v>
      </c>
      <c r="BH722" s="298" t="str">
        <f t="shared" si="16"/>
        <v/>
      </c>
      <c r="BI722" s="3"/>
      <c r="BJ722" s="3"/>
      <c r="BK722" s="3"/>
      <c r="BL722" s="3"/>
      <c r="BM722" s="3"/>
      <c r="BN722" s="3"/>
      <c r="BS722" s="294">
        <f t="shared" si="17"/>
        <v>0</v>
      </c>
      <c r="BT722" s="297">
        <f t="shared" si="18"/>
        <v>0</v>
      </c>
      <c r="BU722" s="298" t="str">
        <f t="shared" si="19"/>
        <v/>
      </c>
      <c r="CC722" s="3"/>
      <c r="CD722" s="3"/>
      <c r="CE722" s="3"/>
      <c r="CF722" s="3"/>
      <c r="CG722" s="1466">
        <f t="shared" si="41"/>
        <v>0</v>
      </c>
      <c r="CH722" s="1467"/>
      <c r="CI722" s="1468">
        <f t="shared" si="42"/>
        <v>0</v>
      </c>
      <c r="CJ722" s="1470"/>
      <c r="CK722" s="1466">
        <f t="shared" si="20"/>
        <v>0</v>
      </c>
      <c r="CL722" s="1467"/>
      <c r="CM722" s="1468">
        <f t="shared" si="21"/>
        <v>0</v>
      </c>
      <c r="CN722" s="1470"/>
      <c r="CO722" s="3"/>
      <c r="CP722" s="1461">
        <f t="shared" si="22"/>
        <v>0</v>
      </c>
      <c r="CQ722" s="1462"/>
      <c r="CR722" s="1462"/>
      <c r="CS722" s="1462"/>
      <c r="CT722" s="1463"/>
      <c r="CU722" s="1460">
        <f t="shared" si="23"/>
        <v>0</v>
      </c>
      <c r="CV722" s="1460"/>
      <c r="CW722" s="1460"/>
      <c r="CX722" s="1460"/>
      <c r="CY722" s="1460"/>
      <c r="CZ722" s="1460">
        <f t="shared" si="24"/>
        <v>0</v>
      </c>
      <c r="DA722" s="1460"/>
      <c r="DB722" s="1460"/>
      <c r="DC722" s="1460"/>
      <c r="DD722" s="1460"/>
      <c r="DE722" s="1460">
        <f t="shared" si="25"/>
        <v>0</v>
      </c>
      <c r="DF722" s="1460"/>
      <c r="DG722" s="1460"/>
      <c r="DH722" s="1460"/>
      <c r="DI722" s="1460"/>
      <c r="DJ722" s="1460">
        <f t="shared" si="26"/>
        <v>0</v>
      </c>
      <c r="DK722" s="1460"/>
      <c r="DL722" s="1460"/>
      <c r="DM722" s="1460"/>
      <c r="DN722" s="1460"/>
      <c r="DO722" s="1460">
        <f t="shared" si="27"/>
        <v>0</v>
      </c>
      <c r="DP722" s="1460"/>
      <c r="DQ722" s="1460"/>
      <c r="DR722" s="1460"/>
      <c r="DS722" s="1460"/>
      <c r="DT722" s="6"/>
      <c r="DU722" s="1459">
        <f t="shared" si="28"/>
        <v>0</v>
      </c>
      <c r="DV722" s="1459"/>
      <c r="DW722" s="1459"/>
      <c r="DX722" s="1459"/>
      <c r="DY722" s="1459"/>
      <c r="DZ722" s="1459">
        <f t="shared" si="29"/>
        <v>0</v>
      </c>
      <c r="EA722" s="1459"/>
      <c r="EB722" s="1459"/>
      <c r="EC722" s="1459"/>
      <c r="ED722" s="1459"/>
      <c r="EE722" s="1459">
        <f t="shared" si="30"/>
        <v>0</v>
      </c>
      <c r="EF722" s="1459"/>
      <c r="EG722" s="1459"/>
      <c r="EH722" s="1459"/>
      <c r="EI722" s="1459"/>
      <c r="EJ722" s="1459">
        <f t="shared" si="31"/>
        <v>0</v>
      </c>
      <c r="EK722" s="1459"/>
      <c r="EL722" s="1459"/>
      <c r="EM722" s="1459"/>
      <c r="EN722" s="1459"/>
      <c r="EO722" s="1459">
        <f t="shared" si="32"/>
        <v>0</v>
      </c>
      <c r="EP722" s="1459"/>
      <c r="EQ722" s="1459"/>
      <c r="ER722" s="1459"/>
      <c r="ES722" s="1459"/>
      <c r="ET722" s="1459">
        <f t="shared" si="33"/>
        <v>0</v>
      </c>
      <c r="EU722" s="1459"/>
      <c r="EV722" s="1459"/>
      <c r="EW722" s="1459"/>
      <c r="EX722" s="1459"/>
      <c r="EZ722" s="1466" t="str">
        <f t="shared" si="34"/>
        <v/>
      </c>
      <c r="FA722" s="1473"/>
      <c r="FB722" s="1473"/>
      <c r="FC722" s="1473"/>
      <c r="FD722" s="1467"/>
      <c r="FE722" s="1466" t="str">
        <f t="shared" si="35"/>
        <v/>
      </c>
      <c r="FF722" s="1473"/>
      <c r="FG722" s="1473"/>
      <c r="FH722" s="1473"/>
      <c r="FI722" s="1467"/>
      <c r="FJ722" s="1466" t="str">
        <f t="shared" si="36"/>
        <v/>
      </c>
      <c r="FK722" s="1473"/>
      <c r="FL722" s="1473"/>
      <c r="FM722" s="1473"/>
      <c r="FN722" s="1467"/>
      <c r="FO722" s="1466" t="str">
        <f t="shared" si="37"/>
        <v/>
      </c>
      <c r="FP722" s="1473"/>
      <c r="FQ722" s="1473"/>
      <c r="FR722" s="1473"/>
      <c r="FS722" s="1467"/>
      <c r="FT722" s="1466" t="str">
        <f t="shared" si="38"/>
        <v/>
      </c>
      <c r="FU722" s="1473"/>
      <c r="FV722" s="1473"/>
      <c r="FW722" s="1473"/>
      <c r="FX722" s="1467"/>
      <c r="FY722" s="1466" t="str">
        <f t="shared" si="39"/>
        <v/>
      </c>
      <c r="FZ722" s="1473"/>
      <c r="GA722" s="1473"/>
      <c r="GB722" s="1473"/>
      <c r="GC722" s="1467"/>
    </row>
    <row r="723" spans="1:185" ht="12.95" customHeight="1">
      <c r="B723" s="1341" t="s">
        <v>163</v>
      </c>
      <c r="C723" s="1342"/>
      <c r="D723" s="1342"/>
      <c r="E723" s="1342"/>
      <c r="F723" s="1343"/>
      <c r="G723" s="1338">
        <v>14</v>
      </c>
      <c r="H723" s="1339"/>
      <c r="I723" s="1339"/>
      <c r="J723" s="1340"/>
      <c r="K723" s="1388">
        <v>834</v>
      </c>
      <c r="L723" s="1389"/>
      <c r="M723" s="1389"/>
      <c r="N723" s="1390"/>
      <c r="O723" s="1368">
        <v>1276</v>
      </c>
      <c r="P723" s="1369"/>
      <c r="Q723" s="1369"/>
      <c r="R723" s="1369"/>
      <c r="S723" s="1370"/>
      <c r="T723" s="1368">
        <v>80</v>
      </c>
      <c r="U723" s="1369"/>
      <c r="V723" s="1369"/>
      <c r="W723" s="1370"/>
      <c r="X723" s="1365">
        <f t="shared" si="12"/>
        <v>1356</v>
      </c>
      <c r="Y723" s="1366"/>
      <c r="Z723" s="1366"/>
      <c r="AA723" s="1366"/>
      <c r="AB723" s="1367"/>
      <c r="AC723" s="1361">
        <v>0.3</v>
      </c>
      <c r="AD723" s="1362"/>
      <c r="AE723" s="1362"/>
      <c r="AF723" s="1362"/>
      <c r="AG723" s="1363"/>
      <c r="AH723" s="1371">
        <f t="shared" si="40"/>
        <v>0.29986731534719152</v>
      </c>
      <c r="AI723" s="1372"/>
      <c r="AJ723" s="1373"/>
      <c r="AK723" s="1341" t="s">
        <v>2100</v>
      </c>
      <c r="AL723" s="1342"/>
      <c r="AM723" s="1342"/>
      <c r="AN723" s="1342"/>
      <c r="AO723" s="1343"/>
      <c r="AP723" s="3"/>
      <c r="AQ723" s="3"/>
      <c r="AR723" s="3"/>
      <c r="AS723" s="3"/>
      <c r="AY723" s="116"/>
      <c r="AZ723" s="118">
        <f t="shared" si="13"/>
        <v>4522</v>
      </c>
      <c r="BA723" s="3"/>
      <c r="BB723" s="3"/>
      <c r="BC723" s="3"/>
      <c r="BD723" s="3"/>
      <c r="BE723" s="204"/>
      <c r="BF723" s="294">
        <f t="shared" si="14"/>
        <v>14</v>
      </c>
      <c r="BG723" s="297">
        <f t="shared" si="15"/>
        <v>7.2538860103626937E-2</v>
      </c>
      <c r="BH723" s="298">
        <f t="shared" si="16"/>
        <v>2.176165803108808E-2</v>
      </c>
      <c r="BI723" s="3"/>
      <c r="BJ723" s="3"/>
      <c r="BK723" s="3"/>
      <c r="BL723" s="3"/>
      <c r="BM723" s="3"/>
      <c r="BN723" s="3"/>
      <c r="BS723" s="294">
        <f t="shared" si="17"/>
        <v>14</v>
      </c>
      <c r="BT723" s="297">
        <f t="shared" si="18"/>
        <v>7.2538860103626937E-2</v>
      </c>
      <c r="BU723" s="298">
        <f t="shared" si="19"/>
        <v>2.1752033237620108E-2</v>
      </c>
      <c r="CC723" s="3"/>
      <c r="CD723" s="3"/>
      <c r="CE723" s="3"/>
      <c r="CF723" s="3"/>
      <c r="CG723" s="1466">
        <f t="shared" si="41"/>
        <v>0</v>
      </c>
      <c r="CH723" s="1467"/>
      <c r="CI723" s="1468">
        <f t="shared" si="42"/>
        <v>0</v>
      </c>
      <c r="CJ723" s="1470"/>
      <c r="CK723" s="1466">
        <f t="shared" si="20"/>
        <v>1</v>
      </c>
      <c r="CL723" s="1467"/>
      <c r="CM723" s="1468">
        <f t="shared" si="21"/>
        <v>14</v>
      </c>
      <c r="CN723" s="1470"/>
      <c r="CO723" s="3"/>
      <c r="CP723" s="1461">
        <f t="shared" si="22"/>
        <v>0</v>
      </c>
      <c r="CQ723" s="1462"/>
      <c r="CR723" s="1462"/>
      <c r="CS723" s="1462"/>
      <c r="CT723" s="1463"/>
      <c r="CU723" s="1460">
        <f t="shared" si="23"/>
        <v>0</v>
      </c>
      <c r="CV723" s="1460"/>
      <c r="CW723" s="1460"/>
      <c r="CX723" s="1460"/>
      <c r="CY723" s="1460"/>
      <c r="CZ723" s="1460">
        <f t="shared" si="24"/>
        <v>14</v>
      </c>
      <c r="DA723" s="1460"/>
      <c r="DB723" s="1460"/>
      <c r="DC723" s="1460"/>
      <c r="DD723" s="1460"/>
      <c r="DE723" s="1460">
        <f t="shared" si="25"/>
        <v>0</v>
      </c>
      <c r="DF723" s="1460"/>
      <c r="DG723" s="1460"/>
      <c r="DH723" s="1460"/>
      <c r="DI723" s="1460"/>
      <c r="DJ723" s="1460">
        <f t="shared" si="26"/>
        <v>0</v>
      </c>
      <c r="DK723" s="1460"/>
      <c r="DL723" s="1460"/>
      <c r="DM723" s="1460"/>
      <c r="DN723" s="1460"/>
      <c r="DO723" s="1460">
        <f t="shared" si="27"/>
        <v>0</v>
      </c>
      <c r="DP723" s="1460"/>
      <c r="DQ723" s="1460"/>
      <c r="DR723" s="1460"/>
      <c r="DS723" s="1460"/>
      <c r="DT723" s="6"/>
      <c r="DU723" s="1459">
        <f t="shared" si="28"/>
        <v>0</v>
      </c>
      <c r="DV723" s="1459"/>
      <c r="DW723" s="1459"/>
      <c r="DX723" s="1459"/>
      <c r="DY723" s="1459"/>
      <c r="DZ723" s="1459">
        <f t="shared" si="29"/>
        <v>0</v>
      </c>
      <c r="EA723" s="1459"/>
      <c r="EB723" s="1459"/>
      <c r="EC723" s="1459"/>
      <c r="ED723" s="1459"/>
      <c r="EE723" s="1459">
        <f t="shared" si="30"/>
        <v>14</v>
      </c>
      <c r="EF723" s="1459"/>
      <c r="EG723" s="1459"/>
      <c r="EH723" s="1459"/>
      <c r="EI723" s="1459"/>
      <c r="EJ723" s="1459">
        <f t="shared" si="31"/>
        <v>0</v>
      </c>
      <c r="EK723" s="1459"/>
      <c r="EL723" s="1459"/>
      <c r="EM723" s="1459"/>
      <c r="EN723" s="1459"/>
      <c r="EO723" s="1459">
        <f t="shared" si="32"/>
        <v>0</v>
      </c>
      <c r="EP723" s="1459"/>
      <c r="EQ723" s="1459"/>
      <c r="ER723" s="1459"/>
      <c r="ES723" s="1459"/>
      <c r="ET723" s="1459">
        <f t="shared" si="33"/>
        <v>0</v>
      </c>
      <c r="EU723" s="1459"/>
      <c r="EV723" s="1459"/>
      <c r="EW723" s="1459"/>
      <c r="EX723" s="1459"/>
      <c r="EZ723" s="1466" t="str">
        <f t="shared" si="34"/>
        <v/>
      </c>
      <c r="FA723" s="1473"/>
      <c r="FB723" s="1473"/>
      <c r="FC723" s="1473"/>
      <c r="FD723" s="1467"/>
      <c r="FE723" s="1466" t="str">
        <f t="shared" si="35"/>
        <v/>
      </c>
      <c r="FF723" s="1473"/>
      <c r="FG723" s="1473"/>
      <c r="FH723" s="1473"/>
      <c r="FI723" s="1467"/>
      <c r="FJ723" s="1466">
        <f t="shared" si="36"/>
        <v>1276</v>
      </c>
      <c r="FK723" s="1473"/>
      <c r="FL723" s="1473"/>
      <c r="FM723" s="1473"/>
      <c r="FN723" s="1467"/>
      <c r="FO723" s="1466" t="str">
        <f t="shared" si="37"/>
        <v/>
      </c>
      <c r="FP723" s="1473"/>
      <c r="FQ723" s="1473"/>
      <c r="FR723" s="1473"/>
      <c r="FS723" s="1467"/>
      <c r="FT723" s="1466" t="str">
        <f t="shared" si="38"/>
        <v/>
      </c>
      <c r="FU723" s="1473"/>
      <c r="FV723" s="1473"/>
      <c r="FW723" s="1473"/>
      <c r="FX723" s="1467"/>
      <c r="FY723" s="1466" t="str">
        <f t="shared" si="39"/>
        <v/>
      </c>
      <c r="FZ723" s="1473"/>
      <c r="GA723" s="1473"/>
      <c r="GB723" s="1473"/>
      <c r="GC723" s="1467"/>
    </row>
    <row r="724" spans="1:185" ht="12.95" customHeight="1">
      <c r="B724" s="1341" t="s">
        <v>163</v>
      </c>
      <c r="C724" s="1342"/>
      <c r="D724" s="1342"/>
      <c r="E724" s="1342"/>
      <c r="F724" s="1343"/>
      <c r="G724" s="1338">
        <v>1</v>
      </c>
      <c r="H724" s="1339"/>
      <c r="I724" s="1339"/>
      <c r="J724" s="1340"/>
      <c r="K724" s="1388">
        <v>834</v>
      </c>
      <c r="L724" s="1389"/>
      <c r="M724" s="1389"/>
      <c r="N724" s="1390"/>
      <c r="O724" s="1368">
        <v>2181</v>
      </c>
      <c r="P724" s="1369"/>
      <c r="Q724" s="1369"/>
      <c r="R724" s="1369"/>
      <c r="S724" s="1370"/>
      <c r="T724" s="1368">
        <v>80</v>
      </c>
      <c r="U724" s="1369"/>
      <c r="V724" s="1369"/>
      <c r="W724" s="1370"/>
      <c r="X724" s="1365">
        <f t="shared" si="12"/>
        <v>2261</v>
      </c>
      <c r="Y724" s="1366"/>
      <c r="Z724" s="1366"/>
      <c r="AA724" s="1366"/>
      <c r="AB724" s="1367"/>
      <c r="AC724" s="1361">
        <v>0.5</v>
      </c>
      <c r="AD724" s="1362"/>
      <c r="AE724" s="1362"/>
      <c r="AF724" s="1362"/>
      <c r="AG724" s="1363"/>
      <c r="AH724" s="1371">
        <f t="shared" si="40"/>
        <v>0.5</v>
      </c>
      <c r="AI724" s="1372"/>
      <c r="AJ724" s="1373"/>
      <c r="AK724" s="1341" t="s">
        <v>591</v>
      </c>
      <c r="AL724" s="1342"/>
      <c r="AM724" s="1342"/>
      <c r="AN724" s="1342"/>
      <c r="AO724" s="1343"/>
      <c r="AP724" s="3"/>
      <c r="AQ724" s="3"/>
      <c r="AR724" s="3"/>
      <c r="AS724" s="3"/>
      <c r="AY724" s="116"/>
      <c r="AZ724" s="118">
        <f t="shared" si="13"/>
        <v>4522</v>
      </c>
      <c r="BA724" s="3"/>
      <c r="BB724" s="3"/>
      <c r="BC724" s="3"/>
      <c r="BD724" s="3"/>
      <c r="BE724" s="204"/>
      <c r="BF724" s="294">
        <f t="shared" si="14"/>
        <v>1</v>
      </c>
      <c r="BG724" s="297">
        <f t="shared" si="15"/>
        <v>5.1813471502590676E-3</v>
      </c>
      <c r="BH724" s="298">
        <f t="shared" si="16"/>
        <v>2.5906735751295338E-3</v>
      </c>
      <c r="BI724" s="3"/>
      <c r="BJ724" s="3"/>
      <c r="BK724" s="3"/>
      <c r="BL724" s="3"/>
      <c r="BM724" s="3"/>
      <c r="BN724" s="3"/>
      <c r="BS724" s="294">
        <f t="shared" si="17"/>
        <v>1</v>
      </c>
      <c r="BT724" s="297">
        <f t="shared" si="18"/>
        <v>5.1813471502590676E-3</v>
      </c>
      <c r="BU724" s="298">
        <f t="shared" si="19"/>
        <v>2.5906735751295338E-3</v>
      </c>
      <c r="CC724" s="3"/>
      <c r="CE724" s="3"/>
      <c r="CF724" s="3"/>
      <c r="CG724" s="1466">
        <f t="shared" si="41"/>
        <v>1</v>
      </c>
      <c r="CH724" s="1467"/>
      <c r="CI724" s="1468">
        <f t="shared" si="42"/>
        <v>1</v>
      </c>
      <c r="CJ724" s="1470"/>
      <c r="CK724" s="1466">
        <f t="shared" si="20"/>
        <v>0</v>
      </c>
      <c r="CL724" s="1467"/>
      <c r="CM724" s="1468">
        <f t="shared" si="21"/>
        <v>0</v>
      </c>
      <c r="CN724" s="1470"/>
      <c r="CO724" s="3"/>
      <c r="CP724" s="1461">
        <f t="shared" si="22"/>
        <v>0</v>
      </c>
      <c r="CQ724" s="1462"/>
      <c r="CR724" s="1462"/>
      <c r="CS724" s="1462"/>
      <c r="CT724" s="1463"/>
      <c r="CU724" s="1460">
        <f t="shared" si="23"/>
        <v>0</v>
      </c>
      <c r="CV724" s="1460"/>
      <c r="CW724" s="1460"/>
      <c r="CX724" s="1460"/>
      <c r="CY724" s="1460"/>
      <c r="CZ724" s="1460">
        <f t="shared" si="24"/>
        <v>1</v>
      </c>
      <c r="DA724" s="1460"/>
      <c r="DB724" s="1460"/>
      <c r="DC724" s="1460"/>
      <c r="DD724" s="1460"/>
      <c r="DE724" s="1460">
        <f t="shared" si="25"/>
        <v>0</v>
      </c>
      <c r="DF724" s="1460"/>
      <c r="DG724" s="1460"/>
      <c r="DH724" s="1460"/>
      <c r="DI724" s="1460"/>
      <c r="DJ724" s="1460">
        <f t="shared" si="26"/>
        <v>0</v>
      </c>
      <c r="DK724" s="1460"/>
      <c r="DL724" s="1460"/>
      <c r="DM724" s="1460"/>
      <c r="DN724" s="1460"/>
      <c r="DO724" s="1460">
        <f t="shared" si="27"/>
        <v>0</v>
      </c>
      <c r="DP724" s="1460"/>
      <c r="DQ724" s="1460"/>
      <c r="DR724" s="1460"/>
      <c r="DS724" s="1460"/>
      <c r="DT724" s="6"/>
      <c r="DU724" s="1459">
        <f t="shared" si="28"/>
        <v>0</v>
      </c>
      <c r="DV724" s="1459"/>
      <c r="DW724" s="1459"/>
      <c r="DX724" s="1459"/>
      <c r="DY724" s="1459"/>
      <c r="DZ724" s="1459">
        <f t="shared" si="29"/>
        <v>0</v>
      </c>
      <c r="EA724" s="1459"/>
      <c r="EB724" s="1459"/>
      <c r="EC724" s="1459"/>
      <c r="ED724" s="1459"/>
      <c r="EE724" s="1459">
        <f t="shared" si="30"/>
        <v>0</v>
      </c>
      <c r="EF724" s="1459"/>
      <c r="EG724" s="1459"/>
      <c r="EH724" s="1459"/>
      <c r="EI724" s="1459"/>
      <c r="EJ724" s="1459">
        <f t="shared" si="31"/>
        <v>0</v>
      </c>
      <c r="EK724" s="1459"/>
      <c r="EL724" s="1459"/>
      <c r="EM724" s="1459"/>
      <c r="EN724" s="1459"/>
      <c r="EO724" s="1459">
        <f t="shared" si="32"/>
        <v>0</v>
      </c>
      <c r="EP724" s="1459"/>
      <c r="EQ724" s="1459"/>
      <c r="ER724" s="1459"/>
      <c r="ES724" s="1459"/>
      <c r="ET724" s="1459">
        <f t="shared" si="33"/>
        <v>0</v>
      </c>
      <c r="EU724" s="1459"/>
      <c r="EV724" s="1459"/>
      <c r="EW724" s="1459"/>
      <c r="EX724" s="1459"/>
      <c r="EZ724" s="1466" t="str">
        <f t="shared" si="34"/>
        <v/>
      </c>
      <c r="FA724" s="1473"/>
      <c r="FB724" s="1473"/>
      <c r="FC724" s="1473"/>
      <c r="FD724" s="1467"/>
      <c r="FE724" s="1466" t="str">
        <f t="shared" si="35"/>
        <v/>
      </c>
      <c r="FF724" s="1473"/>
      <c r="FG724" s="1473"/>
      <c r="FH724" s="1473"/>
      <c r="FI724" s="1467"/>
      <c r="FJ724" s="1466">
        <f t="shared" si="36"/>
        <v>2181</v>
      </c>
      <c r="FK724" s="1473"/>
      <c r="FL724" s="1473"/>
      <c r="FM724" s="1473"/>
      <c r="FN724" s="1467"/>
      <c r="FO724" s="1466" t="str">
        <f t="shared" si="37"/>
        <v/>
      </c>
      <c r="FP724" s="1473"/>
      <c r="FQ724" s="1473"/>
      <c r="FR724" s="1473"/>
      <c r="FS724" s="1467"/>
      <c r="FT724" s="1466" t="str">
        <f t="shared" si="38"/>
        <v/>
      </c>
      <c r="FU724" s="1473"/>
      <c r="FV724" s="1473"/>
      <c r="FW724" s="1473"/>
      <c r="FX724" s="1467"/>
      <c r="FY724" s="1466" t="str">
        <f t="shared" si="39"/>
        <v/>
      </c>
      <c r="FZ724" s="1473"/>
      <c r="GA724" s="1473"/>
      <c r="GB724" s="1473"/>
      <c r="GC724" s="1467"/>
    </row>
    <row r="725" spans="1:185" ht="12.95" customHeight="1">
      <c r="B725" s="1341" t="s">
        <v>163</v>
      </c>
      <c r="C725" s="1342"/>
      <c r="D725" s="1342"/>
      <c r="E725" s="1342"/>
      <c r="F725" s="1343"/>
      <c r="G725" s="1338">
        <v>38</v>
      </c>
      <c r="H725" s="1339"/>
      <c r="I725" s="1339"/>
      <c r="J725" s="1340"/>
      <c r="K725" s="1388">
        <v>834</v>
      </c>
      <c r="L725" s="1389"/>
      <c r="M725" s="1389"/>
      <c r="N725" s="1390"/>
      <c r="O725" s="1368">
        <v>2633</v>
      </c>
      <c r="P725" s="1369"/>
      <c r="Q725" s="1369"/>
      <c r="R725" s="1369"/>
      <c r="S725" s="1370"/>
      <c r="T725" s="1368">
        <v>80</v>
      </c>
      <c r="U725" s="1369"/>
      <c r="V725" s="1369"/>
      <c r="W725" s="1370"/>
      <c r="X725" s="1365">
        <f t="shared" si="12"/>
        <v>2713</v>
      </c>
      <c r="Y725" s="1366"/>
      <c r="Z725" s="1366"/>
      <c r="AA725" s="1366"/>
      <c r="AB725" s="1367"/>
      <c r="AC725" s="1361">
        <v>0.6</v>
      </c>
      <c r="AD725" s="1362"/>
      <c r="AE725" s="1362"/>
      <c r="AF725" s="1362"/>
      <c r="AG725" s="1363"/>
      <c r="AH725" s="1371">
        <f t="shared" si="40"/>
        <v>0.59995577178239712</v>
      </c>
      <c r="AI725" s="1372"/>
      <c r="AJ725" s="1373"/>
      <c r="AK725" s="1341" t="s">
        <v>591</v>
      </c>
      <c r="AL725" s="1342"/>
      <c r="AM725" s="1342"/>
      <c r="AN725" s="1342"/>
      <c r="AO725" s="1343"/>
      <c r="AP725" s="3"/>
      <c r="AQ725" s="3"/>
      <c r="AR725" s="3"/>
      <c r="AS725" s="3"/>
      <c r="AY725" s="1085"/>
      <c r="AZ725" s="118">
        <f t="shared" si="13"/>
        <v>4522</v>
      </c>
      <c r="BA725" s="3"/>
      <c r="BB725" s="3"/>
      <c r="BC725" s="3"/>
      <c r="BD725" s="3"/>
      <c r="BE725" s="204"/>
      <c r="BF725" s="294">
        <f t="shared" si="14"/>
        <v>38</v>
      </c>
      <c r="BG725" s="297">
        <f t="shared" si="15"/>
        <v>0.19689119170984457</v>
      </c>
      <c r="BH725" s="298">
        <f t="shared" si="16"/>
        <v>0.11813471502590674</v>
      </c>
      <c r="BI725" s="3"/>
      <c r="BJ725" s="3"/>
      <c r="BK725" s="3"/>
      <c r="BL725" s="3"/>
      <c r="BM725" s="3"/>
      <c r="BN725" s="3"/>
      <c r="BS725" s="294">
        <f t="shared" si="17"/>
        <v>38</v>
      </c>
      <c r="BT725" s="297">
        <f t="shared" si="18"/>
        <v>0.19689119170984457</v>
      </c>
      <c r="BU725" s="298">
        <f t="shared" si="19"/>
        <v>0.11812600687943571</v>
      </c>
      <c r="BV725" s="292"/>
      <c r="BW725" s="3"/>
      <c r="BX725" s="3"/>
      <c r="BY725" s="3"/>
      <c r="BZ725" s="3"/>
      <c r="CA725" s="3"/>
      <c r="CB725" s="3"/>
      <c r="CC725" s="3"/>
      <c r="CE725" s="3"/>
      <c r="CF725" s="3"/>
      <c r="CG725" s="1466">
        <f t="shared" si="41"/>
        <v>0</v>
      </c>
      <c r="CH725" s="1467"/>
      <c r="CI725" s="1468">
        <f t="shared" si="42"/>
        <v>0</v>
      </c>
      <c r="CJ725" s="1470"/>
      <c r="CK725" s="1466">
        <f t="shared" si="20"/>
        <v>0</v>
      </c>
      <c r="CL725" s="1467"/>
      <c r="CM725" s="1468">
        <f t="shared" si="21"/>
        <v>0</v>
      </c>
      <c r="CN725" s="1470"/>
      <c r="CO725" s="3"/>
      <c r="CP725" s="1461">
        <f t="shared" si="22"/>
        <v>0</v>
      </c>
      <c r="CQ725" s="1462"/>
      <c r="CR725" s="1462"/>
      <c r="CS725" s="1462"/>
      <c r="CT725" s="1463"/>
      <c r="CU725" s="1460">
        <f t="shared" si="23"/>
        <v>0</v>
      </c>
      <c r="CV725" s="1460"/>
      <c r="CW725" s="1460"/>
      <c r="CX725" s="1460"/>
      <c r="CY725" s="1460"/>
      <c r="CZ725" s="1460">
        <f t="shared" si="24"/>
        <v>38</v>
      </c>
      <c r="DA725" s="1460"/>
      <c r="DB725" s="1460"/>
      <c r="DC725" s="1460"/>
      <c r="DD725" s="1460"/>
      <c r="DE725" s="1460">
        <f t="shared" si="25"/>
        <v>0</v>
      </c>
      <c r="DF725" s="1460"/>
      <c r="DG725" s="1460"/>
      <c r="DH725" s="1460"/>
      <c r="DI725" s="1460"/>
      <c r="DJ725" s="1460">
        <f t="shared" si="26"/>
        <v>0</v>
      </c>
      <c r="DK725" s="1460"/>
      <c r="DL725" s="1460"/>
      <c r="DM725" s="1460"/>
      <c r="DN725" s="1460"/>
      <c r="DO725" s="1460">
        <f t="shared" si="27"/>
        <v>0</v>
      </c>
      <c r="DP725" s="1460"/>
      <c r="DQ725" s="1460"/>
      <c r="DR725" s="1460"/>
      <c r="DS725" s="1460"/>
      <c r="DT725" s="6"/>
      <c r="DU725" s="1459">
        <f t="shared" si="28"/>
        <v>0</v>
      </c>
      <c r="DV725" s="1459"/>
      <c r="DW725" s="1459"/>
      <c r="DX725" s="1459"/>
      <c r="DY725" s="1459"/>
      <c r="DZ725" s="1459">
        <f t="shared" si="29"/>
        <v>0</v>
      </c>
      <c r="EA725" s="1459"/>
      <c r="EB725" s="1459"/>
      <c r="EC725" s="1459"/>
      <c r="ED725" s="1459"/>
      <c r="EE725" s="1459">
        <f t="shared" si="30"/>
        <v>0</v>
      </c>
      <c r="EF725" s="1459"/>
      <c r="EG725" s="1459"/>
      <c r="EH725" s="1459"/>
      <c r="EI725" s="1459"/>
      <c r="EJ725" s="1459">
        <f t="shared" si="31"/>
        <v>0</v>
      </c>
      <c r="EK725" s="1459"/>
      <c r="EL725" s="1459"/>
      <c r="EM725" s="1459"/>
      <c r="EN725" s="1459"/>
      <c r="EO725" s="1459">
        <f t="shared" si="32"/>
        <v>0</v>
      </c>
      <c r="EP725" s="1459"/>
      <c r="EQ725" s="1459"/>
      <c r="ER725" s="1459"/>
      <c r="ES725" s="1459"/>
      <c r="ET725" s="1459">
        <f t="shared" si="33"/>
        <v>0</v>
      </c>
      <c r="EU725" s="1459"/>
      <c r="EV725" s="1459"/>
      <c r="EW725" s="1459"/>
      <c r="EX725" s="1459"/>
      <c r="EZ725" s="1466" t="str">
        <f t="shared" si="34"/>
        <v/>
      </c>
      <c r="FA725" s="1473"/>
      <c r="FB725" s="1473"/>
      <c r="FC725" s="1473"/>
      <c r="FD725" s="1467"/>
      <c r="FE725" s="1466" t="str">
        <f t="shared" si="35"/>
        <v/>
      </c>
      <c r="FF725" s="1473"/>
      <c r="FG725" s="1473"/>
      <c r="FH725" s="1473"/>
      <c r="FI725" s="1467"/>
      <c r="FJ725" s="1466">
        <f t="shared" si="36"/>
        <v>2633</v>
      </c>
      <c r="FK725" s="1473"/>
      <c r="FL725" s="1473"/>
      <c r="FM725" s="1473"/>
      <c r="FN725" s="1467"/>
      <c r="FO725" s="1466" t="str">
        <f t="shared" si="37"/>
        <v/>
      </c>
      <c r="FP725" s="1473"/>
      <c r="FQ725" s="1473"/>
      <c r="FR725" s="1473"/>
      <c r="FS725" s="1467"/>
      <c r="FT725" s="1466" t="str">
        <f t="shared" si="38"/>
        <v/>
      </c>
      <c r="FU725" s="1473"/>
      <c r="FV725" s="1473"/>
      <c r="FW725" s="1473"/>
      <c r="FX725" s="1467"/>
      <c r="FY725" s="1466" t="str">
        <f t="shared" si="39"/>
        <v/>
      </c>
      <c r="FZ725" s="1473"/>
      <c r="GA725" s="1473"/>
      <c r="GB725" s="1473"/>
      <c r="GC725" s="1467"/>
    </row>
    <row r="726" spans="1:185" ht="12.95" customHeight="1">
      <c r="B726" s="1341"/>
      <c r="C726" s="1342"/>
      <c r="D726" s="1342"/>
      <c r="E726" s="1342"/>
      <c r="F726" s="1343"/>
      <c r="G726" s="1338"/>
      <c r="H726" s="1339"/>
      <c r="I726" s="1339"/>
      <c r="J726" s="1340"/>
      <c r="K726" s="1388"/>
      <c r="L726" s="1389"/>
      <c r="M726" s="1389"/>
      <c r="N726" s="1390"/>
      <c r="O726" s="1368"/>
      <c r="P726" s="1369"/>
      <c r="Q726" s="1369"/>
      <c r="R726" s="1369"/>
      <c r="S726" s="1370"/>
      <c r="T726" s="1368"/>
      <c r="U726" s="1369"/>
      <c r="V726" s="1369"/>
      <c r="W726" s="1370"/>
      <c r="X726" s="1365">
        <f t="shared" si="12"/>
        <v>0</v>
      </c>
      <c r="Y726" s="1366"/>
      <c r="Z726" s="1366"/>
      <c r="AA726" s="1366"/>
      <c r="AB726" s="1367"/>
      <c r="AC726" s="1361"/>
      <c r="AD726" s="1362"/>
      <c r="AE726" s="1362"/>
      <c r="AF726" s="1362"/>
      <c r="AG726" s="1363"/>
      <c r="AH726" s="1371" t="str">
        <f t="shared" si="40"/>
        <v/>
      </c>
      <c r="AI726" s="1372"/>
      <c r="AJ726" s="1373"/>
      <c r="AK726" s="1341" t="s">
        <v>591</v>
      </c>
      <c r="AL726" s="1342"/>
      <c r="AM726" s="1342"/>
      <c r="AN726" s="1342"/>
      <c r="AO726" s="1343"/>
      <c r="AP726" s="3"/>
      <c r="AQ726" s="3"/>
      <c r="AR726" s="3"/>
      <c r="AS726" s="3"/>
      <c r="AY726" s="1085"/>
      <c r="AZ726" s="118" t="str">
        <f t="shared" si="13"/>
        <v>N/A</v>
      </c>
      <c r="BA726" s="3"/>
      <c r="BB726" s="3"/>
      <c r="BC726" s="3"/>
      <c r="BD726" s="3"/>
      <c r="BE726" s="204"/>
      <c r="BF726" s="294">
        <f t="shared" si="14"/>
        <v>0</v>
      </c>
      <c r="BG726" s="297">
        <f t="shared" si="15"/>
        <v>0</v>
      </c>
      <c r="BH726" s="298" t="str">
        <f t="shared" si="16"/>
        <v/>
      </c>
      <c r="BI726" s="3"/>
      <c r="BJ726" s="3"/>
      <c r="BK726" s="3"/>
      <c r="BL726" s="3"/>
      <c r="BM726" s="3"/>
      <c r="BN726" s="3"/>
      <c r="BS726" s="294">
        <f t="shared" si="17"/>
        <v>0</v>
      </c>
      <c r="BT726" s="297">
        <f t="shared" si="18"/>
        <v>0</v>
      </c>
      <c r="BU726" s="298" t="str">
        <f t="shared" si="19"/>
        <v/>
      </c>
      <c r="BV726" s="3"/>
      <c r="BW726" s="3"/>
      <c r="BX726" s="3"/>
      <c r="BY726" s="3"/>
      <c r="BZ726" s="3"/>
      <c r="CA726" s="3"/>
      <c r="CB726" s="3"/>
      <c r="CC726" s="3"/>
      <c r="CE726" s="3"/>
      <c r="CF726" s="3"/>
      <c r="CG726" s="1466">
        <f t="shared" si="41"/>
        <v>0</v>
      </c>
      <c r="CH726" s="1467"/>
      <c r="CI726" s="1468">
        <f t="shared" si="42"/>
        <v>0</v>
      </c>
      <c r="CJ726" s="1470"/>
      <c r="CK726" s="1466">
        <f t="shared" si="20"/>
        <v>0</v>
      </c>
      <c r="CL726" s="1467"/>
      <c r="CM726" s="1468">
        <f t="shared" si="21"/>
        <v>0</v>
      </c>
      <c r="CN726" s="1470"/>
      <c r="CO726" s="3"/>
      <c r="CP726" s="1461">
        <f t="shared" si="22"/>
        <v>0</v>
      </c>
      <c r="CQ726" s="1462"/>
      <c r="CR726" s="1462"/>
      <c r="CS726" s="1462"/>
      <c r="CT726" s="1463"/>
      <c r="CU726" s="1460">
        <f t="shared" si="23"/>
        <v>0</v>
      </c>
      <c r="CV726" s="1460"/>
      <c r="CW726" s="1460"/>
      <c r="CX726" s="1460"/>
      <c r="CY726" s="1460"/>
      <c r="CZ726" s="1460">
        <f t="shared" si="24"/>
        <v>0</v>
      </c>
      <c r="DA726" s="1460"/>
      <c r="DB726" s="1460"/>
      <c r="DC726" s="1460"/>
      <c r="DD726" s="1460"/>
      <c r="DE726" s="1460">
        <f t="shared" si="25"/>
        <v>0</v>
      </c>
      <c r="DF726" s="1460"/>
      <c r="DG726" s="1460"/>
      <c r="DH726" s="1460"/>
      <c r="DI726" s="1460"/>
      <c r="DJ726" s="1460">
        <f t="shared" si="26"/>
        <v>0</v>
      </c>
      <c r="DK726" s="1460"/>
      <c r="DL726" s="1460"/>
      <c r="DM726" s="1460"/>
      <c r="DN726" s="1460"/>
      <c r="DO726" s="1460">
        <f t="shared" si="27"/>
        <v>0</v>
      </c>
      <c r="DP726" s="1460"/>
      <c r="DQ726" s="1460"/>
      <c r="DR726" s="1460"/>
      <c r="DS726" s="1460"/>
      <c r="DT726" s="6"/>
      <c r="DU726" s="1459">
        <f t="shared" si="28"/>
        <v>0</v>
      </c>
      <c r="DV726" s="1459"/>
      <c r="DW726" s="1459"/>
      <c r="DX726" s="1459"/>
      <c r="DY726" s="1459"/>
      <c r="DZ726" s="1459">
        <f t="shared" si="29"/>
        <v>0</v>
      </c>
      <c r="EA726" s="1459"/>
      <c r="EB726" s="1459"/>
      <c r="EC726" s="1459"/>
      <c r="ED726" s="1459"/>
      <c r="EE726" s="1459">
        <f t="shared" si="30"/>
        <v>0</v>
      </c>
      <c r="EF726" s="1459"/>
      <c r="EG726" s="1459"/>
      <c r="EH726" s="1459"/>
      <c r="EI726" s="1459"/>
      <c r="EJ726" s="1459">
        <f t="shared" si="31"/>
        <v>0</v>
      </c>
      <c r="EK726" s="1459"/>
      <c r="EL726" s="1459"/>
      <c r="EM726" s="1459"/>
      <c r="EN726" s="1459"/>
      <c r="EO726" s="1459">
        <f t="shared" si="32"/>
        <v>0</v>
      </c>
      <c r="EP726" s="1459"/>
      <c r="EQ726" s="1459"/>
      <c r="ER726" s="1459"/>
      <c r="ES726" s="1459"/>
      <c r="ET726" s="1459">
        <f t="shared" si="33"/>
        <v>0</v>
      </c>
      <c r="EU726" s="1459"/>
      <c r="EV726" s="1459"/>
      <c r="EW726" s="1459"/>
      <c r="EX726" s="1459"/>
      <c r="EY726" s="4"/>
      <c r="EZ726" s="1466" t="str">
        <f t="shared" si="34"/>
        <v/>
      </c>
      <c r="FA726" s="1473"/>
      <c r="FB726" s="1473"/>
      <c r="FC726" s="1473"/>
      <c r="FD726" s="1467"/>
      <c r="FE726" s="1466" t="str">
        <f t="shared" si="35"/>
        <v/>
      </c>
      <c r="FF726" s="1473"/>
      <c r="FG726" s="1473"/>
      <c r="FH726" s="1473"/>
      <c r="FI726" s="1467"/>
      <c r="FJ726" s="1466" t="str">
        <f t="shared" si="36"/>
        <v/>
      </c>
      <c r="FK726" s="1473"/>
      <c r="FL726" s="1473"/>
      <c r="FM726" s="1473"/>
      <c r="FN726" s="1467"/>
      <c r="FO726" s="1466" t="str">
        <f t="shared" si="37"/>
        <v/>
      </c>
      <c r="FP726" s="1473"/>
      <c r="FQ726" s="1473"/>
      <c r="FR726" s="1473"/>
      <c r="FS726" s="1467"/>
      <c r="FT726" s="1466" t="str">
        <f t="shared" si="38"/>
        <v/>
      </c>
      <c r="FU726" s="1473"/>
      <c r="FV726" s="1473"/>
      <c r="FW726" s="1473"/>
      <c r="FX726" s="1467"/>
      <c r="FY726" s="1466" t="str">
        <f t="shared" si="39"/>
        <v/>
      </c>
      <c r="FZ726" s="1473"/>
      <c r="GA726" s="1473"/>
      <c r="GB726" s="1473"/>
      <c r="GC726" s="1467"/>
    </row>
    <row r="727" spans="1:185" ht="12.95" customHeight="1">
      <c r="A727" s="4"/>
      <c r="B727" s="1341" t="s">
        <v>164</v>
      </c>
      <c r="C727" s="1342"/>
      <c r="D727" s="1342"/>
      <c r="E727" s="1342"/>
      <c r="F727" s="1343"/>
      <c r="G727" s="1338">
        <v>10</v>
      </c>
      <c r="H727" s="1339"/>
      <c r="I727" s="1339"/>
      <c r="J727" s="1340"/>
      <c r="K727" s="1388">
        <v>1036</v>
      </c>
      <c r="L727" s="1389"/>
      <c r="M727" s="1389"/>
      <c r="N727" s="1390"/>
      <c r="O727" s="1368">
        <v>1464</v>
      </c>
      <c r="P727" s="1369"/>
      <c r="Q727" s="1369"/>
      <c r="R727" s="1369"/>
      <c r="S727" s="1370"/>
      <c r="T727" s="1368">
        <v>103</v>
      </c>
      <c r="U727" s="1369"/>
      <c r="V727" s="1369"/>
      <c r="W727" s="1370"/>
      <c r="X727" s="1365">
        <f t="shared" si="12"/>
        <v>1567</v>
      </c>
      <c r="Y727" s="1366"/>
      <c r="Z727" s="1366"/>
      <c r="AA727" s="1366"/>
      <c r="AB727" s="1367"/>
      <c r="AC727" s="1361">
        <v>0.3</v>
      </c>
      <c r="AD727" s="1362"/>
      <c r="AE727" s="1362"/>
      <c r="AF727" s="1362"/>
      <c r="AG727" s="1363"/>
      <c r="AH727" s="1371">
        <f t="shared" si="40"/>
        <v>0.30007659900421296</v>
      </c>
      <c r="AI727" s="1372"/>
      <c r="AJ727" s="1373"/>
      <c r="AK727" s="1341" t="s">
        <v>2100</v>
      </c>
      <c r="AL727" s="1342"/>
      <c r="AM727" s="1342"/>
      <c r="AN727" s="1342"/>
      <c r="AO727" s="1343"/>
      <c r="AP727" s="3"/>
      <c r="AQ727" s="3"/>
      <c r="AR727" s="3"/>
      <c r="AS727" s="3"/>
      <c r="AY727" s="1085"/>
      <c r="AZ727" s="118">
        <f t="shared" si="13"/>
        <v>5222</v>
      </c>
      <c r="BA727" s="3"/>
      <c r="BB727" s="3"/>
      <c r="BC727" s="3"/>
      <c r="BD727" s="3"/>
      <c r="BE727" s="204"/>
      <c r="BF727" s="294">
        <f t="shared" si="14"/>
        <v>10</v>
      </c>
      <c r="BG727" s="297">
        <f t="shared" si="15"/>
        <v>5.181347150259067E-2</v>
      </c>
      <c r="BH727" s="298">
        <f t="shared" si="16"/>
        <v>1.55440414507772E-2</v>
      </c>
      <c r="BI727" s="3"/>
      <c r="BJ727" s="3"/>
      <c r="BK727" s="3"/>
      <c r="BL727" s="3"/>
      <c r="BM727" s="3"/>
      <c r="BN727" s="3"/>
      <c r="BS727" s="294">
        <f t="shared" si="17"/>
        <v>10</v>
      </c>
      <c r="BT727" s="297">
        <f t="shared" si="18"/>
        <v>5.181347150259067E-2</v>
      </c>
      <c r="BU727" s="298">
        <f t="shared" si="19"/>
        <v>1.5548010311099116E-2</v>
      </c>
      <c r="BV727" s="3"/>
      <c r="BW727" s="3"/>
      <c r="BX727" s="3"/>
      <c r="BY727" s="3"/>
      <c r="BZ727" s="3"/>
      <c r="CA727" s="3"/>
      <c r="CB727" s="3"/>
      <c r="CC727" s="3"/>
      <c r="CE727" s="3"/>
      <c r="CF727" s="3"/>
      <c r="CG727" s="1466">
        <f t="shared" si="41"/>
        <v>0</v>
      </c>
      <c r="CH727" s="1467"/>
      <c r="CI727" s="1468">
        <f t="shared" si="42"/>
        <v>0</v>
      </c>
      <c r="CJ727" s="1470"/>
      <c r="CK727" s="1466">
        <f t="shared" si="20"/>
        <v>1</v>
      </c>
      <c r="CL727" s="1467"/>
      <c r="CM727" s="1468">
        <f t="shared" si="21"/>
        <v>10</v>
      </c>
      <c r="CN727" s="1470"/>
      <c r="CO727" s="3"/>
      <c r="CP727" s="1461">
        <f t="shared" si="22"/>
        <v>0</v>
      </c>
      <c r="CQ727" s="1462"/>
      <c r="CR727" s="1462"/>
      <c r="CS727" s="1462"/>
      <c r="CT727" s="1463"/>
      <c r="CU727" s="1460">
        <f t="shared" si="23"/>
        <v>0</v>
      </c>
      <c r="CV727" s="1460"/>
      <c r="CW727" s="1460"/>
      <c r="CX727" s="1460"/>
      <c r="CY727" s="1460"/>
      <c r="CZ727" s="1460">
        <f t="shared" si="24"/>
        <v>0</v>
      </c>
      <c r="DA727" s="1460"/>
      <c r="DB727" s="1460"/>
      <c r="DC727" s="1460"/>
      <c r="DD727" s="1460"/>
      <c r="DE727" s="1460">
        <f t="shared" si="25"/>
        <v>10</v>
      </c>
      <c r="DF727" s="1460"/>
      <c r="DG727" s="1460"/>
      <c r="DH727" s="1460"/>
      <c r="DI727" s="1460"/>
      <c r="DJ727" s="1460">
        <f t="shared" si="26"/>
        <v>0</v>
      </c>
      <c r="DK727" s="1460"/>
      <c r="DL727" s="1460"/>
      <c r="DM727" s="1460"/>
      <c r="DN727" s="1460"/>
      <c r="DO727" s="1460">
        <f t="shared" si="27"/>
        <v>0</v>
      </c>
      <c r="DP727" s="1460"/>
      <c r="DQ727" s="1460"/>
      <c r="DR727" s="1460"/>
      <c r="DS727" s="1460"/>
      <c r="DT727" s="6"/>
      <c r="DU727" s="1459">
        <f t="shared" si="28"/>
        <v>0</v>
      </c>
      <c r="DV727" s="1459"/>
      <c r="DW727" s="1459"/>
      <c r="DX727" s="1459"/>
      <c r="DY727" s="1459"/>
      <c r="DZ727" s="1459">
        <f t="shared" si="29"/>
        <v>0</v>
      </c>
      <c r="EA727" s="1459"/>
      <c r="EB727" s="1459"/>
      <c r="EC727" s="1459"/>
      <c r="ED727" s="1459"/>
      <c r="EE727" s="1459">
        <f t="shared" si="30"/>
        <v>0</v>
      </c>
      <c r="EF727" s="1459"/>
      <c r="EG727" s="1459"/>
      <c r="EH727" s="1459"/>
      <c r="EI727" s="1459"/>
      <c r="EJ727" s="1459">
        <f t="shared" si="31"/>
        <v>10</v>
      </c>
      <c r="EK727" s="1459"/>
      <c r="EL727" s="1459"/>
      <c r="EM727" s="1459"/>
      <c r="EN727" s="1459"/>
      <c r="EO727" s="1459">
        <f t="shared" si="32"/>
        <v>0</v>
      </c>
      <c r="EP727" s="1459"/>
      <c r="EQ727" s="1459"/>
      <c r="ER727" s="1459"/>
      <c r="ES727" s="1459"/>
      <c r="ET727" s="1459">
        <f t="shared" si="33"/>
        <v>0</v>
      </c>
      <c r="EU727" s="1459"/>
      <c r="EV727" s="1459"/>
      <c r="EW727" s="1459"/>
      <c r="EX727" s="1459"/>
      <c r="EY727" s="4"/>
      <c r="EZ727" s="1466" t="str">
        <f t="shared" si="34"/>
        <v/>
      </c>
      <c r="FA727" s="1473"/>
      <c r="FB727" s="1473"/>
      <c r="FC727" s="1473"/>
      <c r="FD727" s="1467"/>
      <c r="FE727" s="1466" t="str">
        <f t="shared" si="35"/>
        <v/>
      </c>
      <c r="FF727" s="1473"/>
      <c r="FG727" s="1473"/>
      <c r="FH727" s="1473"/>
      <c r="FI727" s="1467"/>
      <c r="FJ727" s="1466" t="str">
        <f t="shared" si="36"/>
        <v/>
      </c>
      <c r="FK727" s="1473"/>
      <c r="FL727" s="1473"/>
      <c r="FM727" s="1473"/>
      <c r="FN727" s="1467"/>
      <c r="FO727" s="1466">
        <f t="shared" si="37"/>
        <v>1464</v>
      </c>
      <c r="FP727" s="1473"/>
      <c r="FQ727" s="1473"/>
      <c r="FR727" s="1473"/>
      <c r="FS727" s="1467"/>
      <c r="FT727" s="1466" t="str">
        <f t="shared" si="38"/>
        <v/>
      </c>
      <c r="FU727" s="1473"/>
      <c r="FV727" s="1473"/>
      <c r="FW727" s="1473"/>
      <c r="FX727" s="1467"/>
      <c r="FY727" s="1466" t="str">
        <f t="shared" si="39"/>
        <v/>
      </c>
      <c r="FZ727" s="1473"/>
      <c r="GA727" s="1473"/>
      <c r="GB727" s="1473"/>
      <c r="GC727" s="1467"/>
    </row>
    <row r="728" spans="1:185" ht="12.95" customHeight="1">
      <c r="A728" s="4"/>
      <c r="B728" s="1341" t="s">
        <v>164</v>
      </c>
      <c r="C728" s="1342"/>
      <c r="D728" s="1342"/>
      <c r="E728" s="1342"/>
      <c r="F728" s="1343"/>
      <c r="G728" s="1338">
        <v>29</v>
      </c>
      <c r="H728" s="1339"/>
      <c r="I728" s="1339"/>
      <c r="J728" s="1340"/>
      <c r="K728" s="1388">
        <v>1036</v>
      </c>
      <c r="L728" s="1389"/>
      <c r="M728" s="1389"/>
      <c r="N728" s="1390"/>
      <c r="O728" s="1368">
        <v>2508</v>
      </c>
      <c r="P728" s="1369"/>
      <c r="Q728" s="1369"/>
      <c r="R728" s="1369"/>
      <c r="S728" s="1370"/>
      <c r="T728" s="1368">
        <v>103</v>
      </c>
      <c r="U728" s="1369"/>
      <c r="V728" s="1369"/>
      <c r="W728" s="1370"/>
      <c r="X728" s="1365">
        <f t="shared" si="12"/>
        <v>2611</v>
      </c>
      <c r="Y728" s="1366"/>
      <c r="Z728" s="1366"/>
      <c r="AA728" s="1366"/>
      <c r="AB728" s="1367"/>
      <c r="AC728" s="1361">
        <v>0.5</v>
      </c>
      <c r="AD728" s="1362"/>
      <c r="AE728" s="1362"/>
      <c r="AF728" s="1362"/>
      <c r="AG728" s="1363"/>
      <c r="AH728" s="1371">
        <f t="shared" si="40"/>
        <v>0.5</v>
      </c>
      <c r="AI728" s="1372"/>
      <c r="AJ728" s="1373"/>
      <c r="AK728" s="1341" t="s">
        <v>591</v>
      </c>
      <c r="AL728" s="1342"/>
      <c r="AM728" s="1342"/>
      <c r="AN728" s="1342"/>
      <c r="AO728" s="1343"/>
      <c r="AP728" s="3"/>
      <c r="AQ728" s="3"/>
      <c r="AR728" s="3"/>
      <c r="AS728" s="3"/>
      <c r="AY728" s="1085"/>
      <c r="AZ728" s="118">
        <f t="shared" si="13"/>
        <v>5222</v>
      </c>
      <c r="BA728" s="3"/>
      <c r="BB728" s="3"/>
      <c r="BC728" s="3"/>
      <c r="BD728" s="3"/>
      <c r="BE728" s="204"/>
      <c r="BF728" s="294">
        <f t="shared" si="14"/>
        <v>29</v>
      </c>
      <c r="BG728" s="297">
        <f t="shared" si="15"/>
        <v>0.15025906735751296</v>
      </c>
      <c r="BH728" s="298">
        <f t="shared" si="16"/>
        <v>7.512953367875648E-2</v>
      </c>
      <c r="BI728" s="3"/>
      <c r="BJ728" s="3"/>
      <c r="BK728" s="3"/>
      <c r="BL728" s="3"/>
      <c r="BM728" s="3"/>
      <c r="BN728" s="3"/>
      <c r="BS728" s="294">
        <f t="shared" si="17"/>
        <v>29</v>
      </c>
      <c r="BT728" s="297">
        <f t="shared" si="18"/>
        <v>0.15025906735751296</v>
      </c>
      <c r="BU728" s="298">
        <f t="shared" si="19"/>
        <v>7.512953367875648E-2</v>
      </c>
      <c r="BV728" s="3"/>
      <c r="BW728" s="3"/>
      <c r="BX728" s="3"/>
      <c r="BY728" s="3"/>
      <c r="BZ728" s="3"/>
      <c r="CA728" s="3"/>
      <c r="CB728" s="3"/>
      <c r="CC728" s="3"/>
      <c r="CE728" s="3"/>
      <c r="CF728" s="3"/>
      <c r="CG728" s="1466">
        <f t="shared" si="41"/>
        <v>1</v>
      </c>
      <c r="CH728" s="1467"/>
      <c r="CI728" s="1468">
        <f t="shared" si="42"/>
        <v>29</v>
      </c>
      <c r="CJ728" s="1470"/>
      <c r="CK728" s="1466">
        <f t="shared" si="20"/>
        <v>0</v>
      </c>
      <c r="CL728" s="1467"/>
      <c r="CM728" s="1468">
        <f t="shared" si="21"/>
        <v>0</v>
      </c>
      <c r="CN728" s="1470"/>
      <c r="CO728" s="3"/>
      <c r="CP728" s="1461">
        <f t="shared" si="22"/>
        <v>0</v>
      </c>
      <c r="CQ728" s="1462"/>
      <c r="CR728" s="1462"/>
      <c r="CS728" s="1462"/>
      <c r="CT728" s="1463"/>
      <c r="CU728" s="1460">
        <f t="shared" si="23"/>
        <v>0</v>
      </c>
      <c r="CV728" s="1460"/>
      <c r="CW728" s="1460"/>
      <c r="CX728" s="1460"/>
      <c r="CY728" s="1460"/>
      <c r="CZ728" s="1460">
        <f t="shared" si="24"/>
        <v>0</v>
      </c>
      <c r="DA728" s="1460"/>
      <c r="DB728" s="1460"/>
      <c r="DC728" s="1460"/>
      <c r="DD728" s="1460"/>
      <c r="DE728" s="1460">
        <f t="shared" si="25"/>
        <v>29</v>
      </c>
      <c r="DF728" s="1460"/>
      <c r="DG728" s="1460"/>
      <c r="DH728" s="1460"/>
      <c r="DI728" s="1460"/>
      <c r="DJ728" s="1460">
        <f t="shared" si="26"/>
        <v>0</v>
      </c>
      <c r="DK728" s="1460"/>
      <c r="DL728" s="1460"/>
      <c r="DM728" s="1460"/>
      <c r="DN728" s="1460"/>
      <c r="DO728" s="1460">
        <f t="shared" si="27"/>
        <v>0</v>
      </c>
      <c r="DP728" s="1460"/>
      <c r="DQ728" s="1460"/>
      <c r="DR728" s="1460"/>
      <c r="DS728" s="1460"/>
      <c r="DT728" s="6"/>
      <c r="DU728" s="1459">
        <f t="shared" si="28"/>
        <v>0</v>
      </c>
      <c r="DV728" s="1459"/>
      <c r="DW728" s="1459"/>
      <c r="DX728" s="1459"/>
      <c r="DY728" s="1459"/>
      <c r="DZ728" s="1459">
        <f t="shared" si="29"/>
        <v>0</v>
      </c>
      <c r="EA728" s="1459"/>
      <c r="EB728" s="1459"/>
      <c r="EC728" s="1459"/>
      <c r="ED728" s="1459"/>
      <c r="EE728" s="1459">
        <f t="shared" si="30"/>
        <v>0</v>
      </c>
      <c r="EF728" s="1459"/>
      <c r="EG728" s="1459"/>
      <c r="EH728" s="1459"/>
      <c r="EI728" s="1459"/>
      <c r="EJ728" s="1459">
        <f t="shared" si="31"/>
        <v>0</v>
      </c>
      <c r="EK728" s="1459"/>
      <c r="EL728" s="1459"/>
      <c r="EM728" s="1459"/>
      <c r="EN728" s="1459"/>
      <c r="EO728" s="1459">
        <f t="shared" si="32"/>
        <v>0</v>
      </c>
      <c r="EP728" s="1459"/>
      <c r="EQ728" s="1459"/>
      <c r="ER728" s="1459"/>
      <c r="ES728" s="1459"/>
      <c r="ET728" s="1459">
        <f t="shared" si="33"/>
        <v>0</v>
      </c>
      <c r="EU728" s="1459"/>
      <c r="EV728" s="1459"/>
      <c r="EW728" s="1459"/>
      <c r="EX728" s="1459"/>
      <c r="EY728" s="4"/>
      <c r="EZ728" s="1466" t="str">
        <f t="shared" si="34"/>
        <v/>
      </c>
      <c r="FA728" s="1473"/>
      <c r="FB728" s="1473"/>
      <c r="FC728" s="1473"/>
      <c r="FD728" s="1467"/>
      <c r="FE728" s="1466" t="str">
        <f t="shared" si="35"/>
        <v/>
      </c>
      <c r="FF728" s="1473"/>
      <c r="FG728" s="1473"/>
      <c r="FH728" s="1473"/>
      <c r="FI728" s="1467"/>
      <c r="FJ728" s="1466" t="str">
        <f t="shared" si="36"/>
        <v/>
      </c>
      <c r="FK728" s="1473"/>
      <c r="FL728" s="1473"/>
      <c r="FM728" s="1473"/>
      <c r="FN728" s="1467"/>
      <c r="FO728" s="1466">
        <f t="shared" si="37"/>
        <v>2508</v>
      </c>
      <c r="FP728" s="1473"/>
      <c r="FQ728" s="1473"/>
      <c r="FR728" s="1473"/>
      <c r="FS728" s="1467"/>
      <c r="FT728" s="1466" t="str">
        <f t="shared" si="38"/>
        <v/>
      </c>
      <c r="FU728" s="1473"/>
      <c r="FV728" s="1473"/>
      <c r="FW728" s="1473"/>
      <c r="FX728" s="1467"/>
      <c r="FY728" s="1466" t="str">
        <f t="shared" si="39"/>
        <v/>
      </c>
      <c r="FZ728" s="1473"/>
      <c r="GA728" s="1473"/>
      <c r="GB728" s="1473"/>
      <c r="GC728" s="1467"/>
    </row>
    <row r="729" spans="1:185" ht="12.95" customHeight="1">
      <c r="A729" s="4"/>
      <c r="B729" s="1341" t="s">
        <v>164</v>
      </c>
      <c r="C729" s="1342"/>
      <c r="D729" s="1342"/>
      <c r="E729" s="1342"/>
      <c r="F729" s="1343"/>
      <c r="G729" s="1338">
        <v>13</v>
      </c>
      <c r="H729" s="1339"/>
      <c r="I729" s="1339"/>
      <c r="J729" s="1340"/>
      <c r="K729" s="1388">
        <v>1036</v>
      </c>
      <c r="L729" s="1389"/>
      <c r="M729" s="1389"/>
      <c r="N729" s="1390"/>
      <c r="O729" s="1368">
        <v>3031</v>
      </c>
      <c r="P729" s="1369"/>
      <c r="Q729" s="1369"/>
      <c r="R729" s="1369"/>
      <c r="S729" s="1370"/>
      <c r="T729" s="1368">
        <v>103</v>
      </c>
      <c r="U729" s="1369"/>
      <c r="V729" s="1369"/>
      <c r="W729" s="1370"/>
      <c r="X729" s="1365">
        <f t="shared" si="12"/>
        <v>3134</v>
      </c>
      <c r="Y729" s="1366"/>
      <c r="Z729" s="1366"/>
      <c r="AA729" s="1366"/>
      <c r="AB729" s="1367"/>
      <c r="AC729" s="1361">
        <v>0.6</v>
      </c>
      <c r="AD729" s="1362"/>
      <c r="AE729" s="1362"/>
      <c r="AF729" s="1362"/>
      <c r="AG729" s="1363"/>
      <c r="AH729" s="1371">
        <f t="shared" si="40"/>
        <v>0.60015319800842593</v>
      </c>
      <c r="AI729" s="1372"/>
      <c r="AJ729" s="1373"/>
      <c r="AK729" s="1341" t="s">
        <v>591</v>
      </c>
      <c r="AL729" s="1342"/>
      <c r="AM729" s="1342"/>
      <c r="AN729" s="1342"/>
      <c r="AO729" s="1343"/>
      <c r="AP729" s="3"/>
      <c r="AQ729" s="3"/>
      <c r="AR729" s="3"/>
      <c r="AS729" s="3"/>
      <c r="AY729" s="1085"/>
      <c r="AZ729" s="118">
        <f t="shared" si="13"/>
        <v>5222</v>
      </c>
      <c r="BA729" s="3"/>
      <c r="BB729" s="3"/>
      <c r="BC729" s="3"/>
      <c r="BD729" s="3"/>
      <c r="BE729" s="204"/>
      <c r="BF729" s="294">
        <f t="shared" si="14"/>
        <v>13</v>
      </c>
      <c r="BG729" s="297">
        <f t="shared" si="15"/>
        <v>6.7357512953367879E-2</v>
      </c>
      <c r="BH729" s="298">
        <f t="shared" si="16"/>
        <v>4.0414507772020727E-2</v>
      </c>
      <c r="BI729" s="3"/>
      <c r="BJ729" s="3"/>
      <c r="BK729" s="3"/>
      <c r="BL729" s="3"/>
      <c r="BM729" s="3"/>
      <c r="BN729" s="3"/>
      <c r="BS729" s="294">
        <f t="shared" si="17"/>
        <v>13</v>
      </c>
      <c r="BT729" s="297">
        <f t="shared" si="18"/>
        <v>6.7357512953367879E-2</v>
      </c>
      <c r="BU729" s="298">
        <f t="shared" si="19"/>
        <v>4.0424826808857707E-2</v>
      </c>
      <c r="BV729" s="3"/>
      <c r="BW729" s="3"/>
      <c r="BX729" s="3"/>
      <c r="BY729" s="3"/>
      <c r="BZ729" s="3"/>
      <c r="CA729" s="3"/>
      <c r="CB729" s="3"/>
      <c r="CC729" s="3"/>
      <c r="CE729" s="3"/>
      <c r="CF729" s="3"/>
      <c r="CG729" s="1466">
        <f t="shared" si="41"/>
        <v>0</v>
      </c>
      <c r="CH729" s="1467"/>
      <c r="CI729" s="1468">
        <f t="shared" si="42"/>
        <v>0</v>
      </c>
      <c r="CJ729" s="1470"/>
      <c r="CK729" s="1466">
        <f t="shared" si="20"/>
        <v>0</v>
      </c>
      <c r="CL729" s="1467"/>
      <c r="CM729" s="1468">
        <f t="shared" si="21"/>
        <v>0</v>
      </c>
      <c r="CN729" s="1470"/>
      <c r="CO729" s="3"/>
      <c r="CP729" s="1461">
        <f t="shared" si="22"/>
        <v>0</v>
      </c>
      <c r="CQ729" s="1462"/>
      <c r="CR729" s="1462"/>
      <c r="CS729" s="1462"/>
      <c r="CT729" s="1463"/>
      <c r="CU729" s="1460">
        <f t="shared" si="23"/>
        <v>0</v>
      </c>
      <c r="CV729" s="1460"/>
      <c r="CW729" s="1460"/>
      <c r="CX729" s="1460"/>
      <c r="CY729" s="1460"/>
      <c r="CZ729" s="1460">
        <f t="shared" si="24"/>
        <v>0</v>
      </c>
      <c r="DA729" s="1460"/>
      <c r="DB729" s="1460"/>
      <c r="DC729" s="1460"/>
      <c r="DD729" s="1460"/>
      <c r="DE729" s="1460">
        <f t="shared" si="25"/>
        <v>13</v>
      </c>
      <c r="DF729" s="1460"/>
      <c r="DG729" s="1460"/>
      <c r="DH729" s="1460"/>
      <c r="DI729" s="1460"/>
      <c r="DJ729" s="1460">
        <f t="shared" si="26"/>
        <v>0</v>
      </c>
      <c r="DK729" s="1460"/>
      <c r="DL729" s="1460"/>
      <c r="DM729" s="1460"/>
      <c r="DN729" s="1460"/>
      <c r="DO729" s="1460">
        <f t="shared" si="27"/>
        <v>0</v>
      </c>
      <c r="DP729" s="1460"/>
      <c r="DQ729" s="1460"/>
      <c r="DR729" s="1460"/>
      <c r="DS729" s="1460"/>
      <c r="DT729" s="6"/>
      <c r="DU729" s="1459">
        <f t="shared" si="28"/>
        <v>0</v>
      </c>
      <c r="DV729" s="1459"/>
      <c r="DW729" s="1459"/>
      <c r="DX729" s="1459"/>
      <c r="DY729" s="1459"/>
      <c r="DZ729" s="1459">
        <f t="shared" si="29"/>
        <v>0</v>
      </c>
      <c r="EA729" s="1459"/>
      <c r="EB729" s="1459"/>
      <c r="EC729" s="1459"/>
      <c r="ED729" s="1459"/>
      <c r="EE729" s="1459">
        <f t="shared" si="30"/>
        <v>0</v>
      </c>
      <c r="EF729" s="1459"/>
      <c r="EG729" s="1459"/>
      <c r="EH729" s="1459"/>
      <c r="EI729" s="1459"/>
      <c r="EJ729" s="1459">
        <f t="shared" si="31"/>
        <v>0</v>
      </c>
      <c r="EK729" s="1459"/>
      <c r="EL729" s="1459"/>
      <c r="EM729" s="1459"/>
      <c r="EN729" s="1459"/>
      <c r="EO729" s="1459">
        <f t="shared" si="32"/>
        <v>0</v>
      </c>
      <c r="EP729" s="1459"/>
      <c r="EQ729" s="1459"/>
      <c r="ER729" s="1459"/>
      <c r="ES729" s="1459"/>
      <c r="ET729" s="1459">
        <f t="shared" si="33"/>
        <v>0</v>
      </c>
      <c r="EU729" s="1459"/>
      <c r="EV729" s="1459"/>
      <c r="EW729" s="1459"/>
      <c r="EX729" s="1459"/>
      <c r="EZ729" s="1466" t="str">
        <f t="shared" si="34"/>
        <v/>
      </c>
      <c r="FA729" s="1473"/>
      <c r="FB729" s="1473"/>
      <c r="FC729" s="1473"/>
      <c r="FD729" s="1467"/>
      <c r="FE729" s="1466" t="str">
        <f t="shared" si="35"/>
        <v/>
      </c>
      <c r="FF729" s="1473"/>
      <c r="FG729" s="1473"/>
      <c r="FH729" s="1473"/>
      <c r="FI729" s="1467"/>
      <c r="FJ729" s="1466" t="str">
        <f t="shared" si="36"/>
        <v/>
      </c>
      <c r="FK729" s="1473"/>
      <c r="FL729" s="1473"/>
      <c r="FM729" s="1473"/>
      <c r="FN729" s="1467"/>
      <c r="FO729" s="1466">
        <f t="shared" si="37"/>
        <v>3031</v>
      </c>
      <c r="FP729" s="1473"/>
      <c r="FQ729" s="1473"/>
      <c r="FR729" s="1473"/>
      <c r="FS729" s="1467"/>
      <c r="FT729" s="1466" t="str">
        <f t="shared" si="38"/>
        <v/>
      </c>
      <c r="FU729" s="1473"/>
      <c r="FV729" s="1473"/>
      <c r="FW729" s="1473"/>
      <c r="FX729" s="1467"/>
      <c r="FY729" s="1466" t="str">
        <f t="shared" si="39"/>
        <v/>
      </c>
      <c r="FZ729" s="1473"/>
      <c r="GA729" s="1473"/>
      <c r="GB729" s="1473"/>
      <c r="GC729" s="1467"/>
    </row>
    <row r="730" spans="1:185" ht="12.95" customHeight="1">
      <c r="B730" s="1341"/>
      <c r="C730" s="1342"/>
      <c r="D730" s="1342"/>
      <c r="E730" s="1342"/>
      <c r="F730" s="1343"/>
      <c r="G730" s="1338"/>
      <c r="H730" s="1339"/>
      <c r="I730" s="1339"/>
      <c r="J730" s="1340"/>
      <c r="K730" s="1388"/>
      <c r="L730" s="1389"/>
      <c r="M730" s="1389"/>
      <c r="N730" s="1390"/>
      <c r="O730" s="1368"/>
      <c r="P730" s="1369"/>
      <c r="Q730" s="1369"/>
      <c r="R730" s="1369"/>
      <c r="S730" s="1370"/>
      <c r="T730" s="1368"/>
      <c r="U730" s="1369"/>
      <c r="V730" s="1369"/>
      <c r="W730" s="1370"/>
      <c r="X730" s="1365">
        <f t="shared" si="12"/>
        <v>0</v>
      </c>
      <c r="Y730" s="1366"/>
      <c r="Z730" s="1366"/>
      <c r="AA730" s="1366"/>
      <c r="AB730" s="1367"/>
      <c r="AC730" s="1361"/>
      <c r="AD730" s="1362"/>
      <c r="AE730" s="1362"/>
      <c r="AF730" s="1362"/>
      <c r="AG730" s="1363"/>
      <c r="AH730" s="1371" t="str">
        <f t="shared" si="40"/>
        <v/>
      </c>
      <c r="AI730" s="1372"/>
      <c r="AJ730" s="1373"/>
      <c r="AK730" s="1341" t="s">
        <v>591</v>
      </c>
      <c r="AL730" s="1342"/>
      <c r="AM730" s="1342"/>
      <c r="AN730" s="1342"/>
      <c r="AO730" s="1343"/>
      <c r="AP730" s="3"/>
      <c r="AQ730" s="3"/>
      <c r="AR730" s="3"/>
      <c r="AS730" s="3"/>
      <c r="AY730" s="1085"/>
      <c r="AZ730" s="118" t="str">
        <f t="shared" si="13"/>
        <v>N/A</v>
      </c>
      <c r="BA730" s="3"/>
      <c r="BB730" s="3"/>
      <c r="BC730" s="3"/>
      <c r="BD730" s="3"/>
      <c r="BE730" s="204"/>
      <c r="BF730" s="294">
        <f t="shared" si="14"/>
        <v>0</v>
      </c>
      <c r="BG730" s="297">
        <f t="shared" si="15"/>
        <v>0</v>
      </c>
      <c r="BH730" s="298" t="str">
        <f t="shared" si="16"/>
        <v/>
      </c>
      <c r="BI730" s="3"/>
      <c r="BJ730" s="3"/>
      <c r="BK730" s="3"/>
      <c r="BL730" s="3"/>
      <c r="BM730" s="3"/>
      <c r="BN730" s="3"/>
      <c r="BS730" s="294">
        <f t="shared" si="17"/>
        <v>0</v>
      </c>
      <c r="BT730" s="297">
        <f t="shared" si="18"/>
        <v>0</v>
      </c>
      <c r="BU730" s="298" t="str">
        <f t="shared" si="19"/>
        <v/>
      </c>
      <c r="BV730" s="3"/>
      <c r="BW730" s="3"/>
      <c r="BX730" s="3"/>
      <c r="BY730" s="3"/>
      <c r="BZ730" s="3"/>
      <c r="CA730" s="3"/>
      <c r="CB730" s="3"/>
      <c r="CC730" s="3"/>
      <c r="CE730" s="3"/>
      <c r="CF730" s="3"/>
      <c r="CG730" s="1466">
        <f t="shared" si="41"/>
        <v>0</v>
      </c>
      <c r="CH730" s="1467"/>
      <c r="CI730" s="1468">
        <f t="shared" si="42"/>
        <v>0</v>
      </c>
      <c r="CJ730" s="1470"/>
      <c r="CK730" s="1466">
        <f t="shared" si="20"/>
        <v>0</v>
      </c>
      <c r="CL730" s="1467"/>
      <c r="CM730" s="1468">
        <f t="shared" si="21"/>
        <v>0</v>
      </c>
      <c r="CN730" s="1470"/>
      <c r="CO730" s="3"/>
      <c r="CP730" s="1461">
        <f t="shared" si="22"/>
        <v>0</v>
      </c>
      <c r="CQ730" s="1462"/>
      <c r="CR730" s="1462"/>
      <c r="CS730" s="1462"/>
      <c r="CT730" s="1463"/>
      <c r="CU730" s="1460">
        <f t="shared" si="23"/>
        <v>0</v>
      </c>
      <c r="CV730" s="1460"/>
      <c r="CW730" s="1460"/>
      <c r="CX730" s="1460"/>
      <c r="CY730" s="1460"/>
      <c r="CZ730" s="1460">
        <f t="shared" si="24"/>
        <v>0</v>
      </c>
      <c r="DA730" s="1460"/>
      <c r="DB730" s="1460"/>
      <c r="DC730" s="1460"/>
      <c r="DD730" s="1460"/>
      <c r="DE730" s="1460">
        <f t="shared" si="25"/>
        <v>0</v>
      </c>
      <c r="DF730" s="1460"/>
      <c r="DG730" s="1460"/>
      <c r="DH730" s="1460"/>
      <c r="DI730" s="1460"/>
      <c r="DJ730" s="1460">
        <f t="shared" si="26"/>
        <v>0</v>
      </c>
      <c r="DK730" s="1460"/>
      <c r="DL730" s="1460"/>
      <c r="DM730" s="1460"/>
      <c r="DN730" s="1460"/>
      <c r="DO730" s="1460">
        <f t="shared" si="27"/>
        <v>0</v>
      </c>
      <c r="DP730" s="1460"/>
      <c r="DQ730" s="1460"/>
      <c r="DR730" s="1460"/>
      <c r="DS730" s="1460"/>
      <c r="DT730" s="6"/>
      <c r="DU730" s="1459">
        <f t="shared" si="28"/>
        <v>0</v>
      </c>
      <c r="DV730" s="1459"/>
      <c r="DW730" s="1459"/>
      <c r="DX730" s="1459"/>
      <c r="DY730" s="1459"/>
      <c r="DZ730" s="1459">
        <f t="shared" si="29"/>
        <v>0</v>
      </c>
      <c r="EA730" s="1459"/>
      <c r="EB730" s="1459"/>
      <c r="EC730" s="1459"/>
      <c r="ED730" s="1459"/>
      <c r="EE730" s="1459">
        <f t="shared" si="30"/>
        <v>0</v>
      </c>
      <c r="EF730" s="1459"/>
      <c r="EG730" s="1459"/>
      <c r="EH730" s="1459"/>
      <c r="EI730" s="1459"/>
      <c r="EJ730" s="1459">
        <f t="shared" si="31"/>
        <v>0</v>
      </c>
      <c r="EK730" s="1459"/>
      <c r="EL730" s="1459"/>
      <c r="EM730" s="1459"/>
      <c r="EN730" s="1459"/>
      <c r="EO730" s="1459">
        <f t="shared" si="32"/>
        <v>0</v>
      </c>
      <c r="EP730" s="1459"/>
      <c r="EQ730" s="1459"/>
      <c r="ER730" s="1459"/>
      <c r="ES730" s="1459"/>
      <c r="ET730" s="1459">
        <f t="shared" si="33"/>
        <v>0</v>
      </c>
      <c r="EU730" s="1459"/>
      <c r="EV730" s="1459"/>
      <c r="EW730" s="1459"/>
      <c r="EX730" s="1459"/>
      <c r="EZ730" s="1466" t="str">
        <f t="shared" si="34"/>
        <v/>
      </c>
      <c r="FA730" s="1473"/>
      <c r="FB730" s="1473"/>
      <c r="FC730" s="1473"/>
      <c r="FD730" s="1467"/>
      <c r="FE730" s="1466" t="str">
        <f t="shared" si="35"/>
        <v/>
      </c>
      <c r="FF730" s="1473"/>
      <c r="FG730" s="1473"/>
      <c r="FH730" s="1473"/>
      <c r="FI730" s="1467"/>
      <c r="FJ730" s="1466" t="str">
        <f t="shared" si="36"/>
        <v/>
      </c>
      <c r="FK730" s="1473"/>
      <c r="FL730" s="1473"/>
      <c r="FM730" s="1473"/>
      <c r="FN730" s="1467"/>
      <c r="FO730" s="1466" t="str">
        <f t="shared" si="37"/>
        <v/>
      </c>
      <c r="FP730" s="1473"/>
      <c r="FQ730" s="1473"/>
      <c r="FR730" s="1473"/>
      <c r="FS730" s="1467"/>
      <c r="FT730" s="1466" t="str">
        <f t="shared" si="38"/>
        <v/>
      </c>
      <c r="FU730" s="1473"/>
      <c r="FV730" s="1473"/>
      <c r="FW730" s="1473"/>
      <c r="FX730" s="1467"/>
      <c r="FY730" s="1466" t="str">
        <f t="shared" si="39"/>
        <v/>
      </c>
      <c r="FZ730" s="1473"/>
      <c r="GA730" s="1473"/>
      <c r="GB730" s="1473"/>
      <c r="GC730" s="1467"/>
    </row>
    <row r="731" spans="1:185" ht="12.95" customHeight="1">
      <c r="B731" s="1341"/>
      <c r="C731" s="1342"/>
      <c r="D731" s="1342"/>
      <c r="E731" s="1342"/>
      <c r="F731" s="1343"/>
      <c r="G731" s="1338"/>
      <c r="H731" s="1339"/>
      <c r="I731" s="1339"/>
      <c r="J731" s="1340"/>
      <c r="K731" s="1388"/>
      <c r="L731" s="1389"/>
      <c r="M731" s="1389"/>
      <c r="N731" s="1390"/>
      <c r="O731" s="1368"/>
      <c r="P731" s="1369"/>
      <c r="Q731" s="1369"/>
      <c r="R731" s="1369"/>
      <c r="S731" s="1370"/>
      <c r="T731" s="1368"/>
      <c r="U731" s="1369"/>
      <c r="V731" s="1369"/>
      <c r="W731" s="1370"/>
      <c r="X731" s="1365">
        <f t="shared" si="12"/>
        <v>0</v>
      </c>
      <c r="Y731" s="1366"/>
      <c r="Z731" s="1366"/>
      <c r="AA731" s="1366"/>
      <c r="AB731" s="1367"/>
      <c r="AC731" s="1361"/>
      <c r="AD731" s="1362"/>
      <c r="AE731" s="1362"/>
      <c r="AF731" s="1362"/>
      <c r="AG731" s="1363"/>
      <c r="AH731" s="1371" t="str">
        <f t="shared" si="40"/>
        <v/>
      </c>
      <c r="AI731" s="1372"/>
      <c r="AJ731" s="1373"/>
      <c r="AK731" s="1341" t="s">
        <v>591</v>
      </c>
      <c r="AL731" s="1342"/>
      <c r="AM731" s="1342"/>
      <c r="AN731" s="1342"/>
      <c r="AO731" s="1343"/>
      <c r="AP731" s="3"/>
      <c r="AQ731" s="3"/>
      <c r="AR731" s="3"/>
      <c r="AS731" s="3"/>
      <c r="AY731" s="1085"/>
      <c r="AZ731" s="118" t="str">
        <f t="shared" si="13"/>
        <v>N/A</v>
      </c>
      <c r="BA731" s="3"/>
      <c r="BB731" s="3"/>
      <c r="BC731" s="3"/>
      <c r="BD731" s="3"/>
      <c r="BE731" s="204"/>
      <c r="BF731" s="294">
        <f t="shared" si="14"/>
        <v>0</v>
      </c>
      <c r="BG731" s="297">
        <f t="shared" si="15"/>
        <v>0</v>
      </c>
      <c r="BH731" s="298" t="str">
        <f t="shared" si="16"/>
        <v/>
      </c>
      <c r="BI731" s="3"/>
      <c r="BJ731" s="3"/>
      <c r="BK731" s="3"/>
      <c r="BL731" s="3"/>
      <c r="BM731" s="3"/>
      <c r="BN731" s="3"/>
      <c r="BS731" s="294">
        <f t="shared" si="17"/>
        <v>0</v>
      </c>
      <c r="BT731" s="297">
        <f t="shared" si="18"/>
        <v>0</v>
      </c>
      <c r="BU731" s="298" t="str">
        <f t="shared" si="19"/>
        <v/>
      </c>
      <c r="BV731" s="3"/>
      <c r="BW731" s="3"/>
      <c r="BX731" s="3"/>
      <c r="BY731" s="3"/>
      <c r="BZ731" s="3"/>
      <c r="CA731" s="3"/>
      <c r="CB731" s="3"/>
      <c r="CC731" s="3"/>
      <c r="CE731" s="3"/>
      <c r="CF731" s="3"/>
      <c r="CG731" s="1466">
        <f t="shared" si="41"/>
        <v>0</v>
      </c>
      <c r="CH731" s="1467"/>
      <c r="CI731" s="1468">
        <f t="shared" si="42"/>
        <v>0</v>
      </c>
      <c r="CJ731" s="1470"/>
      <c r="CK731" s="1466">
        <f t="shared" si="20"/>
        <v>0</v>
      </c>
      <c r="CL731" s="1467"/>
      <c r="CM731" s="1468">
        <f t="shared" si="21"/>
        <v>0</v>
      </c>
      <c r="CN731" s="1470"/>
      <c r="CO731" s="3"/>
      <c r="CP731" s="1461">
        <f t="shared" si="22"/>
        <v>0</v>
      </c>
      <c r="CQ731" s="1462"/>
      <c r="CR731" s="1462"/>
      <c r="CS731" s="1462"/>
      <c r="CT731" s="1463"/>
      <c r="CU731" s="1460">
        <f t="shared" si="23"/>
        <v>0</v>
      </c>
      <c r="CV731" s="1460"/>
      <c r="CW731" s="1460"/>
      <c r="CX731" s="1460"/>
      <c r="CY731" s="1460"/>
      <c r="CZ731" s="1460">
        <f t="shared" si="24"/>
        <v>0</v>
      </c>
      <c r="DA731" s="1460"/>
      <c r="DB731" s="1460"/>
      <c r="DC731" s="1460"/>
      <c r="DD731" s="1460"/>
      <c r="DE731" s="1460">
        <f t="shared" si="25"/>
        <v>0</v>
      </c>
      <c r="DF731" s="1460"/>
      <c r="DG731" s="1460"/>
      <c r="DH731" s="1460"/>
      <c r="DI731" s="1460"/>
      <c r="DJ731" s="1460">
        <f t="shared" si="26"/>
        <v>0</v>
      </c>
      <c r="DK731" s="1460"/>
      <c r="DL731" s="1460"/>
      <c r="DM731" s="1460"/>
      <c r="DN731" s="1460"/>
      <c r="DO731" s="1460">
        <f t="shared" si="27"/>
        <v>0</v>
      </c>
      <c r="DP731" s="1460"/>
      <c r="DQ731" s="1460"/>
      <c r="DR731" s="1460"/>
      <c r="DS731" s="1460"/>
      <c r="DT731" s="6"/>
      <c r="DU731" s="1459">
        <f t="shared" si="28"/>
        <v>0</v>
      </c>
      <c r="DV731" s="1459"/>
      <c r="DW731" s="1459"/>
      <c r="DX731" s="1459"/>
      <c r="DY731" s="1459"/>
      <c r="DZ731" s="1459">
        <f t="shared" si="29"/>
        <v>0</v>
      </c>
      <c r="EA731" s="1459"/>
      <c r="EB731" s="1459"/>
      <c r="EC731" s="1459"/>
      <c r="ED731" s="1459"/>
      <c r="EE731" s="1459">
        <f t="shared" si="30"/>
        <v>0</v>
      </c>
      <c r="EF731" s="1459"/>
      <c r="EG731" s="1459"/>
      <c r="EH731" s="1459"/>
      <c r="EI731" s="1459"/>
      <c r="EJ731" s="1459">
        <f t="shared" si="31"/>
        <v>0</v>
      </c>
      <c r="EK731" s="1459"/>
      <c r="EL731" s="1459"/>
      <c r="EM731" s="1459"/>
      <c r="EN731" s="1459"/>
      <c r="EO731" s="1459">
        <f t="shared" si="32"/>
        <v>0</v>
      </c>
      <c r="EP731" s="1459"/>
      <c r="EQ731" s="1459"/>
      <c r="ER731" s="1459"/>
      <c r="ES731" s="1459"/>
      <c r="ET731" s="1459">
        <f t="shared" si="33"/>
        <v>0</v>
      </c>
      <c r="EU731" s="1459"/>
      <c r="EV731" s="1459"/>
      <c r="EW731" s="1459"/>
      <c r="EX731" s="1459"/>
      <c r="EZ731" s="1466" t="str">
        <f t="shared" si="34"/>
        <v/>
      </c>
      <c r="FA731" s="1473"/>
      <c r="FB731" s="1473"/>
      <c r="FC731" s="1473"/>
      <c r="FD731" s="1467"/>
      <c r="FE731" s="1466" t="str">
        <f t="shared" si="35"/>
        <v/>
      </c>
      <c r="FF731" s="1473"/>
      <c r="FG731" s="1473"/>
      <c r="FH731" s="1473"/>
      <c r="FI731" s="1467"/>
      <c r="FJ731" s="1466" t="str">
        <f t="shared" si="36"/>
        <v/>
      </c>
      <c r="FK731" s="1473"/>
      <c r="FL731" s="1473"/>
      <c r="FM731" s="1473"/>
      <c r="FN731" s="1467"/>
      <c r="FO731" s="1466" t="str">
        <f t="shared" si="37"/>
        <v/>
      </c>
      <c r="FP731" s="1473"/>
      <c r="FQ731" s="1473"/>
      <c r="FR731" s="1473"/>
      <c r="FS731" s="1467"/>
      <c r="FT731" s="1466" t="str">
        <f t="shared" si="38"/>
        <v/>
      </c>
      <c r="FU731" s="1473"/>
      <c r="FV731" s="1473"/>
      <c r="FW731" s="1473"/>
      <c r="FX731" s="1467"/>
      <c r="FY731" s="1466" t="str">
        <f t="shared" si="39"/>
        <v/>
      </c>
      <c r="FZ731" s="1473"/>
      <c r="GA731" s="1473"/>
      <c r="GB731" s="1473"/>
      <c r="GC731" s="1467"/>
    </row>
    <row r="732" spans="1:185" ht="12.95" customHeight="1">
      <c r="B732" s="1341"/>
      <c r="C732" s="1342"/>
      <c r="D732" s="1342"/>
      <c r="E732" s="1342"/>
      <c r="F732" s="1343"/>
      <c r="G732" s="1338"/>
      <c r="H732" s="1339"/>
      <c r="I732" s="1339"/>
      <c r="J732" s="1340"/>
      <c r="K732" s="1388"/>
      <c r="L732" s="1389"/>
      <c r="M732" s="1389"/>
      <c r="N732" s="1390"/>
      <c r="O732" s="1368"/>
      <c r="P732" s="1369"/>
      <c r="Q732" s="1369"/>
      <c r="R732" s="1369"/>
      <c r="S732" s="1370"/>
      <c r="T732" s="1368"/>
      <c r="U732" s="1369"/>
      <c r="V732" s="1369"/>
      <c r="W732" s="1370"/>
      <c r="X732" s="1365">
        <f t="shared" si="12"/>
        <v>0</v>
      </c>
      <c r="Y732" s="1366"/>
      <c r="Z732" s="1366"/>
      <c r="AA732" s="1366"/>
      <c r="AB732" s="1367"/>
      <c r="AC732" s="1361"/>
      <c r="AD732" s="1362"/>
      <c r="AE732" s="1362"/>
      <c r="AF732" s="1362"/>
      <c r="AG732" s="1363"/>
      <c r="AH732" s="1371" t="str">
        <f t="shared" si="40"/>
        <v/>
      </c>
      <c r="AI732" s="1372"/>
      <c r="AJ732" s="1373"/>
      <c r="AK732" s="1341" t="s">
        <v>591</v>
      </c>
      <c r="AL732" s="1342"/>
      <c r="AM732" s="1342"/>
      <c r="AN732" s="1342"/>
      <c r="AO732" s="1343"/>
      <c r="AP732" s="3"/>
      <c r="AQ732" s="3"/>
      <c r="AR732" s="3"/>
      <c r="AS732" s="3"/>
      <c r="AY732" s="1085"/>
      <c r="AZ732" s="118" t="str">
        <f t="shared" si="13"/>
        <v>N/A</v>
      </c>
      <c r="BA732" s="3"/>
      <c r="BB732" s="3"/>
      <c r="BC732" s="3"/>
      <c r="BD732" s="3"/>
      <c r="BE732" s="204"/>
      <c r="BF732" s="294">
        <f t="shared" si="14"/>
        <v>0</v>
      </c>
      <c r="BG732" s="297">
        <f t="shared" si="15"/>
        <v>0</v>
      </c>
      <c r="BH732" s="298" t="str">
        <f t="shared" si="16"/>
        <v/>
      </c>
      <c r="BI732" s="3"/>
      <c r="BJ732" s="3"/>
      <c r="BK732" s="3"/>
      <c r="BL732" s="3"/>
      <c r="BM732" s="3"/>
      <c r="BN732" s="3"/>
      <c r="BS732" s="294">
        <f t="shared" si="17"/>
        <v>0</v>
      </c>
      <c r="BT732" s="297">
        <f t="shared" si="18"/>
        <v>0</v>
      </c>
      <c r="BU732" s="298" t="str">
        <f t="shared" si="19"/>
        <v/>
      </c>
      <c r="BV732" s="3"/>
      <c r="BW732" s="3"/>
      <c r="BX732" s="3"/>
      <c r="BY732" s="3"/>
      <c r="BZ732" s="3"/>
      <c r="CA732" s="3"/>
      <c r="CB732" s="3"/>
      <c r="CC732" s="3"/>
      <c r="CE732" s="3"/>
      <c r="CF732" s="3"/>
      <c r="CG732" s="1466">
        <f t="shared" si="41"/>
        <v>0</v>
      </c>
      <c r="CH732" s="1467"/>
      <c r="CI732" s="1468">
        <f t="shared" si="42"/>
        <v>0</v>
      </c>
      <c r="CJ732" s="1470"/>
      <c r="CK732" s="1466">
        <f t="shared" si="20"/>
        <v>0</v>
      </c>
      <c r="CL732" s="1467"/>
      <c r="CM732" s="1468">
        <f t="shared" si="21"/>
        <v>0</v>
      </c>
      <c r="CN732" s="1470"/>
      <c r="CO732" s="3"/>
      <c r="CP732" s="1461">
        <f t="shared" si="22"/>
        <v>0</v>
      </c>
      <c r="CQ732" s="1462"/>
      <c r="CR732" s="1462"/>
      <c r="CS732" s="1462"/>
      <c r="CT732" s="1463"/>
      <c r="CU732" s="1460">
        <f t="shared" si="23"/>
        <v>0</v>
      </c>
      <c r="CV732" s="1460"/>
      <c r="CW732" s="1460"/>
      <c r="CX732" s="1460"/>
      <c r="CY732" s="1460"/>
      <c r="CZ732" s="1460">
        <f t="shared" si="24"/>
        <v>0</v>
      </c>
      <c r="DA732" s="1460"/>
      <c r="DB732" s="1460"/>
      <c r="DC732" s="1460"/>
      <c r="DD732" s="1460"/>
      <c r="DE732" s="1460">
        <f t="shared" si="25"/>
        <v>0</v>
      </c>
      <c r="DF732" s="1460"/>
      <c r="DG732" s="1460"/>
      <c r="DH732" s="1460"/>
      <c r="DI732" s="1460"/>
      <c r="DJ732" s="1460">
        <f t="shared" si="26"/>
        <v>0</v>
      </c>
      <c r="DK732" s="1460"/>
      <c r="DL732" s="1460"/>
      <c r="DM732" s="1460"/>
      <c r="DN732" s="1460"/>
      <c r="DO732" s="1460">
        <f t="shared" si="27"/>
        <v>0</v>
      </c>
      <c r="DP732" s="1460"/>
      <c r="DQ732" s="1460"/>
      <c r="DR732" s="1460"/>
      <c r="DS732" s="1460"/>
      <c r="DT732" s="6"/>
      <c r="DU732" s="1459">
        <f t="shared" si="28"/>
        <v>0</v>
      </c>
      <c r="DV732" s="1459"/>
      <c r="DW732" s="1459"/>
      <c r="DX732" s="1459"/>
      <c r="DY732" s="1459"/>
      <c r="DZ732" s="1459">
        <f t="shared" si="29"/>
        <v>0</v>
      </c>
      <c r="EA732" s="1459"/>
      <c r="EB732" s="1459"/>
      <c r="EC732" s="1459"/>
      <c r="ED732" s="1459"/>
      <c r="EE732" s="1459">
        <f t="shared" si="30"/>
        <v>0</v>
      </c>
      <c r="EF732" s="1459"/>
      <c r="EG732" s="1459"/>
      <c r="EH732" s="1459"/>
      <c r="EI732" s="1459"/>
      <c r="EJ732" s="1459">
        <f t="shared" si="31"/>
        <v>0</v>
      </c>
      <c r="EK732" s="1459"/>
      <c r="EL732" s="1459"/>
      <c r="EM732" s="1459"/>
      <c r="EN732" s="1459"/>
      <c r="EO732" s="1459">
        <f t="shared" si="32"/>
        <v>0</v>
      </c>
      <c r="EP732" s="1459"/>
      <c r="EQ732" s="1459"/>
      <c r="ER732" s="1459"/>
      <c r="ES732" s="1459"/>
      <c r="ET732" s="1459">
        <f t="shared" si="33"/>
        <v>0</v>
      </c>
      <c r="EU732" s="1459"/>
      <c r="EV732" s="1459"/>
      <c r="EW732" s="1459"/>
      <c r="EX732" s="1459"/>
      <c r="EZ732" s="1466" t="str">
        <f t="shared" si="34"/>
        <v/>
      </c>
      <c r="FA732" s="1473"/>
      <c r="FB732" s="1473"/>
      <c r="FC732" s="1473"/>
      <c r="FD732" s="1467"/>
      <c r="FE732" s="1466" t="str">
        <f t="shared" si="35"/>
        <v/>
      </c>
      <c r="FF732" s="1473"/>
      <c r="FG732" s="1473"/>
      <c r="FH732" s="1473"/>
      <c r="FI732" s="1467"/>
      <c r="FJ732" s="1466" t="str">
        <f t="shared" si="36"/>
        <v/>
      </c>
      <c r="FK732" s="1473"/>
      <c r="FL732" s="1473"/>
      <c r="FM732" s="1473"/>
      <c r="FN732" s="1467"/>
      <c r="FO732" s="1466" t="str">
        <f t="shared" si="37"/>
        <v/>
      </c>
      <c r="FP732" s="1473"/>
      <c r="FQ732" s="1473"/>
      <c r="FR732" s="1473"/>
      <c r="FS732" s="1467"/>
      <c r="FT732" s="1466" t="str">
        <f t="shared" si="38"/>
        <v/>
      </c>
      <c r="FU732" s="1473"/>
      <c r="FV732" s="1473"/>
      <c r="FW732" s="1473"/>
      <c r="FX732" s="1467"/>
      <c r="FY732" s="1466" t="str">
        <f t="shared" si="39"/>
        <v/>
      </c>
      <c r="FZ732" s="1473"/>
      <c r="GA732" s="1473"/>
      <c r="GB732" s="1473"/>
      <c r="GC732" s="1467"/>
    </row>
    <row r="733" spans="1:185" ht="12.95" customHeight="1">
      <c r="B733" s="1341"/>
      <c r="C733" s="1342"/>
      <c r="D733" s="1342"/>
      <c r="E733" s="1342"/>
      <c r="F733" s="1343"/>
      <c r="G733" s="1338"/>
      <c r="H733" s="1339"/>
      <c r="I733" s="1339"/>
      <c r="J733" s="1340"/>
      <c r="K733" s="1388"/>
      <c r="L733" s="1389"/>
      <c r="M733" s="1389"/>
      <c r="N733" s="1390"/>
      <c r="O733" s="1368"/>
      <c r="P733" s="1369"/>
      <c r="Q733" s="1369"/>
      <c r="R733" s="1369"/>
      <c r="S733" s="1370"/>
      <c r="T733" s="1368"/>
      <c r="U733" s="1369"/>
      <c r="V733" s="1369"/>
      <c r="W733" s="1370"/>
      <c r="X733" s="1365">
        <f t="shared" si="12"/>
        <v>0</v>
      </c>
      <c r="Y733" s="1366"/>
      <c r="Z733" s="1366"/>
      <c r="AA733" s="1366"/>
      <c r="AB733" s="1367"/>
      <c r="AC733" s="1361"/>
      <c r="AD733" s="1362"/>
      <c r="AE733" s="1362"/>
      <c r="AF733" s="1362"/>
      <c r="AG733" s="1363"/>
      <c r="AH733" s="1371" t="str">
        <f t="shared" si="40"/>
        <v/>
      </c>
      <c r="AI733" s="1372"/>
      <c r="AJ733" s="1373"/>
      <c r="AK733" s="1341" t="s">
        <v>591</v>
      </c>
      <c r="AL733" s="1342"/>
      <c r="AM733" s="1342"/>
      <c r="AN733" s="1342"/>
      <c r="AO733" s="1343"/>
      <c r="AP733" s="3"/>
      <c r="AQ733" s="3"/>
      <c r="AR733" s="3"/>
      <c r="AS733" s="3"/>
      <c r="AY733" s="1085"/>
      <c r="AZ733" s="118" t="str">
        <f t="shared" si="13"/>
        <v>N/A</v>
      </c>
      <c r="BA733" s="3"/>
      <c r="BB733" s="3"/>
      <c r="BC733" s="3"/>
      <c r="BD733" s="3"/>
      <c r="BE733" s="204"/>
      <c r="BF733" s="294">
        <f t="shared" si="14"/>
        <v>0</v>
      </c>
      <c r="BG733" s="297">
        <f t="shared" si="15"/>
        <v>0</v>
      </c>
      <c r="BH733" s="298" t="str">
        <f t="shared" si="16"/>
        <v/>
      </c>
      <c r="BI733" s="3"/>
      <c r="BJ733" s="3"/>
      <c r="BK733" s="3"/>
      <c r="BL733" s="3"/>
      <c r="BM733" s="3"/>
      <c r="BN733" s="3"/>
      <c r="BS733" s="294">
        <f t="shared" si="17"/>
        <v>0</v>
      </c>
      <c r="BT733" s="297">
        <f t="shared" si="18"/>
        <v>0</v>
      </c>
      <c r="BU733" s="298" t="str">
        <f t="shared" si="19"/>
        <v/>
      </c>
      <c r="BV733" s="3"/>
      <c r="BW733" s="3"/>
      <c r="BX733" s="3"/>
      <c r="BY733" s="3"/>
      <c r="BZ733" s="3"/>
      <c r="CA733" s="3"/>
      <c r="CB733" s="3"/>
      <c r="CC733" s="3"/>
      <c r="CE733" s="3"/>
      <c r="CF733" s="3"/>
      <c r="CG733" s="1466">
        <f t="shared" si="41"/>
        <v>0</v>
      </c>
      <c r="CH733" s="1467"/>
      <c r="CI733" s="1468">
        <f t="shared" si="42"/>
        <v>0</v>
      </c>
      <c r="CJ733" s="1470"/>
      <c r="CK733" s="1466">
        <f t="shared" si="20"/>
        <v>0</v>
      </c>
      <c r="CL733" s="1467"/>
      <c r="CM733" s="1468">
        <f t="shared" si="21"/>
        <v>0</v>
      </c>
      <c r="CN733" s="1470"/>
      <c r="CO733" s="3"/>
      <c r="CP733" s="1461">
        <f t="shared" si="22"/>
        <v>0</v>
      </c>
      <c r="CQ733" s="1462"/>
      <c r="CR733" s="1462"/>
      <c r="CS733" s="1462"/>
      <c r="CT733" s="1463"/>
      <c r="CU733" s="1460">
        <f t="shared" si="23"/>
        <v>0</v>
      </c>
      <c r="CV733" s="1460"/>
      <c r="CW733" s="1460"/>
      <c r="CX733" s="1460"/>
      <c r="CY733" s="1460"/>
      <c r="CZ733" s="1460">
        <f t="shared" si="24"/>
        <v>0</v>
      </c>
      <c r="DA733" s="1460"/>
      <c r="DB733" s="1460"/>
      <c r="DC733" s="1460"/>
      <c r="DD733" s="1460"/>
      <c r="DE733" s="1460">
        <f t="shared" si="25"/>
        <v>0</v>
      </c>
      <c r="DF733" s="1460"/>
      <c r="DG733" s="1460"/>
      <c r="DH733" s="1460"/>
      <c r="DI733" s="1460"/>
      <c r="DJ733" s="1460">
        <f t="shared" si="26"/>
        <v>0</v>
      </c>
      <c r="DK733" s="1460"/>
      <c r="DL733" s="1460"/>
      <c r="DM733" s="1460"/>
      <c r="DN733" s="1460"/>
      <c r="DO733" s="1460">
        <f t="shared" si="27"/>
        <v>0</v>
      </c>
      <c r="DP733" s="1460"/>
      <c r="DQ733" s="1460"/>
      <c r="DR733" s="1460"/>
      <c r="DS733" s="1460"/>
      <c r="DT733" s="6"/>
      <c r="DU733" s="1459">
        <f t="shared" si="28"/>
        <v>0</v>
      </c>
      <c r="DV733" s="1459"/>
      <c r="DW733" s="1459"/>
      <c r="DX733" s="1459"/>
      <c r="DY733" s="1459"/>
      <c r="DZ733" s="1459">
        <f t="shared" si="29"/>
        <v>0</v>
      </c>
      <c r="EA733" s="1459"/>
      <c r="EB733" s="1459"/>
      <c r="EC733" s="1459"/>
      <c r="ED733" s="1459"/>
      <c r="EE733" s="1459">
        <f t="shared" si="30"/>
        <v>0</v>
      </c>
      <c r="EF733" s="1459"/>
      <c r="EG733" s="1459"/>
      <c r="EH733" s="1459"/>
      <c r="EI733" s="1459"/>
      <c r="EJ733" s="1459">
        <f t="shared" si="31"/>
        <v>0</v>
      </c>
      <c r="EK733" s="1459"/>
      <c r="EL733" s="1459"/>
      <c r="EM733" s="1459"/>
      <c r="EN733" s="1459"/>
      <c r="EO733" s="1459">
        <f t="shared" si="32"/>
        <v>0</v>
      </c>
      <c r="EP733" s="1459"/>
      <c r="EQ733" s="1459"/>
      <c r="ER733" s="1459"/>
      <c r="ES733" s="1459"/>
      <c r="ET733" s="1459">
        <f t="shared" si="33"/>
        <v>0</v>
      </c>
      <c r="EU733" s="1459"/>
      <c r="EV733" s="1459"/>
      <c r="EW733" s="1459"/>
      <c r="EX733" s="1459"/>
      <c r="EZ733" s="1466" t="str">
        <f t="shared" si="34"/>
        <v/>
      </c>
      <c r="FA733" s="1473"/>
      <c r="FB733" s="1473"/>
      <c r="FC733" s="1473"/>
      <c r="FD733" s="1467"/>
      <c r="FE733" s="1466" t="str">
        <f t="shared" si="35"/>
        <v/>
      </c>
      <c r="FF733" s="1473"/>
      <c r="FG733" s="1473"/>
      <c r="FH733" s="1473"/>
      <c r="FI733" s="1467"/>
      <c r="FJ733" s="1466" t="str">
        <f t="shared" si="36"/>
        <v/>
      </c>
      <c r="FK733" s="1473"/>
      <c r="FL733" s="1473"/>
      <c r="FM733" s="1473"/>
      <c r="FN733" s="1467"/>
      <c r="FO733" s="1466" t="str">
        <f t="shared" si="37"/>
        <v/>
      </c>
      <c r="FP733" s="1473"/>
      <c r="FQ733" s="1473"/>
      <c r="FR733" s="1473"/>
      <c r="FS733" s="1467"/>
      <c r="FT733" s="1466" t="str">
        <f t="shared" si="38"/>
        <v/>
      </c>
      <c r="FU733" s="1473"/>
      <c r="FV733" s="1473"/>
      <c r="FW733" s="1473"/>
      <c r="FX733" s="1467"/>
      <c r="FY733" s="1466" t="str">
        <f t="shared" si="39"/>
        <v/>
      </c>
      <c r="FZ733" s="1473"/>
      <c r="GA733" s="1473"/>
      <c r="GB733" s="1473"/>
      <c r="GC733" s="1467"/>
    </row>
    <row r="734" spans="1:185" ht="12.95" customHeight="1">
      <c r="B734" s="1341"/>
      <c r="C734" s="1342"/>
      <c r="D734" s="1342"/>
      <c r="E734" s="1342"/>
      <c r="F734" s="1343"/>
      <c r="G734" s="1338"/>
      <c r="H734" s="1339"/>
      <c r="I734" s="1339"/>
      <c r="J734" s="1340"/>
      <c r="K734" s="1388"/>
      <c r="L734" s="1389"/>
      <c r="M734" s="1389"/>
      <c r="N734" s="1390"/>
      <c r="O734" s="1368"/>
      <c r="P734" s="1369"/>
      <c r="Q734" s="1369"/>
      <c r="R734" s="1369"/>
      <c r="S734" s="1370"/>
      <c r="T734" s="1368"/>
      <c r="U734" s="1369"/>
      <c r="V734" s="1369"/>
      <c r="W734" s="1370"/>
      <c r="X734" s="1365">
        <f t="shared" si="12"/>
        <v>0</v>
      </c>
      <c r="Y734" s="1366"/>
      <c r="Z734" s="1366"/>
      <c r="AA734" s="1366"/>
      <c r="AB734" s="1367"/>
      <c r="AC734" s="1361"/>
      <c r="AD734" s="1362"/>
      <c r="AE734" s="1362"/>
      <c r="AF734" s="1362"/>
      <c r="AG734" s="1363"/>
      <c r="AH734" s="1371" t="str">
        <f t="shared" si="40"/>
        <v/>
      </c>
      <c r="AI734" s="1372"/>
      <c r="AJ734" s="1373"/>
      <c r="AK734" s="1341" t="s">
        <v>591</v>
      </c>
      <c r="AL734" s="1342"/>
      <c r="AM734" s="1342"/>
      <c r="AN734" s="1342"/>
      <c r="AO734" s="1343"/>
      <c r="AP734" s="3"/>
      <c r="AQ734" s="3"/>
      <c r="AR734" s="3"/>
      <c r="AS734" s="3"/>
      <c r="AY734" s="1085"/>
      <c r="AZ734" s="118" t="str">
        <f t="shared" si="13"/>
        <v>N/A</v>
      </c>
      <c r="BA734" s="3"/>
      <c r="BB734" s="3"/>
      <c r="BC734" s="3"/>
      <c r="BD734" s="3"/>
      <c r="BE734" s="204"/>
      <c r="BF734" s="294">
        <f t="shared" si="14"/>
        <v>0</v>
      </c>
      <c r="BG734" s="297">
        <f t="shared" si="15"/>
        <v>0</v>
      </c>
      <c r="BH734" s="298" t="str">
        <f t="shared" si="16"/>
        <v/>
      </c>
      <c r="BI734" s="3"/>
      <c r="BJ734" s="3"/>
      <c r="BK734" s="3"/>
      <c r="BL734" s="3"/>
      <c r="BM734" s="3"/>
      <c r="BN734" s="3"/>
      <c r="BS734" s="294">
        <f t="shared" si="17"/>
        <v>0</v>
      </c>
      <c r="BT734" s="297">
        <f t="shared" si="18"/>
        <v>0</v>
      </c>
      <c r="BU734" s="298" t="str">
        <f t="shared" si="19"/>
        <v/>
      </c>
      <c r="BV734" s="3"/>
      <c r="BW734" s="3"/>
      <c r="BX734" s="3"/>
      <c r="BY734" s="3"/>
      <c r="BZ734" s="3"/>
      <c r="CA734" s="3"/>
      <c r="CB734" s="3"/>
      <c r="CC734" s="3"/>
      <c r="CE734" s="3"/>
      <c r="CF734" s="3"/>
      <c r="CG734" s="1466">
        <f t="shared" si="41"/>
        <v>0</v>
      </c>
      <c r="CH734" s="1467"/>
      <c r="CI734" s="1468">
        <f t="shared" si="42"/>
        <v>0</v>
      </c>
      <c r="CJ734" s="1470"/>
      <c r="CK734" s="1466">
        <f t="shared" si="20"/>
        <v>0</v>
      </c>
      <c r="CL734" s="1467"/>
      <c r="CM734" s="1468">
        <f t="shared" si="21"/>
        <v>0</v>
      </c>
      <c r="CN734" s="1470"/>
      <c r="CO734" s="3"/>
      <c r="CP734" s="1461">
        <f t="shared" si="22"/>
        <v>0</v>
      </c>
      <c r="CQ734" s="1462"/>
      <c r="CR734" s="1462"/>
      <c r="CS734" s="1462"/>
      <c r="CT734" s="1463"/>
      <c r="CU734" s="1460">
        <f t="shared" si="23"/>
        <v>0</v>
      </c>
      <c r="CV734" s="1460"/>
      <c r="CW734" s="1460"/>
      <c r="CX734" s="1460"/>
      <c r="CY734" s="1460"/>
      <c r="CZ734" s="1460">
        <f t="shared" si="24"/>
        <v>0</v>
      </c>
      <c r="DA734" s="1460"/>
      <c r="DB734" s="1460"/>
      <c r="DC734" s="1460"/>
      <c r="DD734" s="1460"/>
      <c r="DE734" s="1460">
        <f t="shared" si="25"/>
        <v>0</v>
      </c>
      <c r="DF734" s="1460"/>
      <c r="DG734" s="1460"/>
      <c r="DH734" s="1460"/>
      <c r="DI734" s="1460"/>
      <c r="DJ734" s="1460">
        <f t="shared" si="26"/>
        <v>0</v>
      </c>
      <c r="DK734" s="1460"/>
      <c r="DL734" s="1460"/>
      <c r="DM734" s="1460"/>
      <c r="DN734" s="1460"/>
      <c r="DO734" s="1460">
        <f t="shared" si="27"/>
        <v>0</v>
      </c>
      <c r="DP734" s="1460"/>
      <c r="DQ734" s="1460"/>
      <c r="DR734" s="1460"/>
      <c r="DS734" s="1460"/>
      <c r="DT734" s="6"/>
      <c r="DU734" s="1459">
        <f t="shared" si="28"/>
        <v>0</v>
      </c>
      <c r="DV734" s="1459"/>
      <c r="DW734" s="1459"/>
      <c r="DX734" s="1459"/>
      <c r="DY734" s="1459"/>
      <c r="DZ734" s="1459">
        <f t="shared" si="29"/>
        <v>0</v>
      </c>
      <c r="EA734" s="1459"/>
      <c r="EB734" s="1459"/>
      <c r="EC734" s="1459"/>
      <c r="ED734" s="1459"/>
      <c r="EE734" s="1459">
        <f t="shared" si="30"/>
        <v>0</v>
      </c>
      <c r="EF734" s="1459"/>
      <c r="EG734" s="1459"/>
      <c r="EH734" s="1459"/>
      <c r="EI734" s="1459"/>
      <c r="EJ734" s="1459">
        <f t="shared" si="31"/>
        <v>0</v>
      </c>
      <c r="EK734" s="1459"/>
      <c r="EL734" s="1459"/>
      <c r="EM734" s="1459"/>
      <c r="EN734" s="1459"/>
      <c r="EO734" s="1459">
        <f t="shared" si="32"/>
        <v>0</v>
      </c>
      <c r="EP734" s="1459"/>
      <c r="EQ734" s="1459"/>
      <c r="ER734" s="1459"/>
      <c r="ES734" s="1459"/>
      <c r="ET734" s="1459">
        <f t="shared" si="33"/>
        <v>0</v>
      </c>
      <c r="EU734" s="1459"/>
      <c r="EV734" s="1459"/>
      <c r="EW734" s="1459"/>
      <c r="EX734" s="1459"/>
      <c r="EZ734" s="1466" t="str">
        <f t="shared" si="34"/>
        <v/>
      </c>
      <c r="FA734" s="1473"/>
      <c r="FB734" s="1473"/>
      <c r="FC734" s="1473"/>
      <c r="FD734" s="1467"/>
      <c r="FE734" s="1466" t="str">
        <f t="shared" si="35"/>
        <v/>
      </c>
      <c r="FF734" s="1473"/>
      <c r="FG734" s="1473"/>
      <c r="FH734" s="1473"/>
      <c r="FI734" s="1467"/>
      <c r="FJ734" s="1466" t="str">
        <f t="shared" si="36"/>
        <v/>
      </c>
      <c r="FK734" s="1473"/>
      <c r="FL734" s="1473"/>
      <c r="FM734" s="1473"/>
      <c r="FN734" s="1467"/>
      <c r="FO734" s="1466" t="str">
        <f t="shared" si="37"/>
        <v/>
      </c>
      <c r="FP734" s="1473"/>
      <c r="FQ734" s="1473"/>
      <c r="FR734" s="1473"/>
      <c r="FS734" s="1467"/>
      <c r="FT734" s="1466" t="str">
        <f t="shared" si="38"/>
        <v/>
      </c>
      <c r="FU734" s="1473"/>
      <c r="FV734" s="1473"/>
      <c r="FW734" s="1473"/>
      <c r="FX734" s="1467"/>
      <c r="FY734" s="1466" t="str">
        <f t="shared" si="39"/>
        <v/>
      </c>
      <c r="FZ734" s="1473"/>
      <c r="GA734" s="1473"/>
      <c r="GB734" s="1473"/>
      <c r="GC734" s="1467"/>
    </row>
    <row r="735" spans="1:185" ht="12.95" customHeight="1">
      <c r="B735" s="1341"/>
      <c r="C735" s="1342"/>
      <c r="D735" s="1342"/>
      <c r="E735" s="1342"/>
      <c r="F735" s="1343"/>
      <c r="G735" s="1338"/>
      <c r="H735" s="1339"/>
      <c r="I735" s="1339"/>
      <c r="J735" s="1340"/>
      <c r="K735" s="1388"/>
      <c r="L735" s="1389"/>
      <c r="M735" s="1389"/>
      <c r="N735" s="1390"/>
      <c r="O735" s="1368"/>
      <c r="P735" s="1369"/>
      <c r="Q735" s="1369"/>
      <c r="R735" s="1369"/>
      <c r="S735" s="1370"/>
      <c r="T735" s="1368"/>
      <c r="U735" s="1369"/>
      <c r="V735" s="1369"/>
      <c r="W735" s="1370"/>
      <c r="X735" s="1365">
        <f t="shared" si="12"/>
        <v>0</v>
      </c>
      <c r="Y735" s="1366"/>
      <c r="Z735" s="1366"/>
      <c r="AA735" s="1366"/>
      <c r="AB735" s="1367"/>
      <c r="AC735" s="1361"/>
      <c r="AD735" s="1362"/>
      <c r="AE735" s="1362"/>
      <c r="AF735" s="1362"/>
      <c r="AG735" s="1363"/>
      <c r="AH735" s="1371" t="str">
        <f t="shared" si="40"/>
        <v/>
      </c>
      <c r="AI735" s="1372"/>
      <c r="AJ735" s="1373"/>
      <c r="AK735" s="1341" t="s">
        <v>591</v>
      </c>
      <c r="AL735" s="1342"/>
      <c r="AM735" s="1342"/>
      <c r="AN735" s="1342"/>
      <c r="AO735" s="1343"/>
      <c r="AP735" s="3"/>
      <c r="AQ735" s="3"/>
      <c r="AR735" s="3"/>
      <c r="AS735" s="3"/>
      <c r="AY735" s="1085"/>
      <c r="AZ735" s="118" t="str">
        <f t="shared" si="13"/>
        <v>N/A</v>
      </c>
      <c r="BA735" s="3"/>
      <c r="BB735" s="3"/>
      <c r="BC735" s="3"/>
      <c r="BD735" s="3"/>
      <c r="BE735" s="204"/>
      <c r="BF735" s="294">
        <f t="shared" si="14"/>
        <v>0</v>
      </c>
      <c r="BG735" s="297">
        <f t="shared" si="15"/>
        <v>0</v>
      </c>
      <c r="BH735" s="298" t="str">
        <f t="shared" si="16"/>
        <v/>
      </c>
      <c r="BI735" s="3"/>
      <c r="BJ735" s="3"/>
      <c r="BK735" s="3"/>
      <c r="BL735" s="3"/>
      <c r="BM735" s="3"/>
      <c r="BN735" s="3"/>
      <c r="BS735" s="294">
        <f t="shared" si="17"/>
        <v>0</v>
      </c>
      <c r="BT735" s="297">
        <f t="shared" si="18"/>
        <v>0</v>
      </c>
      <c r="BU735" s="298" t="str">
        <f t="shared" si="19"/>
        <v/>
      </c>
      <c r="BV735" s="3"/>
      <c r="BW735" s="3"/>
      <c r="BX735" s="3"/>
      <c r="BY735" s="3"/>
      <c r="BZ735" s="3"/>
      <c r="CA735" s="3"/>
      <c r="CB735" s="3"/>
      <c r="CC735" s="3"/>
      <c r="CE735" s="3"/>
      <c r="CF735" s="3"/>
      <c r="CG735" s="1466">
        <f t="shared" si="41"/>
        <v>0</v>
      </c>
      <c r="CH735" s="1467"/>
      <c r="CI735" s="1468">
        <f t="shared" si="42"/>
        <v>0</v>
      </c>
      <c r="CJ735" s="1470"/>
      <c r="CK735" s="1466">
        <f t="shared" si="20"/>
        <v>0</v>
      </c>
      <c r="CL735" s="1467"/>
      <c r="CM735" s="1468">
        <f t="shared" si="21"/>
        <v>0</v>
      </c>
      <c r="CN735" s="1470"/>
      <c r="CO735" s="3"/>
      <c r="CP735" s="1461">
        <f t="shared" si="22"/>
        <v>0</v>
      </c>
      <c r="CQ735" s="1462"/>
      <c r="CR735" s="1462"/>
      <c r="CS735" s="1462"/>
      <c r="CT735" s="1463"/>
      <c r="CU735" s="1460">
        <f t="shared" si="23"/>
        <v>0</v>
      </c>
      <c r="CV735" s="1460"/>
      <c r="CW735" s="1460"/>
      <c r="CX735" s="1460"/>
      <c r="CY735" s="1460"/>
      <c r="CZ735" s="1460">
        <f t="shared" si="24"/>
        <v>0</v>
      </c>
      <c r="DA735" s="1460"/>
      <c r="DB735" s="1460"/>
      <c r="DC735" s="1460"/>
      <c r="DD735" s="1460"/>
      <c r="DE735" s="1460">
        <f t="shared" si="25"/>
        <v>0</v>
      </c>
      <c r="DF735" s="1460"/>
      <c r="DG735" s="1460"/>
      <c r="DH735" s="1460"/>
      <c r="DI735" s="1460"/>
      <c r="DJ735" s="1460">
        <f t="shared" si="26"/>
        <v>0</v>
      </c>
      <c r="DK735" s="1460"/>
      <c r="DL735" s="1460"/>
      <c r="DM735" s="1460"/>
      <c r="DN735" s="1460"/>
      <c r="DO735" s="1460">
        <f t="shared" si="27"/>
        <v>0</v>
      </c>
      <c r="DP735" s="1460"/>
      <c r="DQ735" s="1460"/>
      <c r="DR735" s="1460"/>
      <c r="DS735" s="1460"/>
      <c r="DT735" s="6"/>
      <c r="DU735" s="1459">
        <f t="shared" si="28"/>
        <v>0</v>
      </c>
      <c r="DV735" s="1459"/>
      <c r="DW735" s="1459"/>
      <c r="DX735" s="1459"/>
      <c r="DY735" s="1459"/>
      <c r="DZ735" s="1459">
        <f t="shared" si="29"/>
        <v>0</v>
      </c>
      <c r="EA735" s="1459"/>
      <c r="EB735" s="1459"/>
      <c r="EC735" s="1459"/>
      <c r="ED735" s="1459"/>
      <c r="EE735" s="1459">
        <f t="shared" si="30"/>
        <v>0</v>
      </c>
      <c r="EF735" s="1459"/>
      <c r="EG735" s="1459"/>
      <c r="EH735" s="1459"/>
      <c r="EI735" s="1459"/>
      <c r="EJ735" s="1459">
        <f t="shared" si="31"/>
        <v>0</v>
      </c>
      <c r="EK735" s="1459"/>
      <c r="EL735" s="1459"/>
      <c r="EM735" s="1459"/>
      <c r="EN735" s="1459"/>
      <c r="EO735" s="1459">
        <f t="shared" si="32"/>
        <v>0</v>
      </c>
      <c r="EP735" s="1459"/>
      <c r="EQ735" s="1459"/>
      <c r="ER735" s="1459"/>
      <c r="ES735" s="1459"/>
      <c r="ET735" s="1459">
        <f t="shared" si="33"/>
        <v>0</v>
      </c>
      <c r="EU735" s="1459"/>
      <c r="EV735" s="1459"/>
      <c r="EW735" s="1459"/>
      <c r="EX735" s="1459"/>
      <c r="EZ735" s="1466" t="str">
        <f t="shared" si="34"/>
        <v/>
      </c>
      <c r="FA735" s="1473"/>
      <c r="FB735" s="1473"/>
      <c r="FC735" s="1473"/>
      <c r="FD735" s="1467"/>
      <c r="FE735" s="1466" t="str">
        <f t="shared" si="35"/>
        <v/>
      </c>
      <c r="FF735" s="1473"/>
      <c r="FG735" s="1473"/>
      <c r="FH735" s="1473"/>
      <c r="FI735" s="1467"/>
      <c r="FJ735" s="1466" t="str">
        <f t="shared" si="36"/>
        <v/>
      </c>
      <c r="FK735" s="1473"/>
      <c r="FL735" s="1473"/>
      <c r="FM735" s="1473"/>
      <c r="FN735" s="1467"/>
      <c r="FO735" s="1466" t="str">
        <f t="shared" si="37"/>
        <v/>
      </c>
      <c r="FP735" s="1473"/>
      <c r="FQ735" s="1473"/>
      <c r="FR735" s="1473"/>
      <c r="FS735" s="1467"/>
      <c r="FT735" s="1466" t="str">
        <f t="shared" si="38"/>
        <v/>
      </c>
      <c r="FU735" s="1473"/>
      <c r="FV735" s="1473"/>
      <c r="FW735" s="1473"/>
      <c r="FX735" s="1467"/>
      <c r="FY735" s="1466" t="str">
        <f t="shared" si="39"/>
        <v/>
      </c>
      <c r="FZ735" s="1473"/>
      <c r="GA735" s="1473"/>
      <c r="GB735" s="1473"/>
      <c r="GC735" s="1467"/>
    </row>
    <row r="736" spans="1:185" ht="12.95" customHeight="1">
      <c r="B736" s="1341"/>
      <c r="C736" s="1342"/>
      <c r="D736" s="1342"/>
      <c r="E736" s="1342"/>
      <c r="F736" s="1343"/>
      <c r="G736" s="1338"/>
      <c r="H736" s="1339"/>
      <c r="I736" s="1339"/>
      <c r="J736" s="1340"/>
      <c r="K736" s="1388"/>
      <c r="L736" s="1389"/>
      <c r="M736" s="1389"/>
      <c r="N736" s="1390"/>
      <c r="O736" s="1368"/>
      <c r="P736" s="1369"/>
      <c r="Q736" s="1369"/>
      <c r="R736" s="1369"/>
      <c r="S736" s="1370"/>
      <c r="T736" s="1368"/>
      <c r="U736" s="1369"/>
      <c r="V736" s="1369"/>
      <c r="W736" s="1370"/>
      <c r="X736" s="1365">
        <f t="shared" si="12"/>
        <v>0</v>
      </c>
      <c r="Y736" s="1366"/>
      <c r="Z736" s="1366"/>
      <c r="AA736" s="1366"/>
      <c r="AB736" s="1367"/>
      <c r="AC736" s="1361"/>
      <c r="AD736" s="1362"/>
      <c r="AE736" s="1362"/>
      <c r="AF736" s="1362"/>
      <c r="AG736" s="1363"/>
      <c r="AH736" s="1371" t="str">
        <f t="shared" si="40"/>
        <v/>
      </c>
      <c r="AI736" s="1372"/>
      <c r="AJ736" s="1373"/>
      <c r="AK736" s="1341" t="s">
        <v>591</v>
      </c>
      <c r="AL736" s="1342"/>
      <c r="AM736" s="1342"/>
      <c r="AN736" s="1342"/>
      <c r="AO736" s="1343"/>
      <c r="AP736" s="3"/>
      <c r="AQ736" s="3"/>
      <c r="AR736" s="3"/>
      <c r="AS736" s="3"/>
      <c r="AY736" s="1085"/>
      <c r="AZ736" s="118" t="str">
        <f t="shared" si="13"/>
        <v>N/A</v>
      </c>
      <c r="BA736" s="3"/>
      <c r="BB736" s="3"/>
      <c r="BC736" s="3"/>
      <c r="BD736" s="3"/>
      <c r="BE736" s="204"/>
      <c r="BF736" s="294">
        <f t="shared" si="14"/>
        <v>0</v>
      </c>
      <c r="BG736" s="297">
        <f t="shared" si="15"/>
        <v>0</v>
      </c>
      <c r="BH736" s="298" t="str">
        <f t="shared" si="16"/>
        <v/>
      </c>
      <c r="BI736" s="3"/>
      <c r="BJ736" s="3"/>
      <c r="BK736" s="3"/>
      <c r="BL736" s="3"/>
      <c r="BM736" s="3"/>
      <c r="BN736" s="3"/>
      <c r="BS736" s="294">
        <f t="shared" si="17"/>
        <v>0</v>
      </c>
      <c r="BT736" s="297">
        <f t="shared" si="18"/>
        <v>0</v>
      </c>
      <c r="BU736" s="298" t="str">
        <f t="shared" si="19"/>
        <v/>
      </c>
      <c r="BV736" s="3"/>
      <c r="BW736" s="3"/>
      <c r="BX736" s="3"/>
      <c r="BY736" s="3"/>
      <c r="BZ736" s="3"/>
      <c r="CA736" s="3"/>
      <c r="CB736" s="3"/>
      <c r="CC736" s="3"/>
      <c r="CE736" s="3"/>
      <c r="CF736" s="3"/>
      <c r="CG736" s="1466">
        <f t="shared" si="41"/>
        <v>0</v>
      </c>
      <c r="CH736" s="1467"/>
      <c r="CI736" s="1468">
        <f t="shared" si="42"/>
        <v>0</v>
      </c>
      <c r="CJ736" s="1470"/>
      <c r="CK736" s="1466">
        <f t="shared" si="20"/>
        <v>0</v>
      </c>
      <c r="CL736" s="1467"/>
      <c r="CM736" s="1468">
        <f t="shared" si="21"/>
        <v>0</v>
      </c>
      <c r="CN736" s="1470"/>
      <c r="CO736" s="3"/>
      <c r="CP736" s="1461">
        <f t="shared" si="22"/>
        <v>0</v>
      </c>
      <c r="CQ736" s="1462"/>
      <c r="CR736" s="1462"/>
      <c r="CS736" s="1462"/>
      <c r="CT736" s="1463"/>
      <c r="CU736" s="1460">
        <f t="shared" si="23"/>
        <v>0</v>
      </c>
      <c r="CV736" s="1460"/>
      <c r="CW736" s="1460"/>
      <c r="CX736" s="1460"/>
      <c r="CY736" s="1460"/>
      <c r="CZ736" s="1460">
        <f t="shared" si="24"/>
        <v>0</v>
      </c>
      <c r="DA736" s="1460"/>
      <c r="DB736" s="1460"/>
      <c r="DC736" s="1460"/>
      <c r="DD736" s="1460"/>
      <c r="DE736" s="1460">
        <f t="shared" si="25"/>
        <v>0</v>
      </c>
      <c r="DF736" s="1460"/>
      <c r="DG736" s="1460"/>
      <c r="DH736" s="1460"/>
      <c r="DI736" s="1460"/>
      <c r="DJ736" s="1460">
        <f t="shared" si="26"/>
        <v>0</v>
      </c>
      <c r="DK736" s="1460"/>
      <c r="DL736" s="1460"/>
      <c r="DM736" s="1460"/>
      <c r="DN736" s="1460"/>
      <c r="DO736" s="1460">
        <f t="shared" si="27"/>
        <v>0</v>
      </c>
      <c r="DP736" s="1460"/>
      <c r="DQ736" s="1460"/>
      <c r="DR736" s="1460"/>
      <c r="DS736" s="1460"/>
      <c r="DT736" s="6"/>
      <c r="DU736" s="1459">
        <f t="shared" si="28"/>
        <v>0</v>
      </c>
      <c r="DV736" s="1459"/>
      <c r="DW736" s="1459"/>
      <c r="DX736" s="1459"/>
      <c r="DY736" s="1459"/>
      <c r="DZ736" s="1459">
        <f t="shared" si="29"/>
        <v>0</v>
      </c>
      <c r="EA736" s="1459"/>
      <c r="EB736" s="1459"/>
      <c r="EC736" s="1459"/>
      <c r="ED736" s="1459"/>
      <c r="EE736" s="1459">
        <f t="shared" si="30"/>
        <v>0</v>
      </c>
      <c r="EF736" s="1459"/>
      <c r="EG736" s="1459"/>
      <c r="EH736" s="1459"/>
      <c r="EI736" s="1459"/>
      <c r="EJ736" s="1459">
        <f t="shared" si="31"/>
        <v>0</v>
      </c>
      <c r="EK736" s="1459"/>
      <c r="EL736" s="1459"/>
      <c r="EM736" s="1459"/>
      <c r="EN736" s="1459"/>
      <c r="EO736" s="1459">
        <f t="shared" si="32"/>
        <v>0</v>
      </c>
      <c r="EP736" s="1459"/>
      <c r="EQ736" s="1459"/>
      <c r="ER736" s="1459"/>
      <c r="ES736" s="1459"/>
      <c r="ET736" s="1459">
        <f t="shared" si="33"/>
        <v>0</v>
      </c>
      <c r="EU736" s="1459"/>
      <c r="EV736" s="1459"/>
      <c r="EW736" s="1459"/>
      <c r="EX736" s="1459"/>
      <c r="EZ736" s="1466" t="str">
        <f t="shared" si="34"/>
        <v/>
      </c>
      <c r="FA736" s="1473"/>
      <c r="FB736" s="1473"/>
      <c r="FC736" s="1473"/>
      <c r="FD736" s="1467"/>
      <c r="FE736" s="1466" t="str">
        <f t="shared" si="35"/>
        <v/>
      </c>
      <c r="FF736" s="1473"/>
      <c r="FG736" s="1473"/>
      <c r="FH736" s="1473"/>
      <c r="FI736" s="1467"/>
      <c r="FJ736" s="1466" t="str">
        <f t="shared" si="36"/>
        <v/>
      </c>
      <c r="FK736" s="1473"/>
      <c r="FL736" s="1473"/>
      <c r="FM736" s="1473"/>
      <c r="FN736" s="1467"/>
      <c r="FO736" s="1466" t="str">
        <f t="shared" si="37"/>
        <v/>
      </c>
      <c r="FP736" s="1473"/>
      <c r="FQ736" s="1473"/>
      <c r="FR736" s="1473"/>
      <c r="FS736" s="1467"/>
      <c r="FT736" s="1466" t="str">
        <f t="shared" si="38"/>
        <v/>
      </c>
      <c r="FU736" s="1473"/>
      <c r="FV736" s="1473"/>
      <c r="FW736" s="1473"/>
      <c r="FX736" s="1467"/>
      <c r="FY736" s="1466" t="str">
        <f t="shared" si="39"/>
        <v/>
      </c>
      <c r="FZ736" s="1473"/>
      <c r="GA736" s="1473"/>
      <c r="GB736" s="1473"/>
      <c r="GC736" s="1467"/>
    </row>
    <row r="737" spans="1:185" ht="12.95" customHeight="1">
      <c r="B737" s="1341"/>
      <c r="C737" s="1342"/>
      <c r="D737" s="1342"/>
      <c r="E737" s="1342"/>
      <c r="F737" s="1343"/>
      <c r="G737" s="1338"/>
      <c r="H737" s="1339"/>
      <c r="I737" s="1339"/>
      <c r="J737" s="1340"/>
      <c r="K737" s="1388"/>
      <c r="L737" s="1389"/>
      <c r="M737" s="1389"/>
      <c r="N737" s="1390"/>
      <c r="O737" s="1368"/>
      <c r="P737" s="1369"/>
      <c r="Q737" s="1369"/>
      <c r="R737" s="1369"/>
      <c r="S737" s="1370"/>
      <c r="T737" s="1368"/>
      <c r="U737" s="1369"/>
      <c r="V737" s="1369"/>
      <c r="W737" s="1370"/>
      <c r="X737" s="1365">
        <f t="shared" si="12"/>
        <v>0</v>
      </c>
      <c r="Y737" s="1366"/>
      <c r="Z737" s="1366"/>
      <c r="AA737" s="1366"/>
      <c r="AB737" s="1367"/>
      <c r="AC737" s="1361"/>
      <c r="AD737" s="1362"/>
      <c r="AE737" s="1362"/>
      <c r="AF737" s="1362"/>
      <c r="AG737" s="1363"/>
      <c r="AH737" s="1371" t="str">
        <f t="shared" si="40"/>
        <v/>
      </c>
      <c r="AI737" s="1372"/>
      <c r="AJ737" s="1373"/>
      <c r="AK737" s="1341" t="s">
        <v>591</v>
      </c>
      <c r="AL737" s="1342"/>
      <c r="AM737" s="1342"/>
      <c r="AN737" s="1342"/>
      <c r="AO737" s="1343"/>
      <c r="AP737" s="3"/>
      <c r="AQ737" s="3"/>
      <c r="AR737" s="3"/>
      <c r="AS737" s="3"/>
      <c r="AY737" s="1085"/>
      <c r="AZ737" s="118" t="str">
        <f t="shared" si="13"/>
        <v>N/A</v>
      </c>
      <c r="BA737" s="3"/>
      <c r="BB737" s="3"/>
      <c r="BC737" s="3"/>
      <c r="BD737" s="3"/>
      <c r="BE737" s="204"/>
      <c r="BF737" s="294">
        <f t="shared" si="14"/>
        <v>0</v>
      </c>
      <c r="BG737" s="297">
        <f t="shared" si="15"/>
        <v>0</v>
      </c>
      <c r="BH737" s="298" t="str">
        <f t="shared" si="16"/>
        <v/>
      </c>
      <c r="BI737" s="3"/>
      <c r="BJ737" s="3"/>
      <c r="BK737" s="3"/>
      <c r="BL737" s="3"/>
      <c r="BM737" s="3"/>
      <c r="BN737" s="3"/>
      <c r="BS737" s="294">
        <f t="shared" si="17"/>
        <v>0</v>
      </c>
      <c r="BT737" s="297">
        <f t="shared" si="18"/>
        <v>0</v>
      </c>
      <c r="BU737" s="298" t="str">
        <f t="shared" si="19"/>
        <v/>
      </c>
      <c r="BV737" s="3"/>
      <c r="BW737" s="3"/>
      <c r="BX737" s="3"/>
      <c r="BY737" s="3"/>
      <c r="BZ737" s="3"/>
      <c r="CA737" s="3"/>
      <c r="CB737" s="3"/>
      <c r="CC737" s="3"/>
      <c r="CE737" s="3"/>
      <c r="CF737" s="3"/>
      <c r="CG737" s="1466">
        <f t="shared" si="41"/>
        <v>0</v>
      </c>
      <c r="CH737" s="1467"/>
      <c r="CI737" s="1468">
        <f t="shared" si="42"/>
        <v>0</v>
      </c>
      <c r="CJ737" s="1470"/>
      <c r="CK737" s="1466">
        <f t="shared" si="20"/>
        <v>0</v>
      </c>
      <c r="CL737" s="1467"/>
      <c r="CM737" s="1468">
        <f t="shared" si="21"/>
        <v>0</v>
      </c>
      <c r="CN737" s="1470"/>
      <c r="CO737" s="3"/>
      <c r="CP737" s="1461">
        <f t="shared" si="22"/>
        <v>0</v>
      </c>
      <c r="CQ737" s="1462"/>
      <c r="CR737" s="1462"/>
      <c r="CS737" s="1462"/>
      <c r="CT737" s="1463"/>
      <c r="CU737" s="1460">
        <f t="shared" si="23"/>
        <v>0</v>
      </c>
      <c r="CV737" s="1460"/>
      <c r="CW737" s="1460"/>
      <c r="CX737" s="1460"/>
      <c r="CY737" s="1460"/>
      <c r="CZ737" s="1460">
        <f t="shared" si="24"/>
        <v>0</v>
      </c>
      <c r="DA737" s="1460"/>
      <c r="DB737" s="1460"/>
      <c r="DC737" s="1460"/>
      <c r="DD737" s="1460"/>
      <c r="DE737" s="1460">
        <f t="shared" si="25"/>
        <v>0</v>
      </c>
      <c r="DF737" s="1460"/>
      <c r="DG737" s="1460"/>
      <c r="DH737" s="1460"/>
      <c r="DI737" s="1460"/>
      <c r="DJ737" s="1460">
        <f t="shared" si="26"/>
        <v>0</v>
      </c>
      <c r="DK737" s="1460"/>
      <c r="DL737" s="1460"/>
      <c r="DM737" s="1460"/>
      <c r="DN737" s="1460"/>
      <c r="DO737" s="1460">
        <f t="shared" si="27"/>
        <v>0</v>
      </c>
      <c r="DP737" s="1460"/>
      <c r="DQ737" s="1460"/>
      <c r="DR737" s="1460"/>
      <c r="DS737" s="1460"/>
      <c r="DT737" s="6"/>
      <c r="DU737" s="1459">
        <f t="shared" si="28"/>
        <v>0</v>
      </c>
      <c r="DV737" s="1459"/>
      <c r="DW737" s="1459"/>
      <c r="DX737" s="1459"/>
      <c r="DY737" s="1459"/>
      <c r="DZ737" s="1459">
        <f t="shared" si="29"/>
        <v>0</v>
      </c>
      <c r="EA737" s="1459"/>
      <c r="EB737" s="1459"/>
      <c r="EC737" s="1459"/>
      <c r="ED737" s="1459"/>
      <c r="EE737" s="1459">
        <f t="shared" si="30"/>
        <v>0</v>
      </c>
      <c r="EF737" s="1459"/>
      <c r="EG737" s="1459"/>
      <c r="EH737" s="1459"/>
      <c r="EI737" s="1459"/>
      <c r="EJ737" s="1459">
        <f t="shared" si="31"/>
        <v>0</v>
      </c>
      <c r="EK737" s="1459"/>
      <c r="EL737" s="1459"/>
      <c r="EM737" s="1459"/>
      <c r="EN737" s="1459"/>
      <c r="EO737" s="1459">
        <f t="shared" si="32"/>
        <v>0</v>
      </c>
      <c r="EP737" s="1459"/>
      <c r="EQ737" s="1459"/>
      <c r="ER737" s="1459"/>
      <c r="ES737" s="1459"/>
      <c r="ET737" s="1459">
        <f t="shared" si="33"/>
        <v>0</v>
      </c>
      <c r="EU737" s="1459"/>
      <c r="EV737" s="1459"/>
      <c r="EW737" s="1459"/>
      <c r="EX737" s="1459"/>
      <c r="EZ737" s="1466" t="str">
        <f t="shared" si="34"/>
        <v/>
      </c>
      <c r="FA737" s="1473"/>
      <c r="FB737" s="1473"/>
      <c r="FC737" s="1473"/>
      <c r="FD737" s="1467"/>
      <c r="FE737" s="1466" t="str">
        <f t="shared" si="35"/>
        <v/>
      </c>
      <c r="FF737" s="1473"/>
      <c r="FG737" s="1473"/>
      <c r="FH737" s="1473"/>
      <c r="FI737" s="1467"/>
      <c r="FJ737" s="1466" t="str">
        <f t="shared" si="36"/>
        <v/>
      </c>
      <c r="FK737" s="1473"/>
      <c r="FL737" s="1473"/>
      <c r="FM737" s="1473"/>
      <c r="FN737" s="1467"/>
      <c r="FO737" s="1466" t="str">
        <f t="shared" si="37"/>
        <v/>
      </c>
      <c r="FP737" s="1473"/>
      <c r="FQ737" s="1473"/>
      <c r="FR737" s="1473"/>
      <c r="FS737" s="1467"/>
      <c r="FT737" s="1466" t="str">
        <f t="shared" si="38"/>
        <v/>
      </c>
      <c r="FU737" s="1473"/>
      <c r="FV737" s="1473"/>
      <c r="FW737" s="1473"/>
      <c r="FX737" s="1467"/>
      <c r="FY737" s="1466" t="str">
        <f t="shared" si="39"/>
        <v/>
      </c>
      <c r="FZ737" s="1473"/>
      <c r="GA737" s="1473"/>
      <c r="GB737" s="1473"/>
      <c r="GC737" s="1467"/>
    </row>
    <row r="738" spans="1:185" ht="12.95" customHeight="1">
      <c r="B738" s="1341"/>
      <c r="C738" s="1342"/>
      <c r="D738" s="1342"/>
      <c r="E738" s="1342"/>
      <c r="F738" s="1343"/>
      <c r="G738" s="1338"/>
      <c r="H738" s="1339"/>
      <c r="I738" s="1339"/>
      <c r="J738" s="1340"/>
      <c r="K738" s="1388"/>
      <c r="L738" s="1389"/>
      <c r="M738" s="1389"/>
      <c r="N738" s="1390"/>
      <c r="O738" s="1368"/>
      <c r="P738" s="1369"/>
      <c r="Q738" s="1369"/>
      <c r="R738" s="1369"/>
      <c r="S738" s="1370"/>
      <c r="T738" s="1368"/>
      <c r="U738" s="1369"/>
      <c r="V738" s="1369"/>
      <c r="W738" s="1370"/>
      <c r="X738" s="1365">
        <f t="shared" si="12"/>
        <v>0</v>
      </c>
      <c r="Y738" s="1366"/>
      <c r="Z738" s="1366"/>
      <c r="AA738" s="1366"/>
      <c r="AB738" s="1367"/>
      <c r="AC738" s="1361"/>
      <c r="AD738" s="1362"/>
      <c r="AE738" s="1362"/>
      <c r="AF738" s="1362"/>
      <c r="AG738" s="1363"/>
      <c r="AH738" s="1371" t="str">
        <f t="shared" si="40"/>
        <v/>
      </c>
      <c r="AI738" s="1372"/>
      <c r="AJ738" s="1373"/>
      <c r="AK738" s="1341" t="s">
        <v>591</v>
      </c>
      <c r="AL738" s="1342"/>
      <c r="AM738" s="1342"/>
      <c r="AN738" s="1342"/>
      <c r="AO738" s="1343"/>
      <c r="AP738" s="3"/>
      <c r="AQ738" s="3"/>
      <c r="AR738" s="3"/>
      <c r="AS738" s="3"/>
      <c r="AY738" s="1085"/>
      <c r="AZ738" s="118" t="str">
        <f t="shared" si="13"/>
        <v>N/A</v>
      </c>
      <c r="BA738" s="3"/>
      <c r="BE738" s="204"/>
      <c r="BF738" s="294">
        <f t="shared" si="14"/>
        <v>0</v>
      </c>
      <c r="BG738" s="297">
        <f t="shared" si="15"/>
        <v>0</v>
      </c>
      <c r="BH738" s="298" t="str">
        <f t="shared" si="16"/>
        <v/>
      </c>
      <c r="BK738" s="3"/>
      <c r="BL738" s="3"/>
      <c r="BM738" s="3"/>
      <c r="BN738" s="3"/>
      <c r="BS738" s="294">
        <f t="shared" si="17"/>
        <v>0</v>
      </c>
      <c r="BT738" s="297">
        <f t="shared" si="18"/>
        <v>0</v>
      </c>
      <c r="BU738" s="298" t="str">
        <f t="shared" si="19"/>
        <v/>
      </c>
      <c r="BV738" s="3"/>
      <c r="BW738" s="3"/>
      <c r="BX738" s="3"/>
      <c r="BY738" s="3"/>
      <c r="BZ738" s="3"/>
      <c r="CA738" s="3"/>
      <c r="CB738" s="3"/>
      <c r="CC738" s="3"/>
      <c r="CE738" s="3"/>
      <c r="CF738" s="3"/>
      <c r="CG738" s="1466">
        <f t="shared" si="41"/>
        <v>0</v>
      </c>
      <c r="CH738" s="1467"/>
      <c r="CI738" s="1468">
        <f t="shared" si="42"/>
        <v>0</v>
      </c>
      <c r="CJ738" s="1470"/>
      <c r="CK738" s="1466">
        <f t="shared" si="20"/>
        <v>0</v>
      </c>
      <c r="CL738" s="1467"/>
      <c r="CM738" s="1468">
        <f t="shared" si="21"/>
        <v>0</v>
      </c>
      <c r="CN738" s="1470"/>
      <c r="CO738" s="3"/>
      <c r="CP738" s="1461">
        <f t="shared" si="22"/>
        <v>0</v>
      </c>
      <c r="CQ738" s="1462"/>
      <c r="CR738" s="1462"/>
      <c r="CS738" s="1462"/>
      <c r="CT738" s="1463"/>
      <c r="CU738" s="1460">
        <f t="shared" si="23"/>
        <v>0</v>
      </c>
      <c r="CV738" s="1460"/>
      <c r="CW738" s="1460"/>
      <c r="CX738" s="1460"/>
      <c r="CY738" s="1460"/>
      <c r="CZ738" s="1460">
        <f t="shared" si="24"/>
        <v>0</v>
      </c>
      <c r="DA738" s="1460"/>
      <c r="DB738" s="1460"/>
      <c r="DC738" s="1460"/>
      <c r="DD738" s="1460"/>
      <c r="DE738" s="1460">
        <f t="shared" si="25"/>
        <v>0</v>
      </c>
      <c r="DF738" s="1460"/>
      <c r="DG738" s="1460"/>
      <c r="DH738" s="1460"/>
      <c r="DI738" s="1460"/>
      <c r="DJ738" s="1460">
        <f t="shared" si="26"/>
        <v>0</v>
      </c>
      <c r="DK738" s="1460"/>
      <c r="DL738" s="1460"/>
      <c r="DM738" s="1460"/>
      <c r="DN738" s="1460"/>
      <c r="DO738" s="1460">
        <f t="shared" si="27"/>
        <v>0</v>
      </c>
      <c r="DP738" s="1460"/>
      <c r="DQ738" s="1460"/>
      <c r="DR738" s="1460"/>
      <c r="DS738" s="1460"/>
      <c r="DT738" s="6"/>
      <c r="DU738" s="1459">
        <f t="shared" si="28"/>
        <v>0</v>
      </c>
      <c r="DV738" s="1459"/>
      <c r="DW738" s="1459"/>
      <c r="DX738" s="1459"/>
      <c r="DY738" s="1459"/>
      <c r="DZ738" s="1459">
        <f t="shared" si="29"/>
        <v>0</v>
      </c>
      <c r="EA738" s="1459"/>
      <c r="EB738" s="1459"/>
      <c r="EC738" s="1459"/>
      <c r="ED738" s="1459"/>
      <c r="EE738" s="1459">
        <f t="shared" si="30"/>
        <v>0</v>
      </c>
      <c r="EF738" s="1459"/>
      <c r="EG738" s="1459"/>
      <c r="EH738" s="1459"/>
      <c r="EI738" s="1459"/>
      <c r="EJ738" s="1459">
        <f t="shared" si="31"/>
        <v>0</v>
      </c>
      <c r="EK738" s="1459"/>
      <c r="EL738" s="1459"/>
      <c r="EM738" s="1459"/>
      <c r="EN738" s="1459"/>
      <c r="EO738" s="1459">
        <f t="shared" si="32"/>
        <v>0</v>
      </c>
      <c r="EP738" s="1459"/>
      <c r="EQ738" s="1459"/>
      <c r="ER738" s="1459"/>
      <c r="ES738" s="1459"/>
      <c r="ET738" s="1459">
        <f t="shared" si="33"/>
        <v>0</v>
      </c>
      <c r="EU738" s="1459"/>
      <c r="EV738" s="1459"/>
      <c r="EW738" s="1459"/>
      <c r="EX738" s="1459"/>
      <c r="EZ738" s="1466" t="str">
        <f t="shared" si="34"/>
        <v/>
      </c>
      <c r="FA738" s="1473"/>
      <c r="FB738" s="1473"/>
      <c r="FC738" s="1473"/>
      <c r="FD738" s="1467"/>
      <c r="FE738" s="1466" t="str">
        <f t="shared" si="35"/>
        <v/>
      </c>
      <c r="FF738" s="1473"/>
      <c r="FG738" s="1473"/>
      <c r="FH738" s="1473"/>
      <c r="FI738" s="1467"/>
      <c r="FJ738" s="1466" t="str">
        <f t="shared" si="36"/>
        <v/>
      </c>
      <c r="FK738" s="1473"/>
      <c r="FL738" s="1473"/>
      <c r="FM738" s="1473"/>
      <c r="FN738" s="1467"/>
      <c r="FO738" s="1466" t="str">
        <f t="shared" si="37"/>
        <v/>
      </c>
      <c r="FP738" s="1473"/>
      <c r="FQ738" s="1473"/>
      <c r="FR738" s="1473"/>
      <c r="FS738" s="1467"/>
      <c r="FT738" s="1466" t="str">
        <f t="shared" si="38"/>
        <v/>
      </c>
      <c r="FU738" s="1473"/>
      <c r="FV738" s="1473"/>
      <c r="FW738" s="1473"/>
      <c r="FX738" s="1467"/>
      <c r="FY738" s="1466" t="str">
        <f t="shared" si="39"/>
        <v/>
      </c>
      <c r="FZ738" s="1473"/>
      <c r="GA738" s="1473"/>
      <c r="GB738" s="1473"/>
      <c r="GC738" s="1467"/>
    </row>
    <row r="739" spans="1:185" ht="12.95" customHeight="1">
      <c r="B739" s="1341"/>
      <c r="C739" s="1342"/>
      <c r="D739" s="1342"/>
      <c r="E739" s="1342"/>
      <c r="F739" s="1343"/>
      <c r="G739" s="1338"/>
      <c r="H739" s="1339"/>
      <c r="I739" s="1339"/>
      <c r="J739" s="1340"/>
      <c r="K739" s="1388"/>
      <c r="L739" s="1389"/>
      <c r="M739" s="1389"/>
      <c r="N739" s="1390"/>
      <c r="O739" s="1368"/>
      <c r="P739" s="1369"/>
      <c r="Q739" s="1369"/>
      <c r="R739" s="1369"/>
      <c r="S739" s="1370"/>
      <c r="T739" s="1368"/>
      <c r="U739" s="1369"/>
      <c r="V739" s="1369"/>
      <c r="W739" s="1370"/>
      <c r="X739" s="1365">
        <f t="shared" si="12"/>
        <v>0</v>
      </c>
      <c r="Y739" s="1366"/>
      <c r="Z739" s="1366"/>
      <c r="AA739" s="1366"/>
      <c r="AB739" s="1367"/>
      <c r="AC739" s="1361"/>
      <c r="AD739" s="1362"/>
      <c r="AE739" s="1362"/>
      <c r="AF739" s="1362"/>
      <c r="AG739" s="1363"/>
      <c r="AH739" s="1371" t="str">
        <f t="shared" si="40"/>
        <v/>
      </c>
      <c r="AI739" s="1372"/>
      <c r="AJ739" s="1373"/>
      <c r="AK739" s="1341" t="s">
        <v>591</v>
      </c>
      <c r="AL739" s="1342"/>
      <c r="AM739" s="1342"/>
      <c r="AN739" s="1342"/>
      <c r="AO739" s="1343"/>
      <c r="AP739" s="3"/>
      <c r="AQ739" s="3"/>
      <c r="AR739" s="3"/>
      <c r="AS739" s="3"/>
      <c r="AY739" s="1085"/>
      <c r="AZ739" s="118" t="str">
        <f t="shared" si="13"/>
        <v>N/A</v>
      </c>
      <c r="BA739" s="3"/>
      <c r="BE739" s="204"/>
      <c r="BF739" s="294">
        <f t="shared" si="14"/>
        <v>0</v>
      </c>
      <c r="BG739" s="297">
        <f t="shared" si="15"/>
        <v>0</v>
      </c>
      <c r="BH739" s="298" t="str">
        <f t="shared" si="16"/>
        <v/>
      </c>
      <c r="BK739" s="3"/>
      <c r="BL739" s="3"/>
      <c r="BM739" s="3"/>
      <c r="BN739" s="3"/>
      <c r="BS739" s="294">
        <f t="shared" si="17"/>
        <v>0</v>
      </c>
      <c r="BT739" s="297">
        <f t="shared" si="18"/>
        <v>0</v>
      </c>
      <c r="BU739" s="298" t="str">
        <f t="shared" si="19"/>
        <v/>
      </c>
      <c r="BV739" s="3"/>
      <c r="BW739" s="3"/>
      <c r="BX739" s="3"/>
      <c r="BY739" s="3"/>
      <c r="BZ739" s="3"/>
      <c r="CA739" s="3"/>
      <c r="CB739" s="3"/>
      <c r="CC739" s="3"/>
      <c r="CE739" s="3"/>
      <c r="CF739" s="3"/>
      <c r="CG739" s="1466">
        <f t="shared" si="41"/>
        <v>0</v>
      </c>
      <c r="CH739" s="1467"/>
      <c r="CI739" s="1468">
        <f t="shared" si="42"/>
        <v>0</v>
      </c>
      <c r="CJ739" s="1470"/>
      <c r="CK739" s="1466">
        <f t="shared" si="20"/>
        <v>0</v>
      </c>
      <c r="CL739" s="1467"/>
      <c r="CM739" s="1468">
        <f t="shared" si="21"/>
        <v>0</v>
      </c>
      <c r="CN739" s="1470"/>
      <c r="CO739" s="3"/>
      <c r="CP739" s="1461">
        <f t="shared" si="22"/>
        <v>0</v>
      </c>
      <c r="CQ739" s="1462"/>
      <c r="CR739" s="1462"/>
      <c r="CS739" s="1462"/>
      <c r="CT739" s="1463"/>
      <c r="CU739" s="1460">
        <f t="shared" si="23"/>
        <v>0</v>
      </c>
      <c r="CV739" s="1460"/>
      <c r="CW739" s="1460"/>
      <c r="CX739" s="1460"/>
      <c r="CY739" s="1460"/>
      <c r="CZ739" s="1460">
        <f t="shared" si="24"/>
        <v>0</v>
      </c>
      <c r="DA739" s="1460"/>
      <c r="DB739" s="1460"/>
      <c r="DC739" s="1460"/>
      <c r="DD739" s="1460"/>
      <c r="DE739" s="1460">
        <f t="shared" si="25"/>
        <v>0</v>
      </c>
      <c r="DF739" s="1460"/>
      <c r="DG739" s="1460"/>
      <c r="DH739" s="1460"/>
      <c r="DI739" s="1460"/>
      <c r="DJ739" s="1460">
        <f t="shared" si="26"/>
        <v>0</v>
      </c>
      <c r="DK739" s="1460"/>
      <c r="DL739" s="1460"/>
      <c r="DM739" s="1460"/>
      <c r="DN739" s="1460"/>
      <c r="DO739" s="1460">
        <f t="shared" si="27"/>
        <v>0</v>
      </c>
      <c r="DP739" s="1460"/>
      <c r="DQ739" s="1460"/>
      <c r="DR739" s="1460"/>
      <c r="DS739" s="1460"/>
      <c r="DT739" s="6"/>
      <c r="DU739" s="1459">
        <f t="shared" si="28"/>
        <v>0</v>
      </c>
      <c r="DV739" s="1459"/>
      <c r="DW739" s="1459"/>
      <c r="DX739" s="1459"/>
      <c r="DY739" s="1459"/>
      <c r="DZ739" s="1459">
        <f t="shared" si="29"/>
        <v>0</v>
      </c>
      <c r="EA739" s="1459"/>
      <c r="EB739" s="1459"/>
      <c r="EC739" s="1459"/>
      <c r="ED739" s="1459"/>
      <c r="EE739" s="1459">
        <f t="shared" si="30"/>
        <v>0</v>
      </c>
      <c r="EF739" s="1459"/>
      <c r="EG739" s="1459"/>
      <c r="EH739" s="1459"/>
      <c r="EI739" s="1459"/>
      <c r="EJ739" s="1459">
        <f t="shared" si="31"/>
        <v>0</v>
      </c>
      <c r="EK739" s="1459"/>
      <c r="EL739" s="1459"/>
      <c r="EM739" s="1459"/>
      <c r="EN739" s="1459"/>
      <c r="EO739" s="1459">
        <f t="shared" si="32"/>
        <v>0</v>
      </c>
      <c r="EP739" s="1459"/>
      <c r="EQ739" s="1459"/>
      <c r="ER739" s="1459"/>
      <c r="ES739" s="1459"/>
      <c r="ET739" s="1459">
        <f t="shared" si="33"/>
        <v>0</v>
      </c>
      <c r="EU739" s="1459"/>
      <c r="EV739" s="1459"/>
      <c r="EW739" s="1459"/>
      <c r="EX739" s="1459"/>
      <c r="EZ739" s="1466" t="str">
        <f t="shared" si="34"/>
        <v/>
      </c>
      <c r="FA739" s="1473"/>
      <c r="FB739" s="1473"/>
      <c r="FC739" s="1473"/>
      <c r="FD739" s="1467"/>
      <c r="FE739" s="1466" t="str">
        <f t="shared" si="35"/>
        <v/>
      </c>
      <c r="FF739" s="1473"/>
      <c r="FG739" s="1473"/>
      <c r="FH739" s="1473"/>
      <c r="FI739" s="1467"/>
      <c r="FJ739" s="1466" t="str">
        <f t="shared" si="36"/>
        <v/>
      </c>
      <c r="FK739" s="1473"/>
      <c r="FL739" s="1473"/>
      <c r="FM739" s="1473"/>
      <c r="FN739" s="1467"/>
      <c r="FO739" s="1466" t="str">
        <f t="shared" si="37"/>
        <v/>
      </c>
      <c r="FP739" s="1473"/>
      <c r="FQ739" s="1473"/>
      <c r="FR739" s="1473"/>
      <c r="FS739" s="1467"/>
      <c r="FT739" s="1466" t="str">
        <f t="shared" si="38"/>
        <v/>
      </c>
      <c r="FU739" s="1473"/>
      <c r="FV739" s="1473"/>
      <c r="FW739" s="1473"/>
      <c r="FX739" s="1467"/>
      <c r="FY739" s="1466" t="str">
        <f t="shared" si="39"/>
        <v/>
      </c>
      <c r="FZ739" s="1473"/>
      <c r="GA739" s="1473"/>
      <c r="GB739" s="1473"/>
      <c r="GC739" s="1467"/>
    </row>
    <row r="740" spans="1:185" ht="12.95" customHeight="1">
      <c r="B740" s="1341"/>
      <c r="C740" s="1342"/>
      <c r="D740" s="1342"/>
      <c r="E740" s="1342"/>
      <c r="F740" s="1343"/>
      <c r="G740" s="1338"/>
      <c r="H740" s="1339"/>
      <c r="I740" s="1339"/>
      <c r="J740" s="1340"/>
      <c r="K740" s="1388"/>
      <c r="L740" s="1389"/>
      <c r="M740" s="1389"/>
      <c r="N740" s="1390"/>
      <c r="O740" s="1368"/>
      <c r="P740" s="1369"/>
      <c r="Q740" s="1369"/>
      <c r="R740" s="1369"/>
      <c r="S740" s="1370"/>
      <c r="T740" s="1368"/>
      <c r="U740" s="1369"/>
      <c r="V740" s="1369"/>
      <c r="W740" s="1370"/>
      <c r="X740" s="1365">
        <f t="shared" si="12"/>
        <v>0</v>
      </c>
      <c r="Y740" s="1366"/>
      <c r="Z740" s="1366"/>
      <c r="AA740" s="1366"/>
      <c r="AB740" s="1367"/>
      <c r="AC740" s="1361"/>
      <c r="AD740" s="1362"/>
      <c r="AE740" s="1362"/>
      <c r="AF740" s="1362"/>
      <c r="AG740" s="1363"/>
      <c r="AH740" s="1371" t="str">
        <f t="shared" si="40"/>
        <v/>
      </c>
      <c r="AI740" s="1372"/>
      <c r="AJ740" s="1373"/>
      <c r="AK740" s="1341" t="s">
        <v>591</v>
      </c>
      <c r="AL740" s="1342"/>
      <c r="AM740" s="1342"/>
      <c r="AN740" s="1342"/>
      <c r="AO740" s="1343"/>
      <c r="AP740" s="3"/>
      <c r="AQ740" s="3"/>
      <c r="AR740" s="3"/>
      <c r="AS740" s="3"/>
      <c r="AY740" s="1085"/>
      <c r="AZ740" s="118" t="str">
        <f t="shared" si="13"/>
        <v>N/A</v>
      </c>
      <c r="BA740" s="3"/>
      <c r="BE740" s="204"/>
      <c r="BF740" s="294">
        <f t="shared" si="14"/>
        <v>0</v>
      </c>
      <c r="BG740" s="297">
        <f t="shared" si="15"/>
        <v>0</v>
      </c>
      <c r="BH740" s="298" t="str">
        <f t="shared" si="16"/>
        <v/>
      </c>
      <c r="BK740" s="3"/>
      <c r="BL740" s="3"/>
      <c r="BM740" s="3"/>
      <c r="BN740" s="3"/>
      <c r="BS740" s="294">
        <f t="shared" si="17"/>
        <v>0</v>
      </c>
      <c r="BT740" s="297">
        <f t="shared" si="18"/>
        <v>0</v>
      </c>
      <c r="BU740" s="298" t="str">
        <f t="shared" si="19"/>
        <v/>
      </c>
      <c r="BV740" s="3"/>
      <c r="BW740" s="3"/>
      <c r="BX740" s="3"/>
      <c r="BY740" s="3"/>
      <c r="BZ740" s="3"/>
      <c r="CA740" s="3"/>
      <c r="CB740" s="3"/>
      <c r="CC740" s="3"/>
      <c r="CE740" s="3"/>
      <c r="CF740" s="3"/>
      <c r="CG740" s="1466">
        <f t="shared" si="41"/>
        <v>0</v>
      </c>
      <c r="CH740" s="1467"/>
      <c r="CI740" s="1468">
        <f t="shared" si="42"/>
        <v>0</v>
      </c>
      <c r="CJ740" s="1470"/>
      <c r="CK740" s="1466">
        <f t="shared" si="20"/>
        <v>0</v>
      </c>
      <c r="CL740" s="1467"/>
      <c r="CM740" s="1468">
        <f t="shared" si="21"/>
        <v>0</v>
      </c>
      <c r="CN740" s="1470"/>
      <c r="CO740" s="3"/>
      <c r="CP740" s="1461">
        <f t="shared" si="22"/>
        <v>0</v>
      </c>
      <c r="CQ740" s="1462"/>
      <c r="CR740" s="1462"/>
      <c r="CS740" s="1462"/>
      <c r="CT740" s="1463"/>
      <c r="CU740" s="1460">
        <f t="shared" si="23"/>
        <v>0</v>
      </c>
      <c r="CV740" s="1460"/>
      <c r="CW740" s="1460"/>
      <c r="CX740" s="1460"/>
      <c r="CY740" s="1460"/>
      <c r="CZ740" s="1460">
        <f t="shared" si="24"/>
        <v>0</v>
      </c>
      <c r="DA740" s="1460"/>
      <c r="DB740" s="1460"/>
      <c r="DC740" s="1460"/>
      <c r="DD740" s="1460"/>
      <c r="DE740" s="1460">
        <f t="shared" si="25"/>
        <v>0</v>
      </c>
      <c r="DF740" s="1460"/>
      <c r="DG740" s="1460"/>
      <c r="DH740" s="1460"/>
      <c r="DI740" s="1460"/>
      <c r="DJ740" s="1460">
        <f t="shared" si="26"/>
        <v>0</v>
      </c>
      <c r="DK740" s="1460"/>
      <c r="DL740" s="1460"/>
      <c r="DM740" s="1460"/>
      <c r="DN740" s="1460"/>
      <c r="DO740" s="1460">
        <f t="shared" si="27"/>
        <v>0</v>
      </c>
      <c r="DP740" s="1460"/>
      <c r="DQ740" s="1460"/>
      <c r="DR740" s="1460"/>
      <c r="DS740" s="1460"/>
      <c r="DT740" s="6"/>
      <c r="DU740" s="1459">
        <f t="shared" si="28"/>
        <v>0</v>
      </c>
      <c r="DV740" s="1459"/>
      <c r="DW740" s="1459"/>
      <c r="DX740" s="1459"/>
      <c r="DY740" s="1459"/>
      <c r="DZ740" s="1459">
        <f t="shared" si="29"/>
        <v>0</v>
      </c>
      <c r="EA740" s="1459"/>
      <c r="EB740" s="1459"/>
      <c r="EC740" s="1459"/>
      <c r="ED740" s="1459"/>
      <c r="EE740" s="1459">
        <f t="shared" si="30"/>
        <v>0</v>
      </c>
      <c r="EF740" s="1459"/>
      <c r="EG740" s="1459"/>
      <c r="EH740" s="1459"/>
      <c r="EI740" s="1459"/>
      <c r="EJ740" s="1459">
        <f t="shared" si="31"/>
        <v>0</v>
      </c>
      <c r="EK740" s="1459"/>
      <c r="EL740" s="1459"/>
      <c r="EM740" s="1459"/>
      <c r="EN740" s="1459"/>
      <c r="EO740" s="1459">
        <f t="shared" si="32"/>
        <v>0</v>
      </c>
      <c r="EP740" s="1459"/>
      <c r="EQ740" s="1459"/>
      <c r="ER740" s="1459"/>
      <c r="ES740" s="1459"/>
      <c r="ET740" s="1459">
        <f t="shared" si="33"/>
        <v>0</v>
      </c>
      <c r="EU740" s="1459"/>
      <c r="EV740" s="1459"/>
      <c r="EW740" s="1459"/>
      <c r="EX740" s="1459"/>
      <c r="EZ740" s="1466" t="str">
        <f t="shared" si="34"/>
        <v/>
      </c>
      <c r="FA740" s="1473"/>
      <c r="FB740" s="1473"/>
      <c r="FC740" s="1473"/>
      <c r="FD740" s="1467"/>
      <c r="FE740" s="1466" t="str">
        <f t="shared" si="35"/>
        <v/>
      </c>
      <c r="FF740" s="1473"/>
      <c r="FG740" s="1473"/>
      <c r="FH740" s="1473"/>
      <c r="FI740" s="1467"/>
      <c r="FJ740" s="1466" t="str">
        <f t="shared" si="36"/>
        <v/>
      </c>
      <c r="FK740" s="1473"/>
      <c r="FL740" s="1473"/>
      <c r="FM740" s="1473"/>
      <c r="FN740" s="1467"/>
      <c r="FO740" s="1466" t="str">
        <f t="shared" si="37"/>
        <v/>
      </c>
      <c r="FP740" s="1473"/>
      <c r="FQ740" s="1473"/>
      <c r="FR740" s="1473"/>
      <c r="FS740" s="1467"/>
      <c r="FT740" s="1466" t="str">
        <f t="shared" si="38"/>
        <v/>
      </c>
      <c r="FU740" s="1473"/>
      <c r="FV740" s="1473"/>
      <c r="FW740" s="1473"/>
      <c r="FX740" s="1467"/>
      <c r="FY740" s="1466" t="str">
        <f t="shared" si="39"/>
        <v/>
      </c>
      <c r="FZ740" s="1473"/>
      <c r="GA740" s="1473"/>
      <c r="GB740" s="1473"/>
      <c r="GC740" s="1467"/>
    </row>
    <row r="741" spans="1:185" ht="12.95" customHeight="1">
      <c r="B741" s="1341"/>
      <c r="C741" s="1342"/>
      <c r="D741" s="1342"/>
      <c r="E741" s="1342"/>
      <c r="F741" s="1343"/>
      <c r="G741" s="1338"/>
      <c r="H741" s="1339"/>
      <c r="I741" s="1339"/>
      <c r="J741" s="1340"/>
      <c r="K741" s="1388"/>
      <c r="L741" s="1389"/>
      <c r="M741" s="1389"/>
      <c r="N741" s="1390"/>
      <c r="O741" s="1368"/>
      <c r="P741" s="1369"/>
      <c r="Q741" s="1369"/>
      <c r="R741" s="1369"/>
      <c r="S741" s="1370"/>
      <c r="T741" s="1368"/>
      <c r="U741" s="1369"/>
      <c r="V741" s="1369"/>
      <c r="W741" s="1370"/>
      <c r="X741" s="1365">
        <f t="shared" si="12"/>
        <v>0</v>
      </c>
      <c r="Y741" s="1366"/>
      <c r="Z741" s="1366"/>
      <c r="AA741" s="1366"/>
      <c r="AB741" s="1367"/>
      <c r="AC741" s="1361"/>
      <c r="AD741" s="1362"/>
      <c r="AE741" s="1362"/>
      <c r="AF741" s="1362"/>
      <c r="AG741" s="1363"/>
      <c r="AH741" s="1371" t="str">
        <f t="shared" si="40"/>
        <v/>
      </c>
      <c r="AI741" s="1372"/>
      <c r="AJ741" s="1373"/>
      <c r="AK741" s="1341" t="s">
        <v>591</v>
      </c>
      <c r="AL741" s="1342"/>
      <c r="AM741" s="1342"/>
      <c r="AN741" s="1342"/>
      <c r="AO741" s="1343"/>
      <c r="AP741" s="3"/>
      <c r="AQ741" s="3"/>
      <c r="AR741" s="3"/>
      <c r="AS741" s="3"/>
      <c r="AY741" s="1085"/>
      <c r="AZ741" s="118" t="str">
        <f t="shared" si="13"/>
        <v>N/A</v>
      </c>
      <c r="BA741" s="3"/>
      <c r="BE741" s="204"/>
      <c r="BF741" s="294">
        <f t="shared" si="14"/>
        <v>0</v>
      </c>
      <c r="BG741" s="297">
        <f t="shared" si="15"/>
        <v>0</v>
      </c>
      <c r="BH741" s="298" t="str">
        <f t="shared" si="16"/>
        <v/>
      </c>
      <c r="BK741" s="3"/>
      <c r="BL741" s="3"/>
      <c r="BM741" s="3"/>
      <c r="BN741" s="3"/>
      <c r="BS741" s="294">
        <f t="shared" si="17"/>
        <v>0</v>
      </c>
      <c r="BT741" s="297">
        <f t="shared" si="18"/>
        <v>0</v>
      </c>
      <c r="BU741" s="298" t="str">
        <f t="shared" si="19"/>
        <v/>
      </c>
      <c r="BV741" s="3"/>
      <c r="BW741" s="3"/>
      <c r="BX741" s="3"/>
      <c r="BY741" s="3"/>
      <c r="BZ741" s="3"/>
      <c r="CA741" s="3"/>
      <c r="CB741" s="3"/>
      <c r="CC741" s="3"/>
      <c r="CE741" s="3"/>
      <c r="CF741" s="3"/>
      <c r="CG741" s="1466">
        <f t="shared" si="41"/>
        <v>0</v>
      </c>
      <c r="CH741" s="1467"/>
      <c r="CI741" s="1468">
        <f t="shared" si="42"/>
        <v>0</v>
      </c>
      <c r="CJ741" s="1470"/>
      <c r="CK741" s="1466">
        <f t="shared" si="20"/>
        <v>0</v>
      </c>
      <c r="CL741" s="1467"/>
      <c r="CM741" s="1468">
        <f t="shared" si="21"/>
        <v>0</v>
      </c>
      <c r="CN741" s="1470"/>
      <c r="CO741" s="3"/>
      <c r="CP741" s="1461">
        <f t="shared" si="22"/>
        <v>0</v>
      </c>
      <c r="CQ741" s="1462"/>
      <c r="CR741" s="1462"/>
      <c r="CS741" s="1462"/>
      <c r="CT741" s="1463"/>
      <c r="CU741" s="1460">
        <f t="shared" si="23"/>
        <v>0</v>
      </c>
      <c r="CV741" s="1460"/>
      <c r="CW741" s="1460"/>
      <c r="CX741" s="1460"/>
      <c r="CY741" s="1460"/>
      <c r="CZ741" s="1460">
        <f t="shared" si="24"/>
        <v>0</v>
      </c>
      <c r="DA741" s="1460"/>
      <c r="DB741" s="1460"/>
      <c r="DC741" s="1460"/>
      <c r="DD741" s="1460"/>
      <c r="DE741" s="1460">
        <f t="shared" si="25"/>
        <v>0</v>
      </c>
      <c r="DF741" s="1460"/>
      <c r="DG741" s="1460"/>
      <c r="DH741" s="1460"/>
      <c r="DI741" s="1460"/>
      <c r="DJ741" s="1460">
        <f t="shared" si="26"/>
        <v>0</v>
      </c>
      <c r="DK741" s="1460"/>
      <c r="DL741" s="1460"/>
      <c r="DM741" s="1460"/>
      <c r="DN741" s="1460"/>
      <c r="DO741" s="1460">
        <f t="shared" si="27"/>
        <v>0</v>
      </c>
      <c r="DP741" s="1460"/>
      <c r="DQ741" s="1460"/>
      <c r="DR741" s="1460"/>
      <c r="DS741" s="1460"/>
      <c r="DT741" s="6"/>
      <c r="DU741" s="1459">
        <f t="shared" si="28"/>
        <v>0</v>
      </c>
      <c r="DV741" s="1459"/>
      <c r="DW741" s="1459"/>
      <c r="DX741" s="1459"/>
      <c r="DY741" s="1459"/>
      <c r="DZ741" s="1459">
        <f t="shared" si="29"/>
        <v>0</v>
      </c>
      <c r="EA741" s="1459"/>
      <c r="EB741" s="1459"/>
      <c r="EC741" s="1459"/>
      <c r="ED741" s="1459"/>
      <c r="EE741" s="1459">
        <f t="shared" si="30"/>
        <v>0</v>
      </c>
      <c r="EF741" s="1459"/>
      <c r="EG741" s="1459"/>
      <c r="EH741" s="1459"/>
      <c r="EI741" s="1459"/>
      <c r="EJ741" s="1459">
        <f t="shared" si="31"/>
        <v>0</v>
      </c>
      <c r="EK741" s="1459"/>
      <c r="EL741" s="1459"/>
      <c r="EM741" s="1459"/>
      <c r="EN741" s="1459"/>
      <c r="EO741" s="1459">
        <f t="shared" si="32"/>
        <v>0</v>
      </c>
      <c r="EP741" s="1459"/>
      <c r="EQ741" s="1459"/>
      <c r="ER741" s="1459"/>
      <c r="ES741" s="1459"/>
      <c r="ET741" s="1459">
        <f t="shared" si="33"/>
        <v>0</v>
      </c>
      <c r="EU741" s="1459"/>
      <c r="EV741" s="1459"/>
      <c r="EW741" s="1459"/>
      <c r="EX741" s="1459"/>
      <c r="EZ741" s="1466" t="str">
        <f t="shared" si="34"/>
        <v/>
      </c>
      <c r="FA741" s="1473"/>
      <c r="FB741" s="1473"/>
      <c r="FC741" s="1473"/>
      <c r="FD741" s="1467"/>
      <c r="FE741" s="1466" t="str">
        <f t="shared" si="35"/>
        <v/>
      </c>
      <c r="FF741" s="1473"/>
      <c r="FG741" s="1473"/>
      <c r="FH741" s="1473"/>
      <c r="FI741" s="1467"/>
      <c r="FJ741" s="1466" t="str">
        <f t="shared" si="36"/>
        <v/>
      </c>
      <c r="FK741" s="1473"/>
      <c r="FL741" s="1473"/>
      <c r="FM741" s="1473"/>
      <c r="FN741" s="1467"/>
      <c r="FO741" s="1466" t="str">
        <f t="shared" si="37"/>
        <v/>
      </c>
      <c r="FP741" s="1473"/>
      <c r="FQ741" s="1473"/>
      <c r="FR741" s="1473"/>
      <c r="FS741" s="1467"/>
      <c r="FT741" s="1466" t="str">
        <f t="shared" si="38"/>
        <v/>
      </c>
      <c r="FU741" s="1473"/>
      <c r="FV741" s="1473"/>
      <c r="FW741" s="1473"/>
      <c r="FX741" s="1467"/>
      <c r="FY741" s="1466" t="str">
        <f t="shared" si="39"/>
        <v/>
      </c>
      <c r="FZ741" s="1473"/>
      <c r="GA741" s="1473"/>
      <c r="GB741" s="1473"/>
      <c r="GC741" s="1467"/>
    </row>
    <row r="742" spans="1:185" ht="12.95" customHeight="1">
      <c r="B742" s="1341"/>
      <c r="C742" s="1342"/>
      <c r="D742" s="1342"/>
      <c r="E742" s="1342"/>
      <c r="F742" s="1343"/>
      <c r="G742" s="1338"/>
      <c r="H742" s="1339"/>
      <c r="I742" s="1339"/>
      <c r="J742" s="1340"/>
      <c r="K742" s="1388"/>
      <c r="L742" s="1389"/>
      <c r="M742" s="1389"/>
      <c r="N742" s="1390"/>
      <c r="O742" s="1368"/>
      <c r="P742" s="1369"/>
      <c r="Q742" s="1369"/>
      <c r="R742" s="1369"/>
      <c r="S742" s="1370"/>
      <c r="T742" s="1368"/>
      <c r="U742" s="1369"/>
      <c r="V742" s="1369"/>
      <c r="W742" s="1370"/>
      <c r="X742" s="1365">
        <f t="shared" ref="X742:X751" si="43">O742+T742</f>
        <v>0</v>
      </c>
      <c r="Y742" s="1366"/>
      <c r="Z742" s="1366"/>
      <c r="AA742" s="1366"/>
      <c r="AB742" s="1367"/>
      <c r="AC742" s="1361"/>
      <c r="AD742" s="1362"/>
      <c r="AE742" s="1362"/>
      <c r="AF742" s="1362"/>
      <c r="AG742" s="1363"/>
      <c r="AH742" s="1371" t="str">
        <f t="shared" si="40"/>
        <v/>
      </c>
      <c r="AI742" s="1372"/>
      <c r="AJ742" s="1373"/>
      <c r="AK742" s="1341" t="s">
        <v>591</v>
      </c>
      <c r="AL742" s="1342"/>
      <c r="AM742" s="1342"/>
      <c r="AN742" s="1342"/>
      <c r="AO742" s="1343"/>
      <c r="AP742" s="3"/>
      <c r="AQ742" s="3"/>
      <c r="AR742" s="3"/>
      <c r="AS742" s="3"/>
      <c r="AY742" s="1085"/>
      <c r="AZ742" s="118" t="str">
        <f t="shared" si="13"/>
        <v>N/A</v>
      </c>
      <c r="BA742" s="3"/>
      <c r="BB742" s="3"/>
      <c r="BE742" s="204"/>
      <c r="BF742" s="294">
        <f t="shared" si="14"/>
        <v>0</v>
      </c>
      <c r="BG742" s="297">
        <f t="shared" si="15"/>
        <v>0</v>
      </c>
      <c r="BH742" s="298" t="str">
        <f t="shared" si="16"/>
        <v/>
      </c>
      <c r="BL742" s="3"/>
      <c r="BM742" s="3"/>
      <c r="BN742" s="3"/>
      <c r="BS742" s="294">
        <f t="shared" si="17"/>
        <v>0</v>
      </c>
      <c r="BT742" s="297">
        <f t="shared" si="18"/>
        <v>0</v>
      </c>
      <c r="BU742" s="298" t="str">
        <f t="shared" si="19"/>
        <v/>
      </c>
      <c r="BV742" s="3"/>
      <c r="BW742" s="3"/>
      <c r="BX742" s="3"/>
      <c r="BY742" s="3"/>
      <c r="BZ742" s="3"/>
      <c r="CA742" s="3"/>
      <c r="CB742" s="3"/>
      <c r="CC742" s="3"/>
      <c r="CE742" s="3"/>
      <c r="CF742" s="3"/>
      <c r="CG742" s="1466">
        <f t="shared" si="41"/>
        <v>0</v>
      </c>
      <c r="CH742" s="1467"/>
      <c r="CI742" s="1468">
        <f t="shared" si="42"/>
        <v>0</v>
      </c>
      <c r="CJ742" s="1470"/>
      <c r="CK742" s="1466">
        <f t="shared" si="20"/>
        <v>0</v>
      </c>
      <c r="CL742" s="1467"/>
      <c r="CM742" s="1468">
        <f t="shared" si="21"/>
        <v>0</v>
      </c>
      <c r="CN742" s="1470"/>
      <c r="CO742" s="3"/>
      <c r="CP742" s="1461">
        <f t="shared" si="22"/>
        <v>0</v>
      </c>
      <c r="CQ742" s="1462"/>
      <c r="CR742" s="1462"/>
      <c r="CS742" s="1462"/>
      <c r="CT742" s="1463"/>
      <c r="CU742" s="1460">
        <f t="shared" si="23"/>
        <v>0</v>
      </c>
      <c r="CV742" s="1460"/>
      <c r="CW742" s="1460"/>
      <c r="CX742" s="1460"/>
      <c r="CY742" s="1460"/>
      <c r="CZ742" s="1460">
        <f t="shared" si="24"/>
        <v>0</v>
      </c>
      <c r="DA742" s="1460"/>
      <c r="DB742" s="1460"/>
      <c r="DC742" s="1460"/>
      <c r="DD742" s="1460"/>
      <c r="DE742" s="1460">
        <f t="shared" si="25"/>
        <v>0</v>
      </c>
      <c r="DF742" s="1460"/>
      <c r="DG742" s="1460"/>
      <c r="DH742" s="1460"/>
      <c r="DI742" s="1460"/>
      <c r="DJ742" s="1460">
        <f t="shared" si="26"/>
        <v>0</v>
      </c>
      <c r="DK742" s="1460"/>
      <c r="DL742" s="1460"/>
      <c r="DM742" s="1460"/>
      <c r="DN742" s="1460"/>
      <c r="DO742" s="1460">
        <f t="shared" si="27"/>
        <v>0</v>
      </c>
      <c r="DP742" s="1460"/>
      <c r="DQ742" s="1460"/>
      <c r="DR742" s="1460"/>
      <c r="DS742" s="1460"/>
      <c r="DT742" s="6"/>
      <c r="DU742" s="1459">
        <f t="shared" si="28"/>
        <v>0</v>
      </c>
      <c r="DV742" s="1459"/>
      <c r="DW742" s="1459"/>
      <c r="DX742" s="1459"/>
      <c r="DY742" s="1459"/>
      <c r="DZ742" s="1459">
        <f t="shared" si="29"/>
        <v>0</v>
      </c>
      <c r="EA742" s="1459"/>
      <c r="EB742" s="1459"/>
      <c r="EC742" s="1459"/>
      <c r="ED742" s="1459"/>
      <c r="EE742" s="1459">
        <f t="shared" si="30"/>
        <v>0</v>
      </c>
      <c r="EF742" s="1459"/>
      <c r="EG742" s="1459"/>
      <c r="EH742" s="1459"/>
      <c r="EI742" s="1459"/>
      <c r="EJ742" s="1459">
        <f t="shared" si="31"/>
        <v>0</v>
      </c>
      <c r="EK742" s="1459"/>
      <c r="EL742" s="1459"/>
      <c r="EM742" s="1459"/>
      <c r="EN742" s="1459"/>
      <c r="EO742" s="1459">
        <f t="shared" si="32"/>
        <v>0</v>
      </c>
      <c r="EP742" s="1459"/>
      <c r="EQ742" s="1459"/>
      <c r="ER742" s="1459"/>
      <c r="ES742" s="1459"/>
      <c r="ET742" s="1459">
        <f t="shared" si="33"/>
        <v>0</v>
      </c>
      <c r="EU742" s="1459"/>
      <c r="EV742" s="1459"/>
      <c r="EW742" s="1459"/>
      <c r="EX742" s="1459"/>
      <c r="EZ742" s="1466" t="str">
        <f t="shared" si="34"/>
        <v/>
      </c>
      <c r="FA742" s="1473"/>
      <c r="FB742" s="1473"/>
      <c r="FC742" s="1473"/>
      <c r="FD742" s="1467"/>
      <c r="FE742" s="1466" t="str">
        <f t="shared" si="35"/>
        <v/>
      </c>
      <c r="FF742" s="1473"/>
      <c r="FG742" s="1473"/>
      <c r="FH742" s="1473"/>
      <c r="FI742" s="1467"/>
      <c r="FJ742" s="1466" t="str">
        <f t="shared" si="36"/>
        <v/>
      </c>
      <c r="FK742" s="1473"/>
      <c r="FL742" s="1473"/>
      <c r="FM742" s="1473"/>
      <c r="FN742" s="1467"/>
      <c r="FO742" s="1466" t="str">
        <f t="shared" si="37"/>
        <v/>
      </c>
      <c r="FP742" s="1473"/>
      <c r="FQ742" s="1473"/>
      <c r="FR742" s="1473"/>
      <c r="FS742" s="1467"/>
      <c r="FT742" s="1466" t="str">
        <f t="shared" si="38"/>
        <v/>
      </c>
      <c r="FU742" s="1473"/>
      <c r="FV742" s="1473"/>
      <c r="FW742" s="1473"/>
      <c r="FX742" s="1467"/>
      <c r="FY742" s="1466" t="str">
        <f t="shared" si="39"/>
        <v/>
      </c>
      <c r="FZ742" s="1473"/>
      <c r="GA742" s="1473"/>
      <c r="GB742" s="1473"/>
      <c r="GC742" s="1467"/>
    </row>
    <row r="743" spans="1:185" s="3" customFormat="1" ht="12.95" customHeight="1">
      <c r="A743"/>
      <c r="B743" s="1341"/>
      <c r="C743" s="1342"/>
      <c r="D743" s="1342"/>
      <c r="E743" s="1342"/>
      <c r="F743" s="1343"/>
      <c r="G743" s="1338"/>
      <c r="H743" s="1339"/>
      <c r="I743" s="1339"/>
      <c r="J743" s="1340"/>
      <c r="K743" s="1388"/>
      <c r="L743" s="1389"/>
      <c r="M743" s="1389"/>
      <c r="N743" s="1390"/>
      <c r="O743" s="1368"/>
      <c r="P743" s="1369"/>
      <c r="Q743" s="1369"/>
      <c r="R743" s="1369"/>
      <c r="S743" s="1370"/>
      <c r="T743" s="1368"/>
      <c r="U743" s="1369"/>
      <c r="V743" s="1369"/>
      <c r="W743" s="1370"/>
      <c r="X743" s="1365">
        <f t="shared" si="43"/>
        <v>0</v>
      </c>
      <c r="Y743" s="1366"/>
      <c r="Z743" s="1366"/>
      <c r="AA743" s="1366"/>
      <c r="AB743" s="1367"/>
      <c r="AC743" s="1361"/>
      <c r="AD743" s="1362"/>
      <c r="AE743" s="1362"/>
      <c r="AF743" s="1362"/>
      <c r="AG743" s="1363"/>
      <c r="AH743" s="1371" t="str">
        <f t="shared" si="40"/>
        <v/>
      </c>
      <c r="AI743" s="1372"/>
      <c r="AJ743" s="1373"/>
      <c r="AK743" s="1341" t="s">
        <v>591</v>
      </c>
      <c r="AL743" s="1342"/>
      <c r="AM743" s="1342"/>
      <c r="AN743" s="1342"/>
      <c r="AO743" s="1343"/>
      <c r="AT743"/>
      <c r="AU743"/>
      <c r="AV743"/>
      <c r="AW743"/>
      <c r="AX743"/>
      <c r="AY743" s="1085"/>
      <c r="AZ743" s="118" t="str">
        <f t="shared" si="13"/>
        <v>N/A</v>
      </c>
      <c r="BD743"/>
      <c r="BE743"/>
      <c r="BF743" s="294">
        <f t="shared" si="14"/>
        <v>0</v>
      </c>
      <c r="BG743" s="297">
        <f t="shared" si="15"/>
        <v>0</v>
      </c>
      <c r="BH743" s="298" t="str">
        <f t="shared" si="16"/>
        <v/>
      </c>
      <c r="BI743"/>
      <c r="BJ743"/>
      <c r="BK743"/>
      <c r="BL743"/>
      <c r="BM743"/>
      <c r="BN743"/>
      <c r="BO743"/>
      <c r="BP743"/>
      <c r="BQ743"/>
      <c r="BR743"/>
      <c r="BS743" s="294">
        <f t="shared" si="17"/>
        <v>0</v>
      </c>
      <c r="BT743" s="297">
        <f t="shared" si="18"/>
        <v>0</v>
      </c>
      <c r="BU743" s="298" t="str">
        <f t="shared" si="19"/>
        <v/>
      </c>
      <c r="CD743"/>
      <c r="CG743" s="1466">
        <f t="shared" si="41"/>
        <v>0</v>
      </c>
      <c r="CH743" s="1467"/>
      <c r="CI743" s="1468">
        <f t="shared" si="42"/>
        <v>0</v>
      </c>
      <c r="CJ743" s="1470"/>
      <c r="CK743" s="1466">
        <f t="shared" si="20"/>
        <v>0</v>
      </c>
      <c r="CL743" s="1467"/>
      <c r="CM743" s="1468">
        <f t="shared" si="21"/>
        <v>0</v>
      </c>
      <c r="CN743" s="1470"/>
      <c r="CP743" s="1461">
        <f t="shared" si="22"/>
        <v>0</v>
      </c>
      <c r="CQ743" s="1462"/>
      <c r="CR743" s="1462"/>
      <c r="CS743" s="1462"/>
      <c r="CT743" s="1463"/>
      <c r="CU743" s="1460">
        <f t="shared" si="23"/>
        <v>0</v>
      </c>
      <c r="CV743" s="1460"/>
      <c r="CW743" s="1460"/>
      <c r="CX743" s="1460"/>
      <c r="CY743" s="1460"/>
      <c r="CZ743" s="1460">
        <f t="shared" si="24"/>
        <v>0</v>
      </c>
      <c r="DA743" s="1460"/>
      <c r="DB743" s="1460"/>
      <c r="DC743" s="1460"/>
      <c r="DD743" s="1460"/>
      <c r="DE743" s="1460">
        <f t="shared" si="25"/>
        <v>0</v>
      </c>
      <c r="DF743" s="1460"/>
      <c r="DG743" s="1460"/>
      <c r="DH743" s="1460"/>
      <c r="DI743" s="1460"/>
      <c r="DJ743" s="1460">
        <f t="shared" si="26"/>
        <v>0</v>
      </c>
      <c r="DK743" s="1460"/>
      <c r="DL743" s="1460"/>
      <c r="DM743" s="1460"/>
      <c r="DN743" s="1460"/>
      <c r="DO743" s="1460">
        <f t="shared" si="27"/>
        <v>0</v>
      </c>
      <c r="DP743" s="1460"/>
      <c r="DQ743" s="1460"/>
      <c r="DR743" s="1460"/>
      <c r="DS743" s="1460"/>
      <c r="DT743" s="6"/>
      <c r="DU743" s="1459">
        <f t="shared" si="28"/>
        <v>0</v>
      </c>
      <c r="DV743" s="1459"/>
      <c r="DW743" s="1459"/>
      <c r="DX743" s="1459"/>
      <c r="DY743" s="1459"/>
      <c r="DZ743" s="1459">
        <f t="shared" si="29"/>
        <v>0</v>
      </c>
      <c r="EA743" s="1459"/>
      <c r="EB743" s="1459"/>
      <c r="EC743" s="1459"/>
      <c r="ED743" s="1459"/>
      <c r="EE743" s="1459">
        <f t="shared" si="30"/>
        <v>0</v>
      </c>
      <c r="EF743" s="1459"/>
      <c r="EG743" s="1459"/>
      <c r="EH743" s="1459"/>
      <c r="EI743" s="1459"/>
      <c r="EJ743" s="1459">
        <f t="shared" si="31"/>
        <v>0</v>
      </c>
      <c r="EK743" s="1459"/>
      <c r="EL743" s="1459"/>
      <c r="EM743" s="1459"/>
      <c r="EN743" s="1459"/>
      <c r="EO743" s="1459">
        <f t="shared" si="32"/>
        <v>0</v>
      </c>
      <c r="EP743" s="1459"/>
      <c r="EQ743" s="1459"/>
      <c r="ER743" s="1459"/>
      <c r="ES743" s="1459"/>
      <c r="ET743" s="1459">
        <f t="shared" si="33"/>
        <v>0</v>
      </c>
      <c r="EU743" s="1459"/>
      <c r="EV743" s="1459"/>
      <c r="EW743" s="1459"/>
      <c r="EX743" s="1459"/>
      <c r="EY743"/>
      <c r="EZ743" s="1466" t="str">
        <f t="shared" si="34"/>
        <v/>
      </c>
      <c r="FA743" s="1473"/>
      <c r="FB743" s="1473"/>
      <c r="FC743" s="1473"/>
      <c r="FD743" s="1467"/>
      <c r="FE743" s="1466" t="str">
        <f t="shared" si="35"/>
        <v/>
      </c>
      <c r="FF743" s="1473"/>
      <c r="FG743" s="1473"/>
      <c r="FH743" s="1473"/>
      <c r="FI743" s="1467"/>
      <c r="FJ743" s="1466" t="str">
        <f t="shared" si="36"/>
        <v/>
      </c>
      <c r="FK743" s="1473"/>
      <c r="FL743" s="1473"/>
      <c r="FM743" s="1473"/>
      <c r="FN743" s="1467"/>
      <c r="FO743" s="1466" t="str">
        <f t="shared" si="37"/>
        <v/>
      </c>
      <c r="FP743" s="1473"/>
      <c r="FQ743" s="1473"/>
      <c r="FR743" s="1473"/>
      <c r="FS743" s="1467"/>
      <c r="FT743" s="1466" t="str">
        <f t="shared" si="38"/>
        <v/>
      </c>
      <c r="FU743" s="1473"/>
      <c r="FV743" s="1473"/>
      <c r="FW743" s="1473"/>
      <c r="FX743" s="1467"/>
      <c r="FY743" s="1466" t="str">
        <f t="shared" si="39"/>
        <v/>
      </c>
      <c r="FZ743" s="1473"/>
      <c r="GA743" s="1473"/>
      <c r="GB743" s="1473"/>
      <c r="GC743" s="1467"/>
    </row>
    <row r="744" spans="1:185" ht="12.95" customHeight="1">
      <c r="B744" s="1341"/>
      <c r="C744" s="1342"/>
      <c r="D744" s="1342"/>
      <c r="E744" s="1342"/>
      <c r="F744" s="1343"/>
      <c r="G744" s="1338"/>
      <c r="H744" s="1339"/>
      <c r="I744" s="1339"/>
      <c r="J744" s="1340"/>
      <c r="K744" s="1388"/>
      <c r="L744" s="1389"/>
      <c r="M744" s="1389"/>
      <c r="N744" s="1390"/>
      <c r="O744" s="1368"/>
      <c r="P744" s="1369"/>
      <c r="Q744" s="1369"/>
      <c r="R744" s="1369"/>
      <c r="S744" s="1370"/>
      <c r="T744" s="1368"/>
      <c r="U744" s="1369"/>
      <c r="V744" s="1369"/>
      <c r="W744" s="1370"/>
      <c r="X744" s="1365">
        <f t="shared" si="43"/>
        <v>0</v>
      </c>
      <c r="Y744" s="1366"/>
      <c r="Z744" s="1366"/>
      <c r="AA744" s="1366"/>
      <c r="AB744" s="1367"/>
      <c r="AC744" s="1361"/>
      <c r="AD744" s="1362"/>
      <c r="AE744" s="1362"/>
      <c r="AF744" s="1362"/>
      <c r="AG744" s="1363"/>
      <c r="AH744" s="1371" t="str">
        <f t="shared" si="40"/>
        <v/>
      </c>
      <c r="AI744" s="1372"/>
      <c r="AJ744" s="1373"/>
      <c r="AK744" s="1341" t="s">
        <v>591</v>
      </c>
      <c r="AL744" s="1342"/>
      <c r="AM744" s="1342"/>
      <c r="AN744" s="1342"/>
      <c r="AO744" s="1343"/>
      <c r="AP744" s="3"/>
      <c r="AQ744" s="3"/>
      <c r="AR744" s="3"/>
      <c r="AS744" s="3"/>
      <c r="AY744" s="1085"/>
      <c r="AZ744" s="118" t="str">
        <f t="shared" si="13"/>
        <v>N/A</v>
      </c>
      <c r="BA744" s="3"/>
      <c r="BB744" s="3"/>
      <c r="BC744" s="3"/>
      <c r="BD744" s="3"/>
      <c r="BE744" s="3"/>
      <c r="BF744" s="294">
        <f t="shared" si="14"/>
        <v>0</v>
      </c>
      <c r="BG744" s="297">
        <f t="shared" si="15"/>
        <v>0</v>
      </c>
      <c r="BH744" s="298" t="str">
        <f t="shared" si="16"/>
        <v/>
      </c>
      <c r="BI744" s="3"/>
      <c r="BJ744" s="3"/>
      <c r="BK744" s="3"/>
      <c r="BL744" s="3"/>
      <c r="BM744" s="3"/>
      <c r="BN744" s="3"/>
      <c r="BS744" s="294">
        <f t="shared" si="17"/>
        <v>0</v>
      </c>
      <c r="BT744" s="297">
        <f t="shared" si="18"/>
        <v>0</v>
      </c>
      <c r="BU744" s="298" t="str">
        <f t="shared" si="19"/>
        <v/>
      </c>
      <c r="BV744" s="3"/>
      <c r="BW744" s="3"/>
      <c r="BX744" s="3"/>
      <c r="BY744" s="3"/>
      <c r="BZ744" s="3"/>
      <c r="CA744" s="3"/>
      <c r="CB744" s="3"/>
      <c r="CC744" s="3"/>
      <c r="CE744" s="3"/>
      <c r="CF744" s="3"/>
      <c r="CG744" s="1466">
        <f t="shared" si="41"/>
        <v>0</v>
      </c>
      <c r="CH744" s="1467"/>
      <c r="CI744" s="1468">
        <f t="shared" si="42"/>
        <v>0</v>
      </c>
      <c r="CJ744" s="1470"/>
      <c r="CK744" s="1466">
        <f t="shared" si="20"/>
        <v>0</v>
      </c>
      <c r="CL744" s="1467"/>
      <c r="CM744" s="1468">
        <f t="shared" si="21"/>
        <v>0</v>
      </c>
      <c r="CN744" s="1470"/>
      <c r="CO744" s="3"/>
      <c r="CP744" s="1461">
        <f t="shared" si="22"/>
        <v>0</v>
      </c>
      <c r="CQ744" s="1462"/>
      <c r="CR744" s="1462"/>
      <c r="CS744" s="1462"/>
      <c r="CT744" s="1463"/>
      <c r="CU744" s="1460">
        <f t="shared" si="23"/>
        <v>0</v>
      </c>
      <c r="CV744" s="1460"/>
      <c r="CW744" s="1460"/>
      <c r="CX744" s="1460"/>
      <c r="CY744" s="1460"/>
      <c r="CZ744" s="1460">
        <f t="shared" si="24"/>
        <v>0</v>
      </c>
      <c r="DA744" s="1460"/>
      <c r="DB744" s="1460"/>
      <c r="DC744" s="1460"/>
      <c r="DD744" s="1460"/>
      <c r="DE744" s="1460">
        <f t="shared" si="25"/>
        <v>0</v>
      </c>
      <c r="DF744" s="1460"/>
      <c r="DG744" s="1460"/>
      <c r="DH744" s="1460"/>
      <c r="DI744" s="1460"/>
      <c r="DJ744" s="1460">
        <f t="shared" si="26"/>
        <v>0</v>
      </c>
      <c r="DK744" s="1460"/>
      <c r="DL744" s="1460"/>
      <c r="DM744" s="1460"/>
      <c r="DN744" s="1460"/>
      <c r="DO744" s="1460">
        <f t="shared" si="27"/>
        <v>0</v>
      </c>
      <c r="DP744" s="1460"/>
      <c r="DQ744" s="1460"/>
      <c r="DR744" s="1460"/>
      <c r="DS744" s="1460"/>
      <c r="DT744" s="6"/>
      <c r="DU744" s="1459">
        <f t="shared" si="28"/>
        <v>0</v>
      </c>
      <c r="DV744" s="1459"/>
      <c r="DW744" s="1459"/>
      <c r="DX744" s="1459"/>
      <c r="DY744" s="1459"/>
      <c r="DZ744" s="1459">
        <f t="shared" si="29"/>
        <v>0</v>
      </c>
      <c r="EA744" s="1459"/>
      <c r="EB744" s="1459"/>
      <c r="EC744" s="1459"/>
      <c r="ED744" s="1459"/>
      <c r="EE744" s="1459">
        <f t="shared" si="30"/>
        <v>0</v>
      </c>
      <c r="EF744" s="1459"/>
      <c r="EG744" s="1459"/>
      <c r="EH744" s="1459"/>
      <c r="EI744" s="1459"/>
      <c r="EJ744" s="1459">
        <f t="shared" si="31"/>
        <v>0</v>
      </c>
      <c r="EK744" s="1459"/>
      <c r="EL744" s="1459"/>
      <c r="EM744" s="1459"/>
      <c r="EN744" s="1459"/>
      <c r="EO744" s="1459">
        <f t="shared" si="32"/>
        <v>0</v>
      </c>
      <c r="EP744" s="1459"/>
      <c r="EQ744" s="1459"/>
      <c r="ER744" s="1459"/>
      <c r="ES744" s="1459"/>
      <c r="ET744" s="1459">
        <f t="shared" si="33"/>
        <v>0</v>
      </c>
      <c r="EU744" s="1459"/>
      <c r="EV744" s="1459"/>
      <c r="EW744" s="1459"/>
      <c r="EX744" s="1459"/>
      <c r="EZ744" s="1466" t="str">
        <f t="shared" si="34"/>
        <v/>
      </c>
      <c r="FA744" s="1473"/>
      <c r="FB744" s="1473"/>
      <c r="FC744" s="1473"/>
      <c r="FD744" s="1467"/>
      <c r="FE744" s="1466" t="str">
        <f t="shared" si="35"/>
        <v/>
      </c>
      <c r="FF744" s="1473"/>
      <c r="FG744" s="1473"/>
      <c r="FH744" s="1473"/>
      <c r="FI744" s="1467"/>
      <c r="FJ744" s="1466" t="str">
        <f t="shared" si="36"/>
        <v/>
      </c>
      <c r="FK744" s="1473"/>
      <c r="FL744" s="1473"/>
      <c r="FM744" s="1473"/>
      <c r="FN744" s="1467"/>
      <c r="FO744" s="1466" t="str">
        <f t="shared" si="37"/>
        <v/>
      </c>
      <c r="FP744" s="1473"/>
      <c r="FQ744" s="1473"/>
      <c r="FR744" s="1473"/>
      <c r="FS744" s="1467"/>
      <c r="FT744" s="1466" t="str">
        <f t="shared" si="38"/>
        <v/>
      </c>
      <c r="FU744" s="1473"/>
      <c r="FV744" s="1473"/>
      <c r="FW744" s="1473"/>
      <c r="FX744" s="1467"/>
      <c r="FY744" s="1466" t="str">
        <f t="shared" si="39"/>
        <v/>
      </c>
      <c r="FZ744" s="1473"/>
      <c r="GA744" s="1473"/>
      <c r="GB744" s="1473"/>
      <c r="GC744" s="1467"/>
    </row>
    <row r="745" spans="1:185" ht="12.95" customHeight="1">
      <c r="B745" s="1341"/>
      <c r="C745" s="1342"/>
      <c r="D745" s="1342"/>
      <c r="E745" s="1342"/>
      <c r="F745" s="1343"/>
      <c r="G745" s="1338"/>
      <c r="H745" s="1339"/>
      <c r="I745" s="1339"/>
      <c r="J745" s="1340"/>
      <c r="K745" s="1388"/>
      <c r="L745" s="1389"/>
      <c r="M745" s="1389"/>
      <c r="N745" s="1390"/>
      <c r="O745" s="1368"/>
      <c r="P745" s="1369"/>
      <c r="Q745" s="1369"/>
      <c r="R745" s="1369"/>
      <c r="S745" s="1370"/>
      <c r="T745" s="1368"/>
      <c r="U745" s="1369"/>
      <c r="V745" s="1369"/>
      <c r="W745" s="1370"/>
      <c r="X745" s="1365">
        <f t="shared" si="43"/>
        <v>0</v>
      </c>
      <c r="Y745" s="1366"/>
      <c r="Z745" s="1366"/>
      <c r="AA745" s="1366"/>
      <c r="AB745" s="1367"/>
      <c r="AC745" s="1361"/>
      <c r="AD745" s="1362"/>
      <c r="AE745" s="1362"/>
      <c r="AF745" s="1362"/>
      <c r="AG745" s="1363"/>
      <c r="AH745" s="1371" t="str">
        <f t="shared" si="40"/>
        <v/>
      </c>
      <c r="AI745" s="1372"/>
      <c r="AJ745" s="1373"/>
      <c r="AK745" s="1341" t="s">
        <v>591</v>
      </c>
      <c r="AL745" s="1342"/>
      <c r="AM745" s="1342"/>
      <c r="AN745" s="1342"/>
      <c r="AO745" s="1343"/>
      <c r="AP745" s="3"/>
      <c r="AQ745" s="3"/>
      <c r="AR745" s="3"/>
      <c r="AS745" s="3"/>
      <c r="AY745" s="1085"/>
      <c r="AZ745" s="118" t="str">
        <f t="shared" si="13"/>
        <v>N/A</v>
      </c>
      <c r="BA745" s="3"/>
      <c r="BB745" s="3"/>
      <c r="BC745" s="3"/>
      <c r="BD745" s="3"/>
      <c r="BE745" s="3"/>
      <c r="BF745" s="294">
        <f t="shared" si="14"/>
        <v>0</v>
      </c>
      <c r="BG745" s="297">
        <f t="shared" si="15"/>
        <v>0</v>
      </c>
      <c r="BH745" s="298" t="str">
        <f t="shared" si="16"/>
        <v/>
      </c>
      <c r="BI745" s="3"/>
      <c r="BJ745" s="3"/>
      <c r="BK745" s="3"/>
      <c r="BL745" s="3"/>
      <c r="BM745" s="3"/>
      <c r="BN745" s="3"/>
      <c r="BS745" s="294">
        <f t="shared" si="17"/>
        <v>0</v>
      </c>
      <c r="BT745" s="297">
        <f t="shared" si="18"/>
        <v>0</v>
      </c>
      <c r="BU745" s="298" t="str">
        <f t="shared" si="19"/>
        <v/>
      </c>
      <c r="BV745" s="3"/>
      <c r="BW745" s="3"/>
      <c r="BX745" s="3"/>
      <c r="BY745" s="3"/>
      <c r="BZ745" s="3"/>
      <c r="CA745" s="3"/>
      <c r="CB745" s="3"/>
      <c r="CC745" s="3"/>
      <c r="CE745" s="3"/>
      <c r="CF745" s="3"/>
      <c r="CG745" s="1466">
        <f t="shared" si="41"/>
        <v>0</v>
      </c>
      <c r="CH745" s="1467"/>
      <c r="CI745" s="1468">
        <f t="shared" si="42"/>
        <v>0</v>
      </c>
      <c r="CJ745" s="1470"/>
      <c r="CK745" s="1466">
        <f t="shared" si="20"/>
        <v>0</v>
      </c>
      <c r="CL745" s="1467"/>
      <c r="CM745" s="1468">
        <f t="shared" si="21"/>
        <v>0</v>
      </c>
      <c r="CN745" s="1470"/>
      <c r="CO745" s="3"/>
      <c r="CP745" s="1461">
        <f t="shared" si="22"/>
        <v>0</v>
      </c>
      <c r="CQ745" s="1462"/>
      <c r="CR745" s="1462"/>
      <c r="CS745" s="1462"/>
      <c r="CT745" s="1463"/>
      <c r="CU745" s="1460">
        <f t="shared" si="23"/>
        <v>0</v>
      </c>
      <c r="CV745" s="1460"/>
      <c r="CW745" s="1460"/>
      <c r="CX745" s="1460"/>
      <c r="CY745" s="1460"/>
      <c r="CZ745" s="1460">
        <f t="shared" si="24"/>
        <v>0</v>
      </c>
      <c r="DA745" s="1460"/>
      <c r="DB745" s="1460"/>
      <c r="DC745" s="1460"/>
      <c r="DD745" s="1460"/>
      <c r="DE745" s="1460">
        <f t="shared" si="25"/>
        <v>0</v>
      </c>
      <c r="DF745" s="1460"/>
      <c r="DG745" s="1460"/>
      <c r="DH745" s="1460"/>
      <c r="DI745" s="1460"/>
      <c r="DJ745" s="1460">
        <f t="shared" si="26"/>
        <v>0</v>
      </c>
      <c r="DK745" s="1460"/>
      <c r="DL745" s="1460"/>
      <c r="DM745" s="1460"/>
      <c r="DN745" s="1460"/>
      <c r="DO745" s="1460">
        <f t="shared" si="27"/>
        <v>0</v>
      </c>
      <c r="DP745" s="1460"/>
      <c r="DQ745" s="1460"/>
      <c r="DR745" s="1460"/>
      <c r="DS745" s="1460"/>
      <c r="DT745" s="6"/>
      <c r="DU745" s="1459">
        <f t="shared" si="28"/>
        <v>0</v>
      </c>
      <c r="DV745" s="1459"/>
      <c r="DW745" s="1459"/>
      <c r="DX745" s="1459"/>
      <c r="DY745" s="1459"/>
      <c r="DZ745" s="1459">
        <f t="shared" si="29"/>
        <v>0</v>
      </c>
      <c r="EA745" s="1459"/>
      <c r="EB745" s="1459"/>
      <c r="EC745" s="1459"/>
      <c r="ED745" s="1459"/>
      <c r="EE745" s="1459">
        <f t="shared" si="30"/>
        <v>0</v>
      </c>
      <c r="EF745" s="1459"/>
      <c r="EG745" s="1459"/>
      <c r="EH745" s="1459"/>
      <c r="EI745" s="1459"/>
      <c r="EJ745" s="1459">
        <f t="shared" si="31"/>
        <v>0</v>
      </c>
      <c r="EK745" s="1459"/>
      <c r="EL745" s="1459"/>
      <c r="EM745" s="1459"/>
      <c r="EN745" s="1459"/>
      <c r="EO745" s="1459">
        <f t="shared" si="32"/>
        <v>0</v>
      </c>
      <c r="EP745" s="1459"/>
      <c r="EQ745" s="1459"/>
      <c r="ER745" s="1459"/>
      <c r="ES745" s="1459"/>
      <c r="ET745" s="1459">
        <f t="shared" si="33"/>
        <v>0</v>
      </c>
      <c r="EU745" s="1459"/>
      <c r="EV745" s="1459"/>
      <c r="EW745" s="1459"/>
      <c r="EX745" s="1459"/>
      <c r="EZ745" s="1466" t="str">
        <f t="shared" si="34"/>
        <v/>
      </c>
      <c r="FA745" s="1473"/>
      <c r="FB745" s="1473"/>
      <c r="FC745" s="1473"/>
      <c r="FD745" s="1467"/>
      <c r="FE745" s="1466" t="str">
        <f t="shared" si="35"/>
        <v/>
      </c>
      <c r="FF745" s="1473"/>
      <c r="FG745" s="1473"/>
      <c r="FH745" s="1473"/>
      <c r="FI745" s="1467"/>
      <c r="FJ745" s="1466" t="str">
        <f t="shared" si="36"/>
        <v/>
      </c>
      <c r="FK745" s="1473"/>
      <c r="FL745" s="1473"/>
      <c r="FM745" s="1473"/>
      <c r="FN745" s="1467"/>
      <c r="FO745" s="1466" t="str">
        <f t="shared" si="37"/>
        <v/>
      </c>
      <c r="FP745" s="1473"/>
      <c r="FQ745" s="1473"/>
      <c r="FR745" s="1473"/>
      <c r="FS745" s="1467"/>
      <c r="FT745" s="1466" t="str">
        <f t="shared" si="38"/>
        <v/>
      </c>
      <c r="FU745" s="1473"/>
      <c r="FV745" s="1473"/>
      <c r="FW745" s="1473"/>
      <c r="FX745" s="1467"/>
      <c r="FY745" s="1466" t="str">
        <f t="shared" si="39"/>
        <v/>
      </c>
      <c r="FZ745" s="1473"/>
      <c r="GA745" s="1473"/>
      <c r="GB745" s="1473"/>
      <c r="GC745" s="1467"/>
    </row>
    <row r="746" spans="1:185" ht="12.95" customHeight="1">
      <c r="B746" s="1341"/>
      <c r="C746" s="1342"/>
      <c r="D746" s="1342"/>
      <c r="E746" s="1342"/>
      <c r="F746" s="1343"/>
      <c r="G746" s="1338"/>
      <c r="H746" s="1339"/>
      <c r="I746" s="1339"/>
      <c r="J746" s="1340"/>
      <c r="K746" s="1388"/>
      <c r="L746" s="1389"/>
      <c r="M746" s="1389"/>
      <c r="N746" s="1390"/>
      <c r="O746" s="1368"/>
      <c r="P746" s="1369"/>
      <c r="Q746" s="1369"/>
      <c r="R746" s="1369"/>
      <c r="S746" s="1370"/>
      <c r="T746" s="1368"/>
      <c r="U746" s="1369"/>
      <c r="V746" s="1369"/>
      <c r="W746" s="1370"/>
      <c r="X746" s="1365">
        <f t="shared" si="43"/>
        <v>0</v>
      </c>
      <c r="Y746" s="1366"/>
      <c r="Z746" s="1366"/>
      <c r="AA746" s="1366"/>
      <c r="AB746" s="1367"/>
      <c r="AC746" s="1361"/>
      <c r="AD746" s="1362"/>
      <c r="AE746" s="1362"/>
      <c r="AF746" s="1362"/>
      <c r="AG746" s="1363"/>
      <c r="AH746" s="1371" t="str">
        <f t="shared" si="40"/>
        <v/>
      </c>
      <c r="AI746" s="1372"/>
      <c r="AJ746" s="1373"/>
      <c r="AK746" s="1341" t="s">
        <v>591</v>
      </c>
      <c r="AL746" s="1342"/>
      <c r="AM746" s="1342"/>
      <c r="AN746" s="1342"/>
      <c r="AO746" s="1343"/>
      <c r="AP746" s="3"/>
      <c r="AQ746" s="3"/>
      <c r="AR746" s="3"/>
      <c r="AS746" s="3"/>
      <c r="AY746" s="1085"/>
      <c r="AZ746" s="118" t="str">
        <f t="shared" si="13"/>
        <v>N/A</v>
      </c>
      <c r="BA746" s="34"/>
      <c r="BB746" s="34"/>
      <c r="BC746" s="34"/>
      <c r="BD746" s="34"/>
      <c r="BE746" s="34"/>
      <c r="BF746" s="294">
        <f t="shared" si="14"/>
        <v>0</v>
      </c>
      <c r="BG746" s="297">
        <f t="shared" si="15"/>
        <v>0</v>
      </c>
      <c r="BH746" s="298" t="str">
        <f t="shared" si="16"/>
        <v/>
      </c>
      <c r="BI746" s="34"/>
      <c r="BJ746" s="34"/>
      <c r="BK746" s="34"/>
      <c r="BL746" s="34"/>
      <c r="BM746" s="34"/>
      <c r="BN746" s="34"/>
      <c r="BS746" s="294">
        <f t="shared" si="17"/>
        <v>0</v>
      </c>
      <c r="BT746" s="297">
        <f t="shared" si="18"/>
        <v>0</v>
      </c>
      <c r="BU746" s="298" t="str">
        <f t="shared" si="19"/>
        <v/>
      </c>
      <c r="BV746" s="3"/>
      <c r="BW746" s="3"/>
      <c r="BX746" s="3"/>
      <c r="BY746" s="3"/>
      <c r="BZ746" s="3"/>
      <c r="CA746" s="3"/>
      <c r="CB746" s="3"/>
      <c r="CC746" s="3"/>
      <c r="CE746" s="3"/>
      <c r="CF746" s="3"/>
      <c r="CG746" s="1466">
        <f t="shared" si="41"/>
        <v>0</v>
      </c>
      <c r="CH746" s="1467"/>
      <c r="CI746" s="1468">
        <f t="shared" si="42"/>
        <v>0</v>
      </c>
      <c r="CJ746" s="1470"/>
      <c r="CK746" s="1466">
        <f t="shared" si="20"/>
        <v>0</v>
      </c>
      <c r="CL746" s="1467"/>
      <c r="CM746" s="1468">
        <f t="shared" si="21"/>
        <v>0</v>
      </c>
      <c r="CN746" s="1470"/>
      <c r="CO746" s="3"/>
      <c r="CP746" s="1461">
        <f t="shared" si="22"/>
        <v>0</v>
      </c>
      <c r="CQ746" s="1462"/>
      <c r="CR746" s="1462"/>
      <c r="CS746" s="1462"/>
      <c r="CT746" s="1463"/>
      <c r="CU746" s="1460">
        <f t="shared" si="23"/>
        <v>0</v>
      </c>
      <c r="CV746" s="1460"/>
      <c r="CW746" s="1460"/>
      <c r="CX746" s="1460"/>
      <c r="CY746" s="1460"/>
      <c r="CZ746" s="1460">
        <f t="shared" si="24"/>
        <v>0</v>
      </c>
      <c r="DA746" s="1460"/>
      <c r="DB746" s="1460"/>
      <c r="DC746" s="1460"/>
      <c r="DD746" s="1460"/>
      <c r="DE746" s="1460">
        <f t="shared" si="25"/>
        <v>0</v>
      </c>
      <c r="DF746" s="1460"/>
      <c r="DG746" s="1460"/>
      <c r="DH746" s="1460"/>
      <c r="DI746" s="1460"/>
      <c r="DJ746" s="1460">
        <f t="shared" si="26"/>
        <v>0</v>
      </c>
      <c r="DK746" s="1460"/>
      <c r="DL746" s="1460"/>
      <c r="DM746" s="1460"/>
      <c r="DN746" s="1460"/>
      <c r="DO746" s="1460">
        <f t="shared" si="27"/>
        <v>0</v>
      </c>
      <c r="DP746" s="1460"/>
      <c r="DQ746" s="1460"/>
      <c r="DR746" s="1460"/>
      <c r="DS746" s="1460"/>
      <c r="DT746" s="6"/>
      <c r="DU746" s="1459">
        <f t="shared" si="28"/>
        <v>0</v>
      </c>
      <c r="DV746" s="1459"/>
      <c r="DW746" s="1459"/>
      <c r="DX746" s="1459"/>
      <c r="DY746" s="1459"/>
      <c r="DZ746" s="1459">
        <f t="shared" si="29"/>
        <v>0</v>
      </c>
      <c r="EA746" s="1459"/>
      <c r="EB746" s="1459"/>
      <c r="EC746" s="1459"/>
      <c r="ED746" s="1459"/>
      <c r="EE746" s="1459">
        <f t="shared" si="30"/>
        <v>0</v>
      </c>
      <c r="EF746" s="1459"/>
      <c r="EG746" s="1459"/>
      <c r="EH746" s="1459"/>
      <c r="EI746" s="1459"/>
      <c r="EJ746" s="1459">
        <f t="shared" si="31"/>
        <v>0</v>
      </c>
      <c r="EK746" s="1459"/>
      <c r="EL746" s="1459"/>
      <c r="EM746" s="1459"/>
      <c r="EN746" s="1459"/>
      <c r="EO746" s="1459">
        <f t="shared" si="32"/>
        <v>0</v>
      </c>
      <c r="EP746" s="1459"/>
      <c r="EQ746" s="1459"/>
      <c r="ER746" s="1459"/>
      <c r="ES746" s="1459"/>
      <c r="ET746" s="1459">
        <f t="shared" si="33"/>
        <v>0</v>
      </c>
      <c r="EU746" s="1459"/>
      <c r="EV746" s="1459"/>
      <c r="EW746" s="1459"/>
      <c r="EX746" s="1459"/>
      <c r="EZ746" s="1466" t="str">
        <f t="shared" si="34"/>
        <v/>
      </c>
      <c r="FA746" s="1473"/>
      <c r="FB746" s="1473"/>
      <c r="FC746" s="1473"/>
      <c r="FD746" s="1467"/>
      <c r="FE746" s="1466" t="str">
        <f t="shared" si="35"/>
        <v/>
      </c>
      <c r="FF746" s="1473"/>
      <c r="FG746" s="1473"/>
      <c r="FH746" s="1473"/>
      <c r="FI746" s="1467"/>
      <c r="FJ746" s="1466" t="str">
        <f t="shared" si="36"/>
        <v/>
      </c>
      <c r="FK746" s="1473"/>
      <c r="FL746" s="1473"/>
      <c r="FM746" s="1473"/>
      <c r="FN746" s="1467"/>
      <c r="FO746" s="1466" t="str">
        <f t="shared" si="37"/>
        <v/>
      </c>
      <c r="FP746" s="1473"/>
      <c r="FQ746" s="1473"/>
      <c r="FR746" s="1473"/>
      <c r="FS746" s="1467"/>
      <c r="FT746" s="1466" t="str">
        <f t="shared" si="38"/>
        <v/>
      </c>
      <c r="FU746" s="1473"/>
      <c r="FV746" s="1473"/>
      <c r="FW746" s="1473"/>
      <c r="FX746" s="1467"/>
      <c r="FY746" s="1466" t="str">
        <f t="shared" si="39"/>
        <v/>
      </c>
      <c r="FZ746" s="1473"/>
      <c r="GA746" s="1473"/>
      <c r="GB746" s="1473"/>
      <c r="GC746" s="1467"/>
    </row>
    <row r="747" spans="1:185" ht="12.95" customHeight="1">
      <c r="B747" s="1341"/>
      <c r="C747" s="1342"/>
      <c r="D747" s="1342"/>
      <c r="E747" s="1342"/>
      <c r="F747" s="1343"/>
      <c r="G747" s="1338"/>
      <c r="H747" s="1339"/>
      <c r="I747" s="1339"/>
      <c r="J747" s="1340"/>
      <c r="K747" s="1388"/>
      <c r="L747" s="1389"/>
      <c r="M747" s="1389"/>
      <c r="N747" s="1390"/>
      <c r="O747" s="1368"/>
      <c r="P747" s="1369"/>
      <c r="Q747" s="1369"/>
      <c r="R747" s="1369"/>
      <c r="S747" s="1370"/>
      <c r="T747" s="1368"/>
      <c r="U747" s="1369"/>
      <c r="V747" s="1369"/>
      <c r="W747" s="1370"/>
      <c r="X747" s="1365">
        <f t="shared" si="43"/>
        <v>0</v>
      </c>
      <c r="Y747" s="1366"/>
      <c r="Z747" s="1366"/>
      <c r="AA747" s="1366"/>
      <c r="AB747" s="1367"/>
      <c r="AC747" s="1361"/>
      <c r="AD747" s="1362"/>
      <c r="AE747" s="1362"/>
      <c r="AF747" s="1362"/>
      <c r="AG747" s="1363"/>
      <c r="AH747" s="1371" t="str">
        <f t="shared" si="40"/>
        <v/>
      </c>
      <c r="AI747" s="1372"/>
      <c r="AJ747" s="1373"/>
      <c r="AK747" s="1341" t="s">
        <v>591</v>
      </c>
      <c r="AL747" s="1342"/>
      <c r="AM747" s="1342"/>
      <c r="AN747" s="1342"/>
      <c r="AO747" s="1343"/>
      <c r="AP747" s="3"/>
      <c r="AQ747" s="3"/>
      <c r="AR747" s="3"/>
      <c r="AS747" s="3"/>
      <c r="AY747" s="1085"/>
      <c r="AZ747" s="118" t="str">
        <f t="shared" si="13"/>
        <v>N/A</v>
      </c>
      <c r="BA747" s="34"/>
      <c r="BB747" s="34"/>
      <c r="BC747" s="34"/>
      <c r="BD747" s="34"/>
      <c r="BE747" s="34"/>
      <c r="BF747" s="294">
        <f t="shared" si="14"/>
        <v>0</v>
      </c>
      <c r="BG747" s="297">
        <f t="shared" si="15"/>
        <v>0</v>
      </c>
      <c r="BH747" s="298" t="str">
        <f t="shared" si="16"/>
        <v/>
      </c>
      <c r="BI747" s="34"/>
      <c r="BJ747" s="34"/>
      <c r="BK747" s="34"/>
      <c r="BL747" s="34"/>
      <c r="BM747" s="34"/>
      <c r="BN747" s="34"/>
      <c r="BS747" s="294">
        <f t="shared" si="17"/>
        <v>0</v>
      </c>
      <c r="BT747" s="297">
        <f t="shared" si="18"/>
        <v>0</v>
      </c>
      <c r="BU747" s="298" t="str">
        <f t="shared" si="19"/>
        <v/>
      </c>
      <c r="BV747" s="3"/>
      <c r="BW747" s="3"/>
      <c r="BX747" s="3"/>
      <c r="BY747" s="3"/>
      <c r="BZ747" s="3"/>
      <c r="CA747" s="3"/>
      <c r="CB747" s="3"/>
      <c r="CC747" s="3"/>
      <c r="CE747" s="3"/>
      <c r="CF747" s="3"/>
      <c r="CG747" s="1466">
        <f t="shared" si="41"/>
        <v>0</v>
      </c>
      <c r="CH747" s="1467"/>
      <c r="CI747" s="1468">
        <f t="shared" si="42"/>
        <v>0</v>
      </c>
      <c r="CJ747" s="1470"/>
      <c r="CK747" s="1466">
        <f t="shared" si="20"/>
        <v>0</v>
      </c>
      <c r="CL747" s="1467"/>
      <c r="CM747" s="1468">
        <f t="shared" si="21"/>
        <v>0</v>
      </c>
      <c r="CN747" s="1470"/>
      <c r="CO747" s="3"/>
      <c r="CP747" s="1461">
        <f t="shared" si="22"/>
        <v>0</v>
      </c>
      <c r="CQ747" s="1462"/>
      <c r="CR747" s="1462"/>
      <c r="CS747" s="1462"/>
      <c r="CT747" s="1463"/>
      <c r="CU747" s="1460">
        <f t="shared" si="23"/>
        <v>0</v>
      </c>
      <c r="CV747" s="1460"/>
      <c r="CW747" s="1460"/>
      <c r="CX747" s="1460"/>
      <c r="CY747" s="1460"/>
      <c r="CZ747" s="1460">
        <f t="shared" si="24"/>
        <v>0</v>
      </c>
      <c r="DA747" s="1460"/>
      <c r="DB747" s="1460"/>
      <c r="DC747" s="1460"/>
      <c r="DD747" s="1460"/>
      <c r="DE747" s="1460">
        <f t="shared" si="25"/>
        <v>0</v>
      </c>
      <c r="DF747" s="1460"/>
      <c r="DG747" s="1460"/>
      <c r="DH747" s="1460"/>
      <c r="DI747" s="1460"/>
      <c r="DJ747" s="1460">
        <f t="shared" si="26"/>
        <v>0</v>
      </c>
      <c r="DK747" s="1460"/>
      <c r="DL747" s="1460"/>
      <c r="DM747" s="1460"/>
      <c r="DN747" s="1460"/>
      <c r="DO747" s="1460">
        <f t="shared" si="27"/>
        <v>0</v>
      </c>
      <c r="DP747" s="1460"/>
      <c r="DQ747" s="1460"/>
      <c r="DR747" s="1460"/>
      <c r="DS747" s="1460"/>
      <c r="DT747" s="6"/>
      <c r="DU747" s="1459">
        <f t="shared" si="28"/>
        <v>0</v>
      </c>
      <c r="DV747" s="1459"/>
      <c r="DW747" s="1459"/>
      <c r="DX747" s="1459"/>
      <c r="DY747" s="1459"/>
      <c r="DZ747" s="1459">
        <f t="shared" si="29"/>
        <v>0</v>
      </c>
      <c r="EA747" s="1459"/>
      <c r="EB747" s="1459"/>
      <c r="EC747" s="1459"/>
      <c r="ED747" s="1459"/>
      <c r="EE747" s="1459">
        <f t="shared" si="30"/>
        <v>0</v>
      </c>
      <c r="EF747" s="1459"/>
      <c r="EG747" s="1459"/>
      <c r="EH747" s="1459"/>
      <c r="EI747" s="1459"/>
      <c r="EJ747" s="1459">
        <f t="shared" si="31"/>
        <v>0</v>
      </c>
      <c r="EK747" s="1459"/>
      <c r="EL747" s="1459"/>
      <c r="EM747" s="1459"/>
      <c r="EN747" s="1459"/>
      <c r="EO747" s="1459">
        <f t="shared" si="32"/>
        <v>0</v>
      </c>
      <c r="EP747" s="1459"/>
      <c r="EQ747" s="1459"/>
      <c r="ER747" s="1459"/>
      <c r="ES747" s="1459"/>
      <c r="ET747" s="1459">
        <f t="shared" si="33"/>
        <v>0</v>
      </c>
      <c r="EU747" s="1459"/>
      <c r="EV747" s="1459"/>
      <c r="EW747" s="1459"/>
      <c r="EX747" s="1459"/>
      <c r="EZ747" s="1466" t="str">
        <f t="shared" si="34"/>
        <v/>
      </c>
      <c r="FA747" s="1473"/>
      <c r="FB747" s="1473"/>
      <c r="FC747" s="1473"/>
      <c r="FD747" s="1467"/>
      <c r="FE747" s="1466" t="str">
        <f t="shared" si="35"/>
        <v/>
      </c>
      <c r="FF747" s="1473"/>
      <c r="FG747" s="1473"/>
      <c r="FH747" s="1473"/>
      <c r="FI747" s="1467"/>
      <c r="FJ747" s="1466" t="str">
        <f t="shared" si="36"/>
        <v/>
      </c>
      <c r="FK747" s="1473"/>
      <c r="FL747" s="1473"/>
      <c r="FM747" s="1473"/>
      <c r="FN747" s="1467"/>
      <c r="FO747" s="1466" t="str">
        <f t="shared" si="37"/>
        <v/>
      </c>
      <c r="FP747" s="1473"/>
      <c r="FQ747" s="1473"/>
      <c r="FR747" s="1473"/>
      <c r="FS747" s="1467"/>
      <c r="FT747" s="1466" t="str">
        <f t="shared" si="38"/>
        <v/>
      </c>
      <c r="FU747" s="1473"/>
      <c r="FV747" s="1473"/>
      <c r="FW747" s="1473"/>
      <c r="FX747" s="1467"/>
      <c r="FY747" s="1466" t="str">
        <f t="shared" si="39"/>
        <v/>
      </c>
      <c r="FZ747" s="1473"/>
      <c r="GA747" s="1473"/>
      <c r="GB747" s="1473"/>
      <c r="GC747" s="1467"/>
    </row>
    <row r="748" spans="1:185" s="3" customFormat="1" ht="12.95" customHeight="1">
      <c r="A748"/>
      <c r="B748" s="1341"/>
      <c r="C748" s="1342"/>
      <c r="D748" s="1342"/>
      <c r="E748" s="1342"/>
      <c r="F748" s="1343"/>
      <c r="G748" s="1338"/>
      <c r="H748" s="1339"/>
      <c r="I748" s="1339"/>
      <c r="J748" s="1340"/>
      <c r="K748" s="1388"/>
      <c r="L748" s="1389"/>
      <c r="M748" s="1389"/>
      <c r="N748" s="1390"/>
      <c r="O748" s="1368"/>
      <c r="P748" s="1369"/>
      <c r="Q748" s="1369"/>
      <c r="R748" s="1369"/>
      <c r="S748" s="1370"/>
      <c r="T748" s="1368"/>
      <c r="U748" s="1369"/>
      <c r="V748" s="1369"/>
      <c r="W748" s="1370"/>
      <c r="X748" s="1365">
        <f t="shared" si="43"/>
        <v>0</v>
      </c>
      <c r="Y748" s="1366"/>
      <c r="Z748" s="1366"/>
      <c r="AA748" s="1366"/>
      <c r="AB748" s="1367"/>
      <c r="AC748" s="1361"/>
      <c r="AD748" s="1362"/>
      <c r="AE748" s="1362"/>
      <c r="AF748" s="1362"/>
      <c r="AG748" s="1363"/>
      <c r="AH748" s="1371" t="str">
        <f t="shared" si="40"/>
        <v/>
      </c>
      <c r="AI748" s="1372"/>
      <c r="AJ748" s="1373"/>
      <c r="AK748" s="1341" t="s">
        <v>591</v>
      </c>
      <c r="AL748" s="1342"/>
      <c r="AM748" s="1342"/>
      <c r="AN748" s="1342"/>
      <c r="AO748" s="1343"/>
      <c r="AT748"/>
      <c r="AU748"/>
      <c r="AV748"/>
      <c r="AW748"/>
      <c r="AX748"/>
      <c r="AY748" s="1085"/>
      <c r="AZ748" s="118" t="str">
        <f t="shared" si="13"/>
        <v>N/A</v>
      </c>
      <c r="BA748" s="34"/>
      <c r="BB748" s="34"/>
      <c r="BC748" s="34"/>
      <c r="BD748" s="34"/>
      <c r="BE748" s="34"/>
      <c r="BF748" s="294">
        <f t="shared" si="14"/>
        <v>0</v>
      </c>
      <c r="BG748" s="297">
        <f t="shared" si="15"/>
        <v>0</v>
      </c>
      <c r="BH748" s="298" t="str">
        <f t="shared" si="16"/>
        <v/>
      </c>
      <c r="BJ748" s="34"/>
      <c r="BK748" s="34"/>
      <c r="BL748" s="34"/>
      <c r="BM748" s="34"/>
      <c r="BN748" s="34"/>
      <c r="BO748"/>
      <c r="BP748"/>
      <c r="BQ748"/>
      <c r="BR748"/>
      <c r="BS748" s="294">
        <f t="shared" si="17"/>
        <v>0</v>
      </c>
      <c r="BT748" s="297">
        <f t="shared" si="18"/>
        <v>0</v>
      </c>
      <c r="BU748" s="298" t="str">
        <f t="shared" si="19"/>
        <v/>
      </c>
      <c r="CD748"/>
      <c r="CG748" s="1466">
        <f t="shared" si="41"/>
        <v>0</v>
      </c>
      <c r="CH748" s="1467"/>
      <c r="CI748" s="1468">
        <f t="shared" si="42"/>
        <v>0</v>
      </c>
      <c r="CJ748" s="1470"/>
      <c r="CK748" s="1466">
        <f t="shared" si="20"/>
        <v>0</v>
      </c>
      <c r="CL748" s="1467"/>
      <c r="CM748" s="1468">
        <f t="shared" si="21"/>
        <v>0</v>
      </c>
      <c r="CN748" s="1470"/>
      <c r="CP748" s="1461">
        <f t="shared" si="22"/>
        <v>0</v>
      </c>
      <c r="CQ748" s="1462"/>
      <c r="CR748" s="1462"/>
      <c r="CS748" s="1462"/>
      <c r="CT748" s="1463"/>
      <c r="CU748" s="1460">
        <f t="shared" si="23"/>
        <v>0</v>
      </c>
      <c r="CV748" s="1460"/>
      <c r="CW748" s="1460"/>
      <c r="CX748" s="1460"/>
      <c r="CY748" s="1460"/>
      <c r="CZ748" s="1460">
        <f t="shared" si="24"/>
        <v>0</v>
      </c>
      <c r="DA748" s="1460"/>
      <c r="DB748" s="1460"/>
      <c r="DC748" s="1460"/>
      <c r="DD748" s="1460"/>
      <c r="DE748" s="1460">
        <f t="shared" si="25"/>
        <v>0</v>
      </c>
      <c r="DF748" s="1460"/>
      <c r="DG748" s="1460"/>
      <c r="DH748" s="1460"/>
      <c r="DI748" s="1460"/>
      <c r="DJ748" s="1460">
        <f t="shared" si="26"/>
        <v>0</v>
      </c>
      <c r="DK748" s="1460"/>
      <c r="DL748" s="1460"/>
      <c r="DM748" s="1460"/>
      <c r="DN748" s="1460"/>
      <c r="DO748" s="1460">
        <f t="shared" si="27"/>
        <v>0</v>
      </c>
      <c r="DP748" s="1460"/>
      <c r="DQ748" s="1460"/>
      <c r="DR748" s="1460"/>
      <c r="DS748" s="1460"/>
      <c r="DT748" s="6"/>
      <c r="DU748" s="1459">
        <f t="shared" si="28"/>
        <v>0</v>
      </c>
      <c r="DV748" s="1459"/>
      <c r="DW748" s="1459"/>
      <c r="DX748" s="1459"/>
      <c r="DY748" s="1459"/>
      <c r="DZ748" s="1459">
        <f t="shared" si="29"/>
        <v>0</v>
      </c>
      <c r="EA748" s="1459"/>
      <c r="EB748" s="1459"/>
      <c r="EC748" s="1459"/>
      <c r="ED748" s="1459"/>
      <c r="EE748" s="1459">
        <f t="shared" si="30"/>
        <v>0</v>
      </c>
      <c r="EF748" s="1459"/>
      <c r="EG748" s="1459"/>
      <c r="EH748" s="1459"/>
      <c r="EI748" s="1459"/>
      <c r="EJ748" s="1459">
        <f t="shared" si="31"/>
        <v>0</v>
      </c>
      <c r="EK748" s="1459"/>
      <c r="EL748" s="1459"/>
      <c r="EM748" s="1459"/>
      <c r="EN748" s="1459"/>
      <c r="EO748" s="1459">
        <f t="shared" si="32"/>
        <v>0</v>
      </c>
      <c r="EP748" s="1459"/>
      <c r="EQ748" s="1459"/>
      <c r="ER748" s="1459"/>
      <c r="ES748" s="1459"/>
      <c r="ET748" s="1459">
        <f t="shared" si="33"/>
        <v>0</v>
      </c>
      <c r="EU748" s="1459"/>
      <c r="EV748" s="1459"/>
      <c r="EW748" s="1459"/>
      <c r="EX748" s="1459"/>
      <c r="EY748"/>
      <c r="EZ748" s="1466" t="str">
        <f t="shared" si="34"/>
        <v/>
      </c>
      <c r="FA748" s="1473"/>
      <c r="FB748" s="1473"/>
      <c r="FC748" s="1473"/>
      <c r="FD748" s="1467"/>
      <c r="FE748" s="1466" t="str">
        <f t="shared" si="35"/>
        <v/>
      </c>
      <c r="FF748" s="1473"/>
      <c r="FG748" s="1473"/>
      <c r="FH748" s="1473"/>
      <c r="FI748" s="1467"/>
      <c r="FJ748" s="1466" t="str">
        <f t="shared" si="36"/>
        <v/>
      </c>
      <c r="FK748" s="1473"/>
      <c r="FL748" s="1473"/>
      <c r="FM748" s="1473"/>
      <c r="FN748" s="1467"/>
      <c r="FO748" s="1466" t="str">
        <f t="shared" si="37"/>
        <v/>
      </c>
      <c r="FP748" s="1473"/>
      <c r="FQ748" s="1473"/>
      <c r="FR748" s="1473"/>
      <c r="FS748" s="1467"/>
      <c r="FT748" s="1466" t="str">
        <f t="shared" si="38"/>
        <v/>
      </c>
      <c r="FU748" s="1473"/>
      <c r="FV748" s="1473"/>
      <c r="FW748" s="1473"/>
      <c r="FX748" s="1467"/>
      <c r="FY748" s="1466" t="str">
        <f t="shared" si="39"/>
        <v/>
      </c>
      <c r="FZ748" s="1473"/>
      <c r="GA748" s="1473"/>
      <c r="GB748" s="1473"/>
      <c r="GC748" s="1467"/>
    </row>
    <row r="749" spans="1:185" s="3" customFormat="1" ht="12.95" customHeight="1">
      <c r="A749"/>
      <c r="B749" s="1341"/>
      <c r="C749" s="1342"/>
      <c r="D749" s="1342"/>
      <c r="E749" s="1342"/>
      <c r="F749" s="1343"/>
      <c r="G749" s="1338"/>
      <c r="H749" s="1339"/>
      <c r="I749" s="1339"/>
      <c r="J749" s="1340"/>
      <c r="K749" s="1388"/>
      <c r="L749" s="1389"/>
      <c r="M749" s="1389"/>
      <c r="N749" s="1390"/>
      <c r="O749" s="1368"/>
      <c r="P749" s="1369"/>
      <c r="Q749" s="1369"/>
      <c r="R749" s="1369"/>
      <c r="S749" s="1370"/>
      <c r="T749" s="1368"/>
      <c r="U749" s="1369"/>
      <c r="V749" s="1369"/>
      <c r="W749" s="1370"/>
      <c r="X749" s="1365">
        <f t="shared" si="43"/>
        <v>0</v>
      </c>
      <c r="Y749" s="1366"/>
      <c r="Z749" s="1366"/>
      <c r="AA749" s="1366"/>
      <c r="AB749" s="1367"/>
      <c r="AC749" s="1361"/>
      <c r="AD749" s="1362"/>
      <c r="AE749" s="1362"/>
      <c r="AF749" s="1362"/>
      <c r="AG749" s="1363"/>
      <c r="AH749" s="1371" t="str">
        <f t="shared" si="40"/>
        <v/>
      </c>
      <c r="AI749" s="1372"/>
      <c r="AJ749" s="1373"/>
      <c r="AK749" s="1341" t="s">
        <v>591</v>
      </c>
      <c r="AL749" s="1342"/>
      <c r="AM749" s="1342"/>
      <c r="AN749" s="1342"/>
      <c r="AO749" s="1343"/>
      <c r="AT749"/>
      <c r="AU749"/>
      <c r="AV749"/>
      <c r="AW749"/>
      <c r="AX749"/>
      <c r="AY749" s="1085"/>
      <c r="AZ749" s="118" t="str">
        <f t="shared" si="13"/>
        <v>N/A</v>
      </c>
      <c r="BA749" s="34"/>
      <c r="BB749" s="34"/>
      <c r="BC749" s="34"/>
      <c r="BD749" s="34"/>
      <c r="BE749" s="34"/>
      <c r="BF749" s="294">
        <f t="shared" si="14"/>
        <v>0</v>
      </c>
      <c r="BG749" s="297">
        <f t="shared" si="15"/>
        <v>0</v>
      </c>
      <c r="BH749" s="298" t="str">
        <f t="shared" si="16"/>
        <v/>
      </c>
      <c r="BJ749" s="34"/>
      <c r="BK749" s="34"/>
      <c r="BL749" s="34"/>
      <c r="BM749" s="34"/>
      <c r="BN749" s="34"/>
      <c r="BO749"/>
      <c r="BP749"/>
      <c r="BQ749"/>
      <c r="BR749"/>
      <c r="BS749" s="294">
        <f t="shared" si="17"/>
        <v>0</v>
      </c>
      <c r="BT749" s="297">
        <f t="shared" si="18"/>
        <v>0</v>
      </c>
      <c r="BU749" s="298" t="str">
        <f t="shared" si="19"/>
        <v/>
      </c>
      <c r="CD749"/>
      <c r="CG749" s="1466">
        <f t="shared" si="41"/>
        <v>0</v>
      </c>
      <c r="CH749" s="1467"/>
      <c r="CI749" s="1468">
        <f t="shared" si="42"/>
        <v>0</v>
      </c>
      <c r="CJ749" s="1470"/>
      <c r="CK749" s="1466">
        <f t="shared" si="20"/>
        <v>0</v>
      </c>
      <c r="CL749" s="1467"/>
      <c r="CM749" s="1468">
        <f t="shared" si="21"/>
        <v>0</v>
      </c>
      <c r="CN749" s="1470"/>
      <c r="CP749" s="1461">
        <f t="shared" si="22"/>
        <v>0</v>
      </c>
      <c r="CQ749" s="1462"/>
      <c r="CR749" s="1462"/>
      <c r="CS749" s="1462"/>
      <c r="CT749" s="1463"/>
      <c r="CU749" s="1460">
        <f t="shared" si="23"/>
        <v>0</v>
      </c>
      <c r="CV749" s="1460"/>
      <c r="CW749" s="1460"/>
      <c r="CX749" s="1460"/>
      <c r="CY749" s="1460"/>
      <c r="CZ749" s="1460">
        <f t="shared" si="24"/>
        <v>0</v>
      </c>
      <c r="DA749" s="1460"/>
      <c r="DB749" s="1460"/>
      <c r="DC749" s="1460"/>
      <c r="DD749" s="1460"/>
      <c r="DE749" s="1460">
        <f t="shared" si="25"/>
        <v>0</v>
      </c>
      <c r="DF749" s="1460"/>
      <c r="DG749" s="1460"/>
      <c r="DH749" s="1460"/>
      <c r="DI749" s="1460"/>
      <c r="DJ749" s="1460">
        <f t="shared" si="26"/>
        <v>0</v>
      </c>
      <c r="DK749" s="1460"/>
      <c r="DL749" s="1460"/>
      <c r="DM749" s="1460"/>
      <c r="DN749" s="1460"/>
      <c r="DO749" s="1460">
        <f t="shared" si="27"/>
        <v>0</v>
      </c>
      <c r="DP749" s="1460"/>
      <c r="DQ749" s="1460"/>
      <c r="DR749" s="1460"/>
      <c r="DS749" s="1460"/>
      <c r="DT749" s="6"/>
      <c r="DU749" s="1459">
        <f t="shared" si="28"/>
        <v>0</v>
      </c>
      <c r="DV749" s="1459"/>
      <c r="DW749" s="1459"/>
      <c r="DX749" s="1459"/>
      <c r="DY749" s="1459"/>
      <c r="DZ749" s="1459">
        <f t="shared" si="29"/>
        <v>0</v>
      </c>
      <c r="EA749" s="1459"/>
      <c r="EB749" s="1459"/>
      <c r="EC749" s="1459"/>
      <c r="ED749" s="1459"/>
      <c r="EE749" s="1459">
        <f t="shared" si="30"/>
        <v>0</v>
      </c>
      <c r="EF749" s="1459"/>
      <c r="EG749" s="1459"/>
      <c r="EH749" s="1459"/>
      <c r="EI749" s="1459"/>
      <c r="EJ749" s="1459">
        <f t="shared" si="31"/>
        <v>0</v>
      </c>
      <c r="EK749" s="1459"/>
      <c r="EL749" s="1459"/>
      <c r="EM749" s="1459"/>
      <c r="EN749" s="1459"/>
      <c r="EO749" s="1459">
        <f t="shared" si="32"/>
        <v>0</v>
      </c>
      <c r="EP749" s="1459"/>
      <c r="EQ749" s="1459"/>
      <c r="ER749" s="1459"/>
      <c r="ES749" s="1459"/>
      <c r="ET749" s="1459">
        <f t="shared" si="33"/>
        <v>0</v>
      </c>
      <c r="EU749" s="1459"/>
      <c r="EV749" s="1459"/>
      <c r="EW749" s="1459"/>
      <c r="EX749" s="1459"/>
      <c r="EY749"/>
      <c r="EZ749" s="1466" t="str">
        <f t="shared" si="34"/>
        <v/>
      </c>
      <c r="FA749" s="1473"/>
      <c r="FB749" s="1473"/>
      <c r="FC749" s="1473"/>
      <c r="FD749" s="1467"/>
      <c r="FE749" s="1466" t="str">
        <f t="shared" si="35"/>
        <v/>
      </c>
      <c r="FF749" s="1473"/>
      <c r="FG749" s="1473"/>
      <c r="FH749" s="1473"/>
      <c r="FI749" s="1467"/>
      <c r="FJ749" s="1466" t="str">
        <f t="shared" si="36"/>
        <v/>
      </c>
      <c r="FK749" s="1473"/>
      <c r="FL749" s="1473"/>
      <c r="FM749" s="1473"/>
      <c r="FN749" s="1467"/>
      <c r="FO749" s="1466" t="str">
        <f t="shared" si="37"/>
        <v/>
      </c>
      <c r="FP749" s="1473"/>
      <c r="FQ749" s="1473"/>
      <c r="FR749" s="1473"/>
      <c r="FS749" s="1467"/>
      <c r="FT749" s="1466" t="str">
        <f t="shared" si="38"/>
        <v/>
      </c>
      <c r="FU749" s="1473"/>
      <c r="FV749" s="1473"/>
      <c r="FW749" s="1473"/>
      <c r="FX749" s="1467"/>
      <c r="FY749" s="1466" t="str">
        <f t="shared" si="39"/>
        <v/>
      </c>
      <c r="FZ749" s="1473"/>
      <c r="GA749" s="1473"/>
      <c r="GB749" s="1473"/>
      <c r="GC749" s="1467"/>
    </row>
    <row r="750" spans="1:185" s="3" customFormat="1" ht="12.95" customHeight="1">
      <c r="A750"/>
      <c r="B750" s="1341"/>
      <c r="C750" s="1342"/>
      <c r="D750" s="1342"/>
      <c r="E750" s="1342"/>
      <c r="F750" s="1343"/>
      <c r="G750" s="1338"/>
      <c r="H750" s="1339"/>
      <c r="I750" s="1339"/>
      <c r="J750" s="1340"/>
      <c r="K750" s="1388"/>
      <c r="L750" s="1389"/>
      <c r="M750" s="1389"/>
      <c r="N750" s="1390"/>
      <c r="O750" s="1368"/>
      <c r="P750" s="1369"/>
      <c r="Q750" s="1369"/>
      <c r="R750" s="1369"/>
      <c r="S750" s="1370"/>
      <c r="T750" s="1368"/>
      <c r="U750" s="1369"/>
      <c r="V750" s="1369"/>
      <c r="W750" s="1370"/>
      <c r="X750" s="1365">
        <f t="shared" si="43"/>
        <v>0</v>
      </c>
      <c r="Y750" s="1366"/>
      <c r="Z750" s="1366"/>
      <c r="AA750" s="1366"/>
      <c r="AB750" s="1367"/>
      <c r="AC750" s="1361"/>
      <c r="AD750" s="1362"/>
      <c r="AE750" s="1362"/>
      <c r="AF750" s="1362"/>
      <c r="AG750" s="1363"/>
      <c r="AH750" s="1371" t="str">
        <f t="shared" si="40"/>
        <v/>
      </c>
      <c r="AI750" s="1372"/>
      <c r="AJ750" s="1373"/>
      <c r="AK750" s="1341" t="s">
        <v>591</v>
      </c>
      <c r="AL750" s="1342"/>
      <c r="AM750" s="1342"/>
      <c r="AN750" s="1342"/>
      <c r="AO750" s="1343"/>
      <c r="AT750"/>
      <c r="AU750"/>
      <c r="AV750"/>
      <c r="AW750"/>
      <c r="AX750"/>
      <c r="AY750"/>
      <c r="AZ750" s="118" t="str">
        <f t="shared" si="13"/>
        <v>N/A</v>
      </c>
      <c r="BA750" s="34"/>
      <c r="BB750" s="34"/>
      <c r="BC750" s="34"/>
      <c r="BD750" s="34"/>
      <c r="BE750" s="34"/>
      <c r="BF750" s="294">
        <f t="shared" si="14"/>
        <v>0</v>
      </c>
      <c r="BG750" s="297">
        <f t="shared" si="15"/>
        <v>0</v>
      </c>
      <c r="BH750" s="298" t="str">
        <f t="shared" si="16"/>
        <v/>
      </c>
      <c r="BJ750" s="34"/>
      <c r="BK750" s="34"/>
      <c r="BL750" s="34"/>
      <c r="BM750" s="34"/>
      <c r="BN750" s="34"/>
      <c r="BO750"/>
      <c r="BP750"/>
      <c r="BQ750"/>
      <c r="BR750"/>
      <c r="BS750" s="294">
        <f t="shared" si="17"/>
        <v>0</v>
      </c>
      <c r="BT750" s="297">
        <f t="shared" si="18"/>
        <v>0</v>
      </c>
      <c r="BU750" s="298" t="str">
        <f t="shared" si="19"/>
        <v/>
      </c>
      <c r="CD750"/>
      <c r="CG750" s="1466">
        <f t="shared" si="41"/>
        <v>0</v>
      </c>
      <c r="CH750" s="1467"/>
      <c r="CI750" s="1468">
        <f t="shared" si="42"/>
        <v>0</v>
      </c>
      <c r="CJ750" s="1470"/>
      <c r="CK750" s="1466">
        <f t="shared" si="20"/>
        <v>0</v>
      </c>
      <c r="CL750" s="1467"/>
      <c r="CM750" s="1468">
        <f t="shared" si="21"/>
        <v>0</v>
      </c>
      <c r="CN750" s="1470"/>
      <c r="CP750" s="1461">
        <f t="shared" si="22"/>
        <v>0</v>
      </c>
      <c r="CQ750" s="1462"/>
      <c r="CR750" s="1462"/>
      <c r="CS750" s="1462"/>
      <c r="CT750" s="1463"/>
      <c r="CU750" s="1460">
        <f t="shared" si="23"/>
        <v>0</v>
      </c>
      <c r="CV750" s="1460"/>
      <c r="CW750" s="1460"/>
      <c r="CX750" s="1460"/>
      <c r="CY750" s="1460"/>
      <c r="CZ750" s="1460">
        <f t="shared" si="24"/>
        <v>0</v>
      </c>
      <c r="DA750" s="1460"/>
      <c r="DB750" s="1460"/>
      <c r="DC750" s="1460"/>
      <c r="DD750" s="1460"/>
      <c r="DE750" s="1460">
        <f t="shared" si="25"/>
        <v>0</v>
      </c>
      <c r="DF750" s="1460"/>
      <c r="DG750" s="1460"/>
      <c r="DH750" s="1460"/>
      <c r="DI750" s="1460"/>
      <c r="DJ750" s="1460">
        <f t="shared" si="26"/>
        <v>0</v>
      </c>
      <c r="DK750" s="1460"/>
      <c r="DL750" s="1460"/>
      <c r="DM750" s="1460"/>
      <c r="DN750" s="1460"/>
      <c r="DO750" s="1460">
        <f t="shared" si="27"/>
        <v>0</v>
      </c>
      <c r="DP750" s="1460"/>
      <c r="DQ750" s="1460"/>
      <c r="DR750" s="1460"/>
      <c r="DS750" s="1460"/>
      <c r="DT750" s="6"/>
      <c r="DU750" s="1459">
        <f t="shared" si="28"/>
        <v>0</v>
      </c>
      <c r="DV750" s="1459"/>
      <c r="DW750" s="1459"/>
      <c r="DX750" s="1459"/>
      <c r="DY750" s="1459"/>
      <c r="DZ750" s="1459">
        <f t="shared" si="29"/>
        <v>0</v>
      </c>
      <c r="EA750" s="1459"/>
      <c r="EB750" s="1459"/>
      <c r="EC750" s="1459"/>
      <c r="ED750" s="1459"/>
      <c r="EE750" s="1459">
        <f t="shared" si="30"/>
        <v>0</v>
      </c>
      <c r="EF750" s="1459"/>
      <c r="EG750" s="1459"/>
      <c r="EH750" s="1459"/>
      <c r="EI750" s="1459"/>
      <c r="EJ750" s="1459">
        <f t="shared" si="31"/>
        <v>0</v>
      </c>
      <c r="EK750" s="1459"/>
      <c r="EL750" s="1459"/>
      <c r="EM750" s="1459"/>
      <c r="EN750" s="1459"/>
      <c r="EO750" s="1459">
        <f t="shared" si="32"/>
        <v>0</v>
      </c>
      <c r="EP750" s="1459"/>
      <c r="EQ750" s="1459"/>
      <c r="ER750" s="1459"/>
      <c r="ES750" s="1459"/>
      <c r="ET750" s="1459">
        <f t="shared" si="33"/>
        <v>0</v>
      </c>
      <c r="EU750" s="1459"/>
      <c r="EV750" s="1459"/>
      <c r="EW750" s="1459"/>
      <c r="EX750" s="1459"/>
      <c r="EY750"/>
      <c r="EZ750" s="1466" t="str">
        <f t="shared" si="34"/>
        <v/>
      </c>
      <c r="FA750" s="1473"/>
      <c r="FB750" s="1473"/>
      <c r="FC750" s="1473"/>
      <c r="FD750" s="1467"/>
      <c r="FE750" s="1466" t="str">
        <f t="shared" si="35"/>
        <v/>
      </c>
      <c r="FF750" s="1473"/>
      <c r="FG750" s="1473"/>
      <c r="FH750" s="1473"/>
      <c r="FI750" s="1467"/>
      <c r="FJ750" s="1466" t="str">
        <f t="shared" si="36"/>
        <v/>
      </c>
      <c r="FK750" s="1473"/>
      <c r="FL750" s="1473"/>
      <c r="FM750" s="1473"/>
      <c r="FN750" s="1467"/>
      <c r="FO750" s="1466" t="str">
        <f t="shared" si="37"/>
        <v/>
      </c>
      <c r="FP750" s="1473"/>
      <c r="FQ750" s="1473"/>
      <c r="FR750" s="1473"/>
      <c r="FS750" s="1467"/>
      <c r="FT750" s="1466" t="str">
        <f t="shared" si="38"/>
        <v/>
      </c>
      <c r="FU750" s="1473"/>
      <c r="FV750" s="1473"/>
      <c r="FW750" s="1473"/>
      <c r="FX750" s="1467"/>
      <c r="FY750" s="1466" t="str">
        <f t="shared" si="39"/>
        <v/>
      </c>
      <c r="FZ750" s="1473"/>
      <c r="GA750" s="1473"/>
      <c r="GB750" s="1473"/>
      <c r="GC750" s="1467"/>
    </row>
    <row r="751" spans="1:185" s="3" customFormat="1" ht="12.95" customHeight="1">
      <c r="A751"/>
      <c r="B751" s="1341"/>
      <c r="C751" s="1342"/>
      <c r="D751" s="1342"/>
      <c r="E751" s="1342"/>
      <c r="F751" s="1343"/>
      <c r="G751" s="1338"/>
      <c r="H751" s="1339"/>
      <c r="I751" s="1339"/>
      <c r="J751" s="1340"/>
      <c r="K751" s="1388"/>
      <c r="L751" s="1389"/>
      <c r="M751" s="1389"/>
      <c r="N751" s="1390"/>
      <c r="O751" s="1368"/>
      <c r="P751" s="1369"/>
      <c r="Q751" s="1369"/>
      <c r="R751" s="1369"/>
      <c r="S751" s="1370"/>
      <c r="T751" s="1368"/>
      <c r="U751" s="1369"/>
      <c r="V751" s="1369"/>
      <c r="W751" s="1370"/>
      <c r="X751" s="1365">
        <f t="shared" si="43"/>
        <v>0</v>
      </c>
      <c r="Y751" s="1366"/>
      <c r="Z751" s="1366"/>
      <c r="AA751" s="1366"/>
      <c r="AB751" s="1367"/>
      <c r="AC751" s="1361"/>
      <c r="AD751" s="1362"/>
      <c r="AE751" s="1362"/>
      <c r="AF751" s="1362"/>
      <c r="AG751" s="1363"/>
      <c r="AH751" s="1371" t="str">
        <f t="shared" si="40"/>
        <v/>
      </c>
      <c r="AI751" s="1372"/>
      <c r="AJ751" s="1373"/>
      <c r="AK751" s="1341" t="s">
        <v>591</v>
      </c>
      <c r="AL751" s="1342"/>
      <c r="AM751" s="1342"/>
      <c r="AN751" s="1342"/>
      <c r="AO751" s="1343"/>
      <c r="AT751"/>
      <c r="AU751"/>
      <c r="AV751"/>
      <c r="AW751"/>
      <c r="AX751"/>
      <c r="AY751"/>
      <c r="AZ751" s="118" t="str">
        <f t="shared" si="13"/>
        <v>N/A</v>
      </c>
      <c r="BA751" s="34"/>
      <c r="BB751" s="34"/>
      <c r="BC751" s="34"/>
      <c r="BD751" s="34"/>
      <c r="BE751" s="34"/>
      <c r="BF751" s="294">
        <f t="shared" si="14"/>
        <v>0</v>
      </c>
      <c r="BG751" s="297">
        <f t="shared" si="15"/>
        <v>0</v>
      </c>
      <c r="BH751" s="298" t="str">
        <f t="shared" si="16"/>
        <v/>
      </c>
      <c r="BJ751" s="34"/>
      <c r="BK751" s="34"/>
      <c r="BL751" s="34"/>
      <c r="BM751" s="34"/>
      <c r="BN751" s="34"/>
      <c r="BO751"/>
      <c r="BP751"/>
      <c r="BQ751"/>
      <c r="BR751"/>
      <c r="BS751" s="294">
        <f t="shared" si="17"/>
        <v>0</v>
      </c>
      <c r="BT751" s="297">
        <f t="shared" si="18"/>
        <v>0</v>
      </c>
      <c r="BU751" s="298" t="str">
        <f t="shared" si="19"/>
        <v/>
      </c>
      <c r="CD751"/>
      <c r="CG751" s="1466">
        <f t="shared" si="41"/>
        <v>0</v>
      </c>
      <c r="CH751" s="1467"/>
      <c r="CI751" s="1468">
        <f t="shared" si="42"/>
        <v>0</v>
      </c>
      <c r="CJ751" s="1470"/>
      <c r="CK751" s="1466">
        <f t="shared" si="20"/>
        <v>0</v>
      </c>
      <c r="CL751" s="1467"/>
      <c r="CM751" s="1468">
        <f t="shared" si="21"/>
        <v>0</v>
      </c>
      <c r="CN751" s="1470"/>
      <c r="CP751" s="1461">
        <f t="shared" si="22"/>
        <v>0</v>
      </c>
      <c r="CQ751" s="1462"/>
      <c r="CR751" s="1462"/>
      <c r="CS751" s="1462"/>
      <c r="CT751" s="1463"/>
      <c r="CU751" s="1460">
        <f t="shared" si="23"/>
        <v>0</v>
      </c>
      <c r="CV751" s="1460"/>
      <c r="CW751" s="1460"/>
      <c r="CX751" s="1460"/>
      <c r="CY751" s="1460"/>
      <c r="CZ751" s="1460">
        <f t="shared" si="24"/>
        <v>0</v>
      </c>
      <c r="DA751" s="1460"/>
      <c r="DB751" s="1460"/>
      <c r="DC751" s="1460"/>
      <c r="DD751" s="1460"/>
      <c r="DE751" s="1460">
        <f t="shared" si="25"/>
        <v>0</v>
      </c>
      <c r="DF751" s="1460"/>
      <c r="DG751" s="1460"/>
      <c r="DH751" s="1460"/>
      <c r="DI751" s="1460"/>
      <c r="DJ751" s="1460">
        <f t="shared" si="26"/>
        <v>0</v>
      </c>
      <c r="DK751" s="1460"/>
      <c r="DL751" s="1460"/>
      <c r="DM751" s="1460"/>
      <c r="DN751" s="1460"/>
      <c r="DO751" s="1460">
        <f t="shared" si="27"/>
        <v>0</v>
      </c>
      <c r="DP751" s="1460"/>
      <c r="DQ751" s="1460"/>
      <c r="DR751" s="1460"/>
      <c r="DS751" s="1460"/>
      <c r="DT751" s="6"/>
      <c r="DU751" s="1459">
        <f t="shared" si="28"/>
        <v>0</v>
      </c>
      <c r="DV751" s="1459"/>
      <c r="DW751" s="1459"/>
      <c r="DX751" s="1459"/>
      <c r="DY751" s="1459"/>
      <c r="DZ751" s="1459">
        <f t="shared" si="29"/>
        <v>0</v>
      </c>
      <c r="EA751" s="1459"/>
      <c r="EB751" s="1459"/>
      <c r="EC751" s="1459"/>
      <c r="ED751" s="1459"/>
      <c r="EE751" s="1459">
        <f t="shared" si="30"/>
        <v>0</v>
      </c>
      <c r="EF751" s="1459"/>
      <c r="EG751" s="1459"/>
      <c r="EH751" s="1459"/>
      <c r="EI751" s="1459"/>
      <c r="EJ751" s="1459">
        <f t="shared" si="31"/>
        <v>0</v>
      </c>
      <c r="EK751" s="1459"/>
      <c r="EL751" s="1459"/>
      <c r="EM751" s="1459"/>
      <c r="EN751" s="1459"/>
      <c r="EO751" s="1459">
        <f t="shared" si="32"/>
        <v>0</v>
      </c>
      <c r="EP751" s="1459"/>
      <c r="EQ751" s="1459"/>
      <c r="ER751" s="1459"/>
      <c r="ES751" s="1459"/>
      <c r="ET751" s="1459">
        <f t="shared" si="33"/>
        <v>0</v>
      </c>
      <c r="EU751" s="1459"/>
      <c r="EV751" s="1459"/>
      <c r="EW751" s="1459"/>
      <c r="EX751" s="1459"/>
      <c r="EY751"/>
      <c r="EZ751" s="1466" t="str">
        <f t="shared" si="34"/>
        <v/>
      </c>
      <c r="FA751" s="1473"/>
      <c r="FB751" s="1473"/>
      <c r="FC751" s="1473"/>
      <c r="FD751" s="1467"/>
      <c r="FE751" s="1466" t="str">
        <f t="shared" si="35"/>
        <v/>
      </c>
      <c r="FF751" s="1473"/>
      <c r="FG751" s="1473"/>
      <c r="FH751" s="1473"/>
      <c r="FI751" s="1467"/>
      <c r="FJ751" s="1466" t="str">
        <f t="shared" si="36"/>
        <v/>
      </c>
      <c r="FK751" s="1473"/>
      <c r="FL751" s="1473"/>
      <c r="FM751" s="1473"/>
      <c r="FN751" s="1467"/>
      <c r="FO751" s="1466" t="str">
        <f t="shared" si="37"/>
        <v/>
      </c>
      <c r="FP751" s="1473"/>
      <c r="FQ751" s="1473"/>
      <c r="FR751" s="1473"/>
      <c r="FS751" s="1467"/>
      <c r="FT751" s="1466" t="str">
        <f t="shared" si="38"/>
        <v/>
      </c>
      <c r="FU751" s="1473"/>
      <c r="FV751" s="1473"/>
      <c r="FW751" s="1473"/>
      <c r="FX751" s="1467"/>
      <c r="FY751" s="1466" t="str">
        <f t="shared" si="39"/>
        <v/>
      </c>
      <c r="FZ751" s="1473"/>
      <c r="GA751" s="1473"/>
      <c r="GB751" s="1473"/>
      <c r="GC751" s="1467"/>
    </row>
    <row r="752" spans="1:185" s="3" customFormat="1" ht="12.95" customHeight="1">
      <c r="A752"/>
      <c r="B752" s="1341"/>
      <c r="C752" s="1342"/>
      <c r="D752" s="1342"/>
      <c r="E752" s="1342"/>
      <c r="F752" s="1343"/>
      <c r="G752" s="1338"/>
      <c r="H752" s="1339"/>
      <c r="I752" s="1339"/>
      <c r="J752" s="1340"/>
      <c r="K752" s="1388"/>
      <c r="L752" s="1389"/>
      <c r="M752" s="1389"/>
      <c r="N752" s="1390"/>
      <c r="O752" s="1368"/>
      <c r="P752" s="1369"/>
      <c r="Q752" s="1369"/>
      <c r="R752" s="1369"/>
      <c r="S752" s="1370"/>
      <c r="T752" s="1368"/>
      <c r="U752" s="1369"/>
      <c r="V752" s="1369"/>
      <c r="W752" s="1370"/>
      <c r="X752" s="1365">
        <f>O752+T752</f>
        <v>0</v>
      </c>
      <c r="Y752" s="1366"/>
      <c r="Z752" s="1366"/>
      <c r="AA752" s="1366"/>
      <c r="AB752" s="1367"/>
      <c r="AC752" s="1361"/>
      <c r="AD752" s="1362"/>
      <c r="AE752" s="1362"/>
      <c r="AF752" s="1362"/>
      <c r="AG752" s="1363"/>
      <c r="AH752" s="1371" t="str">
        <f t="shared" si="40"/>
        <v/>
      </c>
      <c r="AI752" s="1372"/>
      <c r="AJ752" s="1373"/>
      <c r="AK752" s="1341" t="s">
        <v>591</v>
      </c>
      <c r="AL752" s="1342"/>
      <c r="AM752" s="1342"/>
      <c r="AN752" s="1342"/>
      <c r="AO752" s="1343"/>
      <c r="AT752"/>
      <c r="AU752"/>
      <c r="AV752"/>
      <c r="AW752"/>
      <c r="AX752"/>
      <c r="AY752"/>
      <c r="AZ752" s="118" t="str">
        <f t="shared" si="13"/>
        <v>N/A</v>
      </c>
      <c r="BA752" s="34"/>
      <c r="BB752" s="34"/>
      <c r="BC752" s="34"/>
      <c r="BE752"/>
      <c r="BF752" s="294">
        <f t="shared" si="14"/>
        <v>0</v>
      </c>
      <c r="BG752" s="297">
        <f t="shared" si="15"/>
        <v>0</v>
      </c>
      <c r="BH752" s="298" t="str">
        <f t="shared" si="16"/>
        <v/>
      </c>
      <c r="BJ752" s="34"/>
      <c r="BK752" s="34"/>
      <c r="BL752" s="34"/>
      <c r="BM752" s="34"/>
      <c r="BN752" s="34"/>
      <c r="BO752"/>
      <c r="BP752"/>
      <c r="BQ752"/>
      <c r="BR752"/>
      <c r="BS752" s="860">
        <f t="shared" si="17"/>
        <v>0</v>
      </c>
      <c r="BT752" s="297">
        <f t="shared" si="18"/>
        <v>0</v>
      </c>
      <c r="BU752" s="298" t="str">
        <f t="shared" si="19"/>
        <v/>
      </c>
      <c r="CD752"/>
      <c r="CG752" s="1466">
        <f t="shared" si="41"/>
        <v>0</v>
      </c>
      <c r="CH752" s="1467"/>
      <c r="CI752" s="1468">
        <f t="shared" si="42"/>
        <v>0</v>
      </c>
      <c r="CJ752" s="1470"/>
      <c r="CK752" s="1466">
        <f t="shared" si="20"/>
        <v>0</v>
      </c>
      <c r="CL752" s="1467"/>
      <c r="CM752" s="1468">
        <f t="shared" si="21"/>
        <v>0</v>
      </c>
      <c r="CN752" s="1470"/>
      <c r="CP752" s="1461">
        <f t="shared" si="22"/>
        <v>0</v>
      </c>
      <c r="CQ752" s="1462"/>
      <c r="CR752" s="1462"/>
      <c r="CS752" s="1462"/>
      <c r="CT752" s="1463"/>
      <c r="CU752" s="1460">
        <f t="shared" si="23"/>
        <v>0</v>
      </c>
      <c r="CV752" s="1460"/>
      <c r="CW752" s="1460"/>
      <c r="CX752" s="1460"/>
      <c r="CY752" s="1460"/>
      <c r="CZ752" s="1460">
        <f t="shared" si="24"/>
        <v>0</v>
      </c>
      <c r="DA752" s="1460"/>
      <c r="DB752" s="1460"/>
      <c r="DC752" s="1460"/>
      <c r="DD752" s="1460"/>
      <c r="DE752" s="1460">
        <f t="shared" si="25"/>
        <v>0</v>
      </c>
      <c r="DF752" s="1460"/>
      <c r="DG752" s="1460"/>
      <c r="DH752" s="1460"/>
      <c r="DI752" s="1460"/>
      <c r="DJ752" s="1460">
        <f t="shared" si="26"/>
        <v>0</v>
      </c>
      <c r="DK752" s="1460"/>
      <c r="DL752" s="1460"/>
      <c r="DM752" s="1460"/>
      <c r="DN752" s="1460"/>
      <c r="DO752" s="1460">
        <f t="shared" si="27"/>
        <v>0</v>
      </c>
      <c r="DP752" s="1460"/>
      <c r="DQ752" s="1460"/>
      <c r="DR752" s="1460"/>
      <c r="DS752" s="1460"/>
      <c r="DT752" s="6"/>
      <c r="DU752" s="1459">
        <f t="shared" si="28"/>
        <v>0</v>
      </c>
      <c r="DV752" s="1459"/>
      <c r="DW752" s="1459"/>
      <c r="DX752" s="1459"/>
      <c r="DY752" s="1459"/>
      <c r="DZ752" s="1459">
        <f t="shared" si="29"/>
        <v>0</v>
      </c>
      <c r="EA752" s="1459"/>
      <c r="EB752" s="1459"/>
      <c r="EC752" s="1459"/>
      <c r="ED752" s="1459"/>
      <c r="EE752" s="1459">
        <f t="shared" si="30"/>
        <v>0</v>
      </c>
      <c r="EF752" s="1459"/>
      <c r="EG752" s="1459"/>
      <c r="EH752" s="1459"/>
      <c r="EI752" s="1459"/>
      <c r="EJ752" s="1459">
        <f t="shared" si="31"/>
        <v>0</v>
      </c>
      <c r="EK752" s="1459"/>
      <c r="EL752" s="1459"/>
      <c r="EM752" s="1459"/>
      <c r="EN752" s="1459"/>
      <c r="EO752" s="1459">
        <f t="shared" si="32"/>
        <v>0</v>
      </c>
      <c r="EP752" s="1459"/>
      <c r="EQ752" s="1459"/>
      <c r="ER752" s="1459"/>
      <c r="ES752" s="1459"/>
      <c r="ET752" s="1459">
        <f t="shared" si="33"/>
        <v>0</v>
      </c>
      <c r="EU752" s="1459"/>
      <c r="EV752" s="1459"/>
      <c r="EW752" s="1459"/>
      <c r="EX752" s="1459"/>
      <c r="EY752"/>
      <c r="EZ752" s="1466" t="str">
        <f t="shared" si="34"/>
        <v/>
      </c>
      <c r="FA752" s="1473"/>
      <c r="FB752" s="1473"/>
      <c r="FC752" s="1473"/>
      <c r="FD752" s="1467"/>
      <c r="FE752" s="1466" t="str">
        <f t="shared" si="35"/>
        <v/>
      </c>
      <c r="FF752" s="1473"/>
      <c r="FG752" s="1473"/>
      <c r="FH752" s="1473"/>
      <c r="FI752" s="1467"/>
      <c r="FJ752" s="1466" t="str">
        <f t="shared" si="36"/>
        <v/>
      </c>
      <c r="FK752" s="1473"/>
      <c r="FL752" s="1473"/>
      <c r="FM752" s="1473"/>
      <c r="FN752" s="1467"/>
      <c r="FO752" s="1466" t="str">
        <f t="shared" si="37"/>
        <v/>
      </c>
      <c r="FP752" s="1473"/>
      <c r="FQ752" s="1473"/>
      <c r="FR752" s="1473"/>
      <c r="FS752" s="1467"/>
      <c r="FT752" s="1466" t="str">
        <f t="shared" si="38"/>
        <v/>
      </c>
      <c r="FU752" s="1473"/>
      <c r="FV752" s="1473"/>
      <c r="FW752" s="1473"/>
      <c r="FX752" s="1467"/>
      <c r="FY752" s="1466" t="str">
        <f t="shared" si="39"/>
        <v/>
      </c>
      <c r="FZ752" s="1473"/>
      <c r="GA752" s="1473"/>
      <c r="GB752" s="1473"/>
      <c r="GC752" s="1467"/>
    </row>
    <row r="753" spans="1:185" s="3" customFormat="1" ht="12.95" customHeight="1">
      <c r="A753"/>
      <c r="B753" s="1650" t="s">
        <v>125</v>
      </c>
      <c r="C753" s="1651"/>
      <c r="D753" s="1651"/>
      <c r="E753" s="1651"/>
      <c r="F753" s="1652"/>
      <c r="G753" s="1740">
        <f>SUM(G718:G752)</f>
        <v>193</v>
      </c>
      <c r="H753" s="1741"/>
      <c r="I753" s="1741"/>
      <c r="J753" s="1742"/>
      <c r="K753" s="902" t="s">
        <v>124</v>
      </c>
      <c r="L753" s="5"/>
      <c r="M753" s="5"/>
      <c r="N753" s="46"/>
      <c r="O753" s="1365">
        <f>SUMPRODUCT(G718:G752,O718:O752)</f>
        <v>380550</v>
      </c>
      <c r="P753" s="1366"/>
      <c r="Q753" s="1366"/>
      <c r="R753" s="1366"/>
      <c r="S753" s="1367"/>
      <c r="T753"/>
      <c r="U753"/>
      <c r="V753"/>
      <c r="W753"/>
      <c r="X753" s="904" t="s">
        <v>900</v>
      </c>
      <c r="Y753" s="903"/>
      <c r="Z753" s="903"/>
      <c r="AA753" s="903"/>
      <c r="AB753" s="905"/>
      <c r="AC753" s="1614">
        <f>BH753</f>
        <v>0.4746113989637305</v>
      </c>
      <c r="AD753" s="1615"/>
      <c r="AE753" s="1615"/>
      <c r="AF753" s="1615"/>
      <c r="AG753" s="1616"/>
      <c r="AH753" s="1614">
        <f>IFERROR(BU753,"")</f>
        <v>0.47459389772928318</v>
      </c>
      <c r="AI753" s="1615"/>
      <c r="AJ753" s="1616"/>
      <c r="AK753"/>
      <c r="AL753"/>
      <c r="AM753"/>
      <c r="AN753"/>
      <c r="AO753"/>
      <c r="AP753" s="205"/>
      <c r="AQ753" s="205"/>
      <c r="AR753" s="205"/>
      <c r="AS753" s="205"/>
      <c r="AT753"/>
      <c r="AU753"/>
      <c r="AV753"/>
      <c r="AW753"/>
      <c r="AX753"/>
      <c r="AY753"/>
      <c r="AZ753" s="34"/>
      <c r="BA753" s="34"/>
      <c r="BB753" s="34"/>
      <c r="BC753" s="34"/>
      <c r="BE753" s="290" t="s">
        <v>899</v>
      </c>
      <c r="BF753" s="299">
        <f>SUM(BF718:BF752)</f>
        <v>193</v>
      </c>
      <c r="BG753" s="300">
        <f>SUM(BG718:BG752)</f>
        <v>1</v>
      </c>
      <c r="BH753" s="300">
        <f>SUM(BH718:BH752)</f>
        <v>0.4746113989637305</v>
      </c>
      <c r="BI753"/>
      <c r="BJ753"/>
      <c r="BK753"/>
      <c r="BL753"/>
      <c r="BO753"/>
      <c r="BP753"/>
      <c r="BQ753"/>
      <c r="BR753"/>
      <c r="BS753" s="859">
        <f>SUM(BS718:BS752)</f>
        <v>193</v>
      </c>
      <c r="BT753" s="300">
        <f>SUM(BT718:BT752)</f>
        <v>1</v>
      </c>
      <c r="BU753" s="300">
        <f>SUM(BU718:BU752)</f>
        <v>0.47459389772928318</v>
      </c>
      <c r="CI753" s="1466">
        <f>SUM(CI718:CJ752)</f>
        <v>92</v>
      </c>
      <c r="CJ753" s="1467"/>
      <c r="CM753" s="1466">
        <f>SUM(CM718:CN752)</f>
        <v>50</v>
      </c>
      <c r="CN753" s="1467"/>
      <c r="CP753" s="1466">
        <f>SUM(CP718:CT752)</f>
        <v>63</v>
      </c>
      <c r="CQ753" s="1473"/>
      <c r="CR753" s="1473"/>
      <c r="CS753" s="1473"/>
      <c r="CT753" s="1467"/>
      <c r="CU753" s="1464">
        <f>SUM(CU718:CY752)</f>
        <v>25</v>
      </c>
      <c r="CV753" s="1464"/>
      <c r="CW753" s="1464"/>
      <c r="CX753" s="1464"/>
      <c r="CY753" s="1464"/>
      <c r="CZ753" s="1464">
        <f>SUM(CZ718:DD752)</f>
        <v>53</v>
      </c>
      <c r="DA753" s="1464"/>
      <c r="DB753" s="1464"/>
      <c r="DC753" s="1464"/>
      <c r="DD753" s="1464"/>
      <c r="DE753" s="1464">
        <f>SUM(DE718:DI752)</f>
        <v>52</v>
      </c>
      <c r="DF753" s="1464"/>
      <c r="DG753" s="1464"/>
      <c r="DH753" s="1464"/>
      <c r="DI753" s="1464"/>
      <c r="DJ753" s="1464">
        <f>SUM(DJ718:DN752)</f>
        <v>0</v>
      </c>
      <c r="DK753" s="1464"/>
      <c r="DL753" s="1464"/>
      <c r="DM753" s="1464"/>
      <c r="DN753" s="1464"/>
      <c r="DO753" s="1464">
        <f>SUM(DO718:DS752)</f>
        <v>0</v>
      </c>
      <c r="DP753" s="1464"/>
      <c r="DQ753" s="1464"/>
      <c r="DR753" s="1464"/>
      <c r="DS753" s="1464"/>
      <c r="DT753" s="354"/>
      <c r="DU753" s="1464">
        <f>SUM(DU718:DY752)</f>
        <v>1</v>
      </c>
      <c r="DV753" s="1464"/>
      <c r="DW753" s="1464"/>
      <c r="DX753" s="1464"/>
      <c r="DY753" s="1464"/>
      <c r="DZ753" s="1464">
        <f>SUM(DZ718:ED752)</f>
        <v>25</v>
      </c>
      <c r="EA753" s="1464"/>
      <c r="EB753" s="1464"/>
      <c r="EC753" s="1464"/>
      <c r="ED753" s="1464"/>
      <c r="EE753" s="1464">
        <f>SUM(EE718:EI752)</f>
        <v>14</v>
      </c>
      <c r="EF753" s="1464"/>
      <c r="EG753" s="1464"/>
      <c r="EH753" s="1464"/>
      <c r="EI753" s="1464"/>
      <c r="EJ753" s="1464">
        <f>SUM(EJ718:EN752)</f>
        <v>10</v>
      </c>
      <c r="EK753" s="1464"/>
      <c r="EL753" s="1464"/>
      <c r="EM753" s="1464"/>
      <c r="EN753" s="1464"/>
      <c r="EO753" s="1464">
        <f>SUM(EO718:ES752)</f>
        <v>0</v>
      </c>
      <c r="EP753" s="1464"/>
      <c r="EQ753" s="1464"/>
      <c r="ER753" s="1464"/>
      <c r="ES753" s="1464"/>
      <c r="ET753" s="1464">
        <f>SUM(ET718:EX752)</f>
        <v>0</v>
      </c>
      <c r="EU753" s="1464"/>
      <c r="EV753" s="1464"/>
      <c r="EW753" s="1464"/>
      <c r="EX753" s="1464"/>
      <c r="EY753"/>
      <c r="EZ753" s="1464">
        <f>SUM(EZ718:FD752)</f>
        <v>2713</v>
      </c>
      <c r="FA753" s="1464"/>
      <c r="FB753" s="1464"/>
      <c r="FC753" s="1464"/>
      <c r="FD753" s="1464"/>
      <c r="FE753" s="1464">
        <f>SUM(FE718:FI752)</f>
        <v>1071</v>
      </c>
      <c r="FF753" s="1464"/>
      <c r="FG753" s="1464"/>
      <c r="FH753" s="1464"/>
      <c r="FI753" s="1464"/>
      <c r="FJ753" s="1464">
        <f>SUM(FJ718:FN752)</f>
        <v>6090</v>
      </c>
      <c r="FK753" s="1464"/>
      <c r="FL753" s="1464"/>
      <c r="FM753" s="1464"/>
      <c r="FN753" s="1464"/>
      <c r="FO753" s="1464">
        <f>SUM(FO718:FS752)</f>
        <v>7003</v>
      </c>
      <c r="FP753" s="1464"/>
      <c r="FQ753" s="1464"/>
      <c r="FR753" s="1464"/>
      <c r="FS753" s="1464"/>
      <c r="FT753" s="1464">
        <f>SUM(FT718:FX752)</f>
        <v>0</v>
      </c>
      <c r="FU753" s="1464"/>
      <c r="FV753" s="1464"/>
      <c r="FW753" s="1464"/>
      <c r="FX753" s="1464"/>
      <c r="FY753" s="1464">
        <f>SUM(FY718:GC752)</f>
        <v>0</v>
      </c>
      <c r="FZ753" s="1464"/>
      <c r="GA753" s="1464"/>
      <c r="GB753" s="1464"/>
      <c r="GC753" s="1464"/>
    </row>
    <row r="754" spans="1:185" s="3" customFormat="1" ht="12.95" customHeight="1">
      <c r="A754"/>
      <c r="B754" s="1744" t="s">
        <v>1894</v>
      </c>
      <c r="C754" s="1744"/>
      <c r="D754" s="1744"/>
      <c r="E754" s="1744"/>
      <c r="F754" s="1744"/>
      <c r="G754" s="1744"/>
      <c r="H754" s="1744"/>
      <c r="I754" s="1744"/>
      <c r="J754" s="1744"/>
      <c r="K754" s="1744"/>
      <c r="L754" s="1744"/>
      <c r="M754" s="1744"/>
      <c r="N754" s="1744"/>
      <c r="O754" s="1744"/>
      <c r="P754" s="1744"/>
      <c r="Q754" s="1744"/>
      <c r="R754" s="1744"/>
      <c r="S754" s="1744"/>
      <c r="T754" s="1744"/>
      <c r="U754" s="1744"/>
      <c r="V754" s="1744"/>
      <c r="W754" s="1744"/>
      <c r="X754" s="1744"/>
      <c r="Y754" s="1744"/>
      <c r="Z754" s="1744"/>
      <c r="AA754" s="1744"/>
      <c r="AB754" s="1744"/>
      <c r="AC754" s="1744"/>
      <c r="AD754" s="1744"/>
      <c r="AE754" s="1744"/>
      <c r="AF754" s="1744"/>
      <c r="AG754" s="1744"/>
      <c r="AH754" s="1744"/>
      <c r="AI754"/>
      <c r="AJ754"/>
      <c r="AK754"/>
      <c r="AT754"/>
      <c r="AU754"/>
      <c r="AV754"/>
      <c r="AW754"/>
      <c r="AX754"/>
      <c r="AY754"/>
      <c r="CD754"/>
      <c r="DN754" s="56" t="s">
        <v>1861</v>
      </c>
      <c r="DO754" s="1466">
        <f>CP753+CU753+CZ753+DE753+DJ753+DO753</f>
        <v>193</v>
      </c>
      <c r="DP754" s="1473"/>
      <c r="DQ754" s="1473"/>
      <c r="DR754" s="1473"/>
      <c r="DS754" s="1467"/>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44"/>
      <c r="C755" s="1744"/>
      <c r="D755" s="1744"/>
      <c r="E755" s="1744"/>
      <c r="F755" s="1744"/>
      <c r="G755" s="1744"/>
      <c r="H755" s="1744"/>
      <c r="I755" s="1744"/>
      <c r="J755" s="1744"/>
      <c r="K755" s="1744"/>
      <c r="L755" s="1744"/>
      <c r="M755" s="1744"/>
      <c r="N755" s="1744"/>
      <c r="O755" s="1744"/>
      <c r="P755" s="1744"/>
      <c r="Q755" s="1744"/>
      <c r="R755" s="1744"/>
      <c r="S755" s="1744"/>
      <c r="T755" s="1744"/>
      <c r="U755" s="1744"/>
      <c r="V755" s="1744"/>
      <c r="W755" s="1744"/>
      <c r="X755" s="1744"/>
      <c r="Y755" s="1744"/>
      <c r="Z755" s="1744"/>
      <c r="AA755" s="1744"/>
      <c r="AB755" s="1744"/>
      <c r="AC755" s="1744"/>
      <c r="AD755" s="1744"/>
      <c r="AE755" s="1744"/>
      <c r="AF755" s="1744"/>
      <c r="AG755" s="1744"/>
      <c r="AH755" s="174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63</v>
      </c>
      <c r="CU755" s="3"/>
      <c r="CV755" s="3"/>
      <c r="CW755" s="3"/>
      <c r="CX755" s="3"/>
      <c r="CY755" s="861">
        <f>CU753*1</f>
        <v>25</v>
      </c>
      <c r="CZ755" s="3"/>
      <c r="DA755" s="3"/>
      <c r="DB755" s="3"/>
      <c r="DC755" s="3"/>
      <c r="DD755" s="861">
        <f>CZ753*2</f>
        <v>106</v>
      </c>
      <c r="DE755" s="3"/>
      <c r="DF755" s="3"/>
      <c r="DG755" s="3"/>
      <c r="DH755" s="3"/>
      <c r="DI755" s="861">
        <f>DE753*3</f>
        <v>156</v>
      </c>
      <c r="DJ755" s="3"/>
      <c r="DK755" s="3"/>
      <c r="DL755" s="3"/>
      <c r="DM755" s="3"/>
      <c r="DN755" s="861">
        <f>DJ753*4</f>
        <v>0</v>
      </c>
      <c r="DO755" s="3"/>
      <c r="DP755" s="3"/>
      <c r="DQ755" s="3"/>
      <c r="DR755" s="3"/>
      <c r="DS755" s="861">
        <f>DO753*5</f>
        <v>0</v>
      </c>
      <c r="DU755" s="861">
        <f>CT755+CY755+DD755+DI755+DN755+DS755</f>
        <v>350</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464">
        <f>DU755</f>
        <v>350</v>
      </c>
      <c r="P756" s="1464"/>
      <c r="Q756" s="1464"/>
      <c r="R756" s="1464"/>
      <c r="S756" s="969"/>
      <c r="T756" s="969"/>
      <c r="U756" s="118" t="s">
        <v>1893</v>
      </c>
      <c r="V756" s="1032"/>
      <c r="W756" s="1032"/>
      <c r="X756" s="1032"/>
      <c r="Y756" s="1033"/>
      <c r="Z756" s="1033"/>
      <c r="AA756" s="1033"/>
      <c r="AB756" s="1033"/>
      <c r="AC756" s="1032"/>
      <c r="AD756" s="1032"/>
      <c r="AE756" s="1032"/>
      <c r="AF756" s="1032"/>
      <c r="AG756" s="1743">
        <f>25+28+30</f>
        <v>83</v>
      </c>
      <c r="AH756" s="1743"/>
      <c r="AI756" s="1743"/>
      <c r="AJ756" s="1743"/>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63" t="s">
        <v>591</v>
      </c>
      <c r="AE759" s="1663"/>
      <c r="AF759" s="1663"/>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73" t="s">
        <v>2090</v>
      </c>
      <c r="D763" s="1273"/>
      <c r="E763" s="1273"/>
      <c r="F763" s="1273"/>
      <c r="G763" s="1273"/>
      <c r="H763" s="1273"/>
      <c r="I763" s="1273"/>
      <c r="J763" s="1273"/>
      <c r="K763" s="1273"/>
      <c r="L763" s="1273"/>
      <c r="M763" s="1273"/>
      <c r="N763" s="1273"/>
      <c r="O763" s="1273"/>
      <c r="P763" s="1273"/>
      <c r="Q763" s="1273"/>
      <c r="R763" s="1273"/>
      <c r="S763" s="1273"/>
      <c r="T763" s="1273"/>
      <c r="U763" s="1273"/>
      <c r="V763" s="1273"/>
      <c r="W763" s="1273"/>
      <c r="X763" s="1273"/>
      <c r="Y763" s="1273"/>
      <c r="Z763" s="1273"/>
      <c r="AA763" s="1273"/>
      <c r="AB763" s="1273"/>
      <c r="AC763" s="1273"/>
      <c r="AD763" s="1273"/>
      <c r="AE763" s="1273"/>
      <c r="AF763" s="1273"/>
      <c r="AG763" s="1273"/>
      <c r="AH763" s="1273"/>
      <c r="AI763" s="1273"/>
      <c r="AJ763" s="1273"/>
      <c r="AK763" s="1273"/>
      <c r="AL763" s="1273"/>
      <c r="AM763" s="1273"/>
      <c r="AN763" s="1273"/>
      <c r="AO763" s="1273"/>
      <c r="AP763" s="1273"/>
      <c r="AQ763" s="1273"/>
      <c r="AR763" s="1273"/>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73"/>
      <c r="D764" s="1273"/>
      <c r="E764" s="1273"/>
      <c r="F764" s="1273"/>
      <c r="G764" s="1273"/>
      <c r="H764" s="1273"/>
      <c r="I764" s="1273"/>
      <c r="J764" s="1273"/>
      <c r="K764" s="1273"/>
      <c r="L764" s="1273"/>
      <c r="M764" s="1273"/>
      <c r="N764" s="1273"/>
      <c r="O764" s="1273"/>
      <c r="P764" s="1273"/>
      <c r="Q764" s="1273"/>
      <c r="R764" s="1273"/>
      <c r="S764" s="1273"/>
      <c r="T764" s="1273"/>
      <c r="U764" s="1273"/>
      <c r="V764" s="1273"/>
      <c r="W764" s="1273"/>
      <c r="X764" s="1273"/>
      <c r="Y764" s="1273"/>
      <c r="Z764" s="1273"/>
      <c r="AA764" s="1273"/>
      <c r="AB764" s="1273"/>
      <c r="AC764" s="1273"/>
      <c r="AD764" s="1273"/>
      <c r="AE764" s="1273"/>
      <c r="AF764" s="1273"/>
      <c r="AG764" s="1273"/>
      <c r="AH764" s="1273"/>
      <c r="AI764" s="1273"/>
      <c r="AJ764" s="1273"/>
      <c r="AK764" s="1273"/>
      <c r="AL764" s="1273"/>
      <c r="AM764" s="1273"/>
      <c r="AN764" s="1273"/>
      <c r="AO764" s="1273"/>
      <c r="AP764" s="1273"/>
      <c r="AQ764" s="1273"/>
      <c r="AR764" s="1273"/>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73"/>
      <c r="D765" s="1273"/>
      <c r="E765" s="1273"/>
      <c r="F765" s="1273"/>
      <c r="G765" s="1273"/>
      <c r="H765" s="1273"/>
      <c r="I765" s="1273"/>
      <c r="J765" s="1273"/>
      <c r="K765" s="1273"/>
      <c r="L765" s="1273"/>
      <c r="M765" s="1273"/>
      <c r="N765" s="1273"/>
      <c r="O765" s="1273"/>
      <c r="P765" s="1273"/>
      <c r="Q765" s="1273"/>
      <c r="R765" s="1273"/>
      <c r="S765" s="1273"/>
      <c r="T765" s="1273"/>
      <c r="U765" s="1273"/>
      <c r="V765" s="1273"/>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73" t="s">
        <v>2091</v>
      </c>
      <c r="D766" s="1273"/>
      <c r="E766" s="1273"/>
      <c r="F766" s="1273"/>
      <c r="G766" s="1273"/>
      <c r="H766" s="1273"/>
      <c r="I766" s="1273"/>
      <c r="J766" s="1273"/>
      <c r="K766" s="1273"/>
      <c r="L766" s="1273"/>
      <c r="M766" s="1273"/>
      <c r="N766" s="1273"/>
      <c r="O766" s="1273"/>
      <c r="P766" s="1273"/>
      <c r="Q766" s="1273"/>
      <c r="R766" s="1273"/>
      <c r="S766" s="1273"/>
      <c r="T766" s="1273"/>
      <c r="U766" s="1273"/>
      <c r="V766" s="1273"/>
      <c r="W766" s="1273"/>
      <c r="X766" s="1273"/>
      <c r="Y766" s="1273"/>
      <c r="Z766" s="1273"/>
      <c r="AA766" s="1273"/>
      <c r="AB766" s="1273"/>
      <c r="AC766" s="1273"/>
      <c r="AD766" s="1273"/>
      <c r="AE766" s="1273"/>
      <c r="AF766" s="1273"/>
      <c r="AG766" s="1273"/>
      <c r="AH766" s="1273"/>
      <c r="AI766" s="1273"/>
      <c r="AJ766" s="1273"/>
      <c r="AK766" s="1273"/>
      <c r="AL766" s="1273"/>
      <c r="AM766" s="1273"/>
      <c r="AN766" s="1273"/>
      <c r="AO766" s="1273"/>
      <c r="AP766" s="1273"/>
      <c r="AQ766" s="1273"/>
      <c r="AR766" s="1273"/>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73"/>
      <c r="D767" s="1273"/>
      <c r="E767" s="1273"/>
      <c r="F767" s="1273"/>
      <c r="G767" s="1273"/>
      <c r="H767" s="1273"/>
      <c r="I767" s="1273"/>
      <c r="J767" s="1273"/>
      <c r="K767" s="1273"/>
      <c r="L767" s="1273"/>
      <c r="M767" s="1273"/>
      <c r="N767" s="1273"/>
      <c r="O767" s="1273"/>
      <c r="P767" s="1273"/>
      <c r="Q767" s="1273"/>
      <c r="R767" s="1273"/>
      <c r="S767" s="1273"/>
      <c r="T767" s="1273"/>
      <c r="U767" s="1273"/>
      <c r="V767" s="1273"/>
      <c r="W767" s="1273"/>
      <c r="X767" s="1273"/>
      <c r="Y767" s="1273"/>
      <c r="Z767" s="1273"/>
      <c r="AA767" s="1273"/>
      <c r="AB767" s="1273"/>
      <c r="AC767" s="1273"/>
      <c r="AD767" s="1273"/>
      <c r="AE767" s="1273"/>
      <c r="AF767" s="1273"/>
      <c r="AG767" s="1273"/>
      <c r="AH767" s="1273"/>
      <c r="AI767" s="1273"/>
      <c r="AJ767" s="1273"/>
      <c r="AK767" s="1273"/>
      <c r="AL767" s="1273"/>
      <c r="AM767" s="1273"/>
      <c r="AN767" s="1273"/>
      <c r="AO767" s="1273"/>
      <c r="AP767" s="1273"/>
      <c r="AQ767" s="1273"/>
      <c r="AR767" s="1273"/>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73"/>
      <c r="D768" s="1273"/>
      <c r="E768" s="1273"/>
      <c r="F768" s="1273"/>
      <c r="G768" s="1273"/>
      <c r="H768" s="1273"/>
      <c r="I768" s="1273"/>
      <c r="J768" s="1273"/>
      <c r="K768" s="1273"/>
      <c r="L768" s="1273"/>
      <c r="M768" s="1273"/>
      <c r="N768" s="1273"/>
      <c r="O768" s="1273"/>
      <c r="P768" s="1273"/>
      <c r="Q768" s="1273"/>
      <c r="R768" s="1273"/>
      <c r="S768" s="1273"/>
      <c r="T768" s="1273"/>
      <c r="U768" s="1273"/>
      <c r="V768" s="1273"/>
      <c r="W768" s="1273"/>
      <c r="X768" s="1273"/>
      <c r="Y768" s="1273"/>
      <c r="Z768" s="1273"/>
      <c r="AA768" s="1273"/>
      <c r="AB768" s="1273"/>
      <c r="AC768" s="1273"/>
      <c r="AD768" s="1273"/>
      <c r="AE768" s="1273"/>
      <c r="AF768" s="1273"/>
      <c r="AG768" s="1273"/>
      <c r="AH768" s="1273"/>
      <c r="AI768" s="1273"/>
      <c r="AJ768" s="1273"/>
      <c r="AK768" s="1273"/>
      <c r="AL768" s="1273"/>
      <c r="AM768" s="1273"/>
      <c r="AN768" s="1273"/>
      <c r="AO768" s="1273"/>
      <c r="AP768" s="1273"/>
      <c r="AQ768" s="1273"/>
      <c r="AR768" s="1273"/>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662" t="s">
        <v>389</v>
      </c>
      <c r="K769" s="1395"/>
      <c r="L769" s="1395"/>
      <c r="M769" s="1395"/>
      <c r="N769" s="1396"/>
      <c r="O769" s="1730" t="s">
        <v>285</v>
      </c>
      <c r="P769" s="1730"/>
      <c r="Q769" s="1730"/>
      <c r="R769" s="1730"/>
      <c r="S769" s="1730"/>
      <c r="T769" s="1731" t="s">
        <v>1679</v>
      </c>
      <c r="U769" s="1732"/>
      <c r="V769" s="1732"/>
      <c r="W769" s="1733"/>
      <c r="X769" s="1662" t="s">
        <v>447</v>
      </c>
      <c r="Y769" s="1395"/>
      <c r="Z769" s="1395"/>
      <c r="AA769" s="1395"/>
      <c r="AB769" s="1396"/>
      <c r="AC769" s="1662" t="s">
        <v>286</v>
      </c>
      <c r="AD769" s="1395"/>
      <c r="AE769" s="1395"/>
      <c r="AF769" s="1395"/>
      <c r="AG769" s="13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97"/>
      <c r="K770" s="1398"/>
      <c r="L770" s="1398"/>
      <c r="M770" s="1398"/>
      <c r="N770" s="1399"/>
      <c r="O770" s="1730"/>
      <c r="P770" s="1730"/>
      <c r="Q770" s="1730"/>
      <c r="R770" s="1730"/>
      <c r="S770" s="1730"/>
      <c r="T770" s="1734"/>
      <c r="U770" s="1735"/>
      <c r="V770" s="1735"/>
      <c r="W770" s="1736"/>
      <c r="X770" s="1397"/>
      <c r="Y770" s="1398"/>
      <c r="Z770" s="1398"/>
      <c r="AA770" s="1398"/>
      <c r="AB770" s="1399"/>
      <c r="AC770" s="1397"/>
      <c r="AD770" s="1398"/>
      <c r="AE770" s="1398"/>
      <c r="AF770" s="1398"/>
      <c r="AG770" s="13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97"/>
      <c r="K771" s="1398"/>
      <c r="L771" s="1398"/>
      <c r="M771" s="1398"/>
      <c r="N771" s="1399"/>
      <c r="O771" s="1730"/>
      <c r="P771" s="1730"/>
      <c r="Q771" s="1730"/>
      <c r="R771" s="1730"/>
      <c r="S771" s="1730"/>
      <c r="T771" s="1734"/>
      <c r="U771" s="1735"/>
      <c r="V771" s="1735"/>
      <c r="W771" s="1736"/>
      <c r="X771" s="1397"/>
      <c r="Y771" s="1398"/>
      <c r="Z771" s="1398"/>
      <c r="AA771" s="1398"/>
      <c r="AB771" s="1399"/>
      <c r="AC771" s="1397"/>
      <c r="AD771" s="1398"/>
      <c r="AE771" s="1398"/>
      <c r="AF771" s="1398"/>
      <c r="AG771" s="13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400"/>
      <c r="K772" s="1401"/>
      <c r="L772" s="1401"/>
      <c r="M772" s="1401"/>
      <c r="N772" s="1402"/>
      <c r="O772" s="1730"/>
      <c r="P772" s="1730"/>
      <c r="Q772" s="1730"/>
      <c r="R772" s="1730"/>
      <c r="S772" s="1730"/>
      <c r="T772" s="1737"/>
      <c r="U772" s="1738"/>
      <c r="V772" s="1738"/>
      <c r="W772" s="1739"/>
      <c r="X772" s="1400"/>
      <c r="Y772" s="1401"/>
      <c r="Z772" s="1401"/>
      <c r="AA772" s="1401"/>
      <c r="AB772" s="1402"/>
      <c r="AC772" s="1400"/>
      <c r="AD772" s="1401"/>
      <c r="AE772" s="1401"/>
      <c r="AF772" s="1401"/>
      <c r="AG772" s="14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41" t="s">
        <v>164</v>
      </c>
      <c r="K773" s="1342"/>
      <c r="L773" s="1342"/>
      <c r="M773" s="1342"/>
      <c r="N773" s="1343"/>
      <c r="O773" s="1619">
        <v>1</v>
      </c>
      <c r="P773" s="1619"/>
      <c r="Q773" s="1619"/>
      <c r="R773" s="1619"/>
      <c r="S773" s="1619"/>
      <c r="T773" s="1388">
        <v>1004</v>
      </c>
      <c r="U773" s="1389"/>
      <c r="V773" s="1389"/>
      <c r="W773" s="1390"/>
      <c r="X773" s="1368">
        <v>0</v>
      </c>
      <c r="Y773" s="1369"/>
      <c r="Z773" s="1369"/>
      <c r="AA773" s="1369"/>
      <c r="AB773" s="1370"/>
      <c r="AC773" s="1365">
        <f>X773*O773</f>
        <v>0</v>
      </c>
      <c r="AD773" s="1366"/>
      <c r="AE773" s="1366"/>
      <c r="AF773" s="1366"/>
      <c r="AG773" s="1367"/>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1">
        <f>IF(J773="SRO/Studio",O773,0)</f>
        <v>0</v>
      </c>
      <c r="CQ773" s="1462"/>
      <c r="CR773" s="1462"/>
      <c r="CS773" s="1462"/>
      <c r="CT773" s="1463"/>
      <c r="CU773" s="1460">
        <f>IF(J773="1 Bedroom",O773,0)</f>
        <v>0</v>
      </c>
      <c r="CV773" s="1460"/>
      <c r="CW773" s="1460"/>
      <c r="CX773" s="1460"/>
      <c r="CY773" s="1460"/>
      <c r="CZ773" s="1460">
        <f>IF(J773="2 Bedrooms",O773,0)</f>
        <v>0</v>
      </c>
      <c r="DA773" s="1460"/>
      <c r="DB773" s="1460"/>
      <c r="DC773" s="1460"/>
      <c r="DD773" s="1460"/>
      <c r="DE773" s="1460">
        <f>IF(J773="3 Bedrooms",O773,0)</f>
        <v>1</v>
      </c>
      <c r="DF773" s="1460"/>
      <c r="DG773" s="1460"/>
      <c r="DH773" s="1460"/>
      <c r="DI773" s="1460"/>
      <c r="DJ773" s="1460">
        <f>IF(J773="4 Bedrooms",O773,0)</f>
        <v>0</v>
      </c>
      <c r="DK773" s="1460"/>
      <c r="DL773" s="1460"/>
      <c r="DM773" s="1460"/>
      <c r="DN773" s="1460"/>
      <c r="DO773" s="1460">
        <f>IF(J773="5 Bedrooms",O773,0)</f>
        <v>0</v>
      </c>
      <c r="DP773" s="1460"/>
      <c r="DQ773" s="1460"/>
      <c r="DR773" s="1460"/>
      <c r="DS773" s="1460"/>
      <c r="DT773" s="6"/>
      <c r="DU773" s="3"/>
      <c r="DV773" s="3"/>
    </row>
    <row r="774" spans="1:126" ht="12.95" customHeight="1">
      <c r="J774" s="1341" t="s">
        <v>163</v>
      </c>
      <c r="K774" s="1342"/>
      <c r="L774" s="1342"/>
      <c r="M774" s="1342"/>
      <c r="N774" s="1343"/>
      <c r="O774" s="1619">
        <v>1</v>
      </c>
      <c r="P774" s="1619"/>
      <c r="Q774" s="1619"/>
      <c r="R774" s="1619"/>
      <c r="S774" s="1619"/>
      <c r="T774" s="1388">
        <v>850</v>
      </c>
      <c r="U774" s="1389"/>
      <c r="V774" s="1389"/>
      <c r="W774" s="1390"/>
      <c r="X774" s="1368">
        <v>0</v>
      </c>
      <c r="Y774" s="1369"/>
      <c r="Z774" s="1369"/>
      <c r="AA774" s="1369"/>
      <c r="AB774" s="1370"/>
      <c r="AC774" s="1365">
        <f>X774*O774</f>
        <v>0</v>
      </c>
      <c r="AD774" s="1366"/>
      <c r="AE774" s="1366"/>
      <c r="AF774" s="1366"/>
      <c r="AG774" s="1367"/>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1">
        <f>IF(J774="SRO/Studio",O774,0)</f>
        <v>0</v>
      </c>
      <c r="CQ774" s="1462"/>
      <c r="CR774" s="1462"/>
      <c r="CS774" s="1462"/>
      <c r="CT774" s="1463"/>
      <c r="CU774" s="1460">
        <f>IF(J774="1 Bedroom",O774,0)</f>
        <v>0</v>
      </c>
      <c r="CV774" s="1460"/>
      <c r="CW774" s="1460"/>
      <c r="CX774" s="1460"/>
      <c r="CY774" s="1460"/>
      <c r="CZ774" s="1460">
        <f>IF(J774="2 Bedrooms",O774,0)</f>
        <v>1</v>
      </c>
      <c r="DA774" s="1460"/>
      <c r="DB774" s="1460"/>
      <c r="DC774" s="1460"/>
      <c r="DD774" s="1460"/>
      <c r="DE774" s="1460">
        <f>IF(J774="3 Bedrooms",O774,0)</f>
        <v>0</v>
      </c>
      <c r="DF774" s="1460"/>
      <c r="DG774" s="1460"/>
      <c r="DH774" s="1460"/>
      <c r="DI774" s="1460"/>
      <c r="DJ774" s="1460">
        <f>IF(J774="4 Bedrooms",O774,0)</f>
        <v>0</v>
      </c>
      <c r="DK774" s="1460"/>
      <c r="DL774" s="1460"/>
      <c r="DM774" s="1460"/>
      <c r="DN774" s="1460"/>
      <c r="DO774" s="1460">
        <f>IF(J774="5 Bedrooms",O774,0)</f>
        <v>0</v>
      </c>
      <c r="DP774" s="1460"/>
      <c r="DQ774" s="1460"/>
      <c r="DR774" s="1460"/>
      <c r="DS774" s="1460"/>
      <c r="DT774" s="6"/>
      <c r="DU774" s="3"/>
      <c r="DV774" s="3"/>
    </row>
    <row r="775" spans="1:126" ht="12.95" customHeight="1">
      <c r="J775" s="1341"/>
      <c r="K775" s="1342"/>
      <c r="L775" s="1342"/>
      <c r="M775" s="1342"/>
      <c r="N775" s="1343"/>
      <c r="O775" s="1619"/>
      <c r="P775" s="1619"/>
      <c r="Q775" s="1619"/>
      <c r="R775" s="1619"/>
      <c r="S775" s="1619"/>
      <c r="T775" s="1388"/>
      <c r="U775" s="1389"/>
      <c r="V775" s="1389"/>
      <c r="W775" s="1390"/>
      <c r="X775" s="1368"/>
      <c r="Y775" s="1369"/>
      <c r="Z775" s="1369"/>
      <c r="AA775" s="1369"/>
      <c r="AB775" s="1370"/>
      <c r="AC775" s="1365">
        <f>X775*O775</f>
        <v>0</v>
      </c>
      <c r="AD775" s="1366"/>
      <c r="AE775" s="1366"/>
      <c r="AF775" s="1366"/>
      <c r="AG775" s="1367"/>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1">
        <f>IF(J775="SRO/Studio",O775,0)</f>
        <v>0</v>
      </c>
      <c r="CQ775" s="1462"/>
      <c r="CR775" s="1462"/>
      <c r="CS775" s="1462"/>
      <c r="CT775" s="1463"/>
      <c r="CU775" s="1460">
        <f>IF(J775="1 Bedroom",O775,0)</f>
        <v>0</v>
      </c>
      <c r="CV775" s="1460"/>
      <c r="CW775" s="1460"/>
      <c r="CX775" s="1460"/>
      <c r="CY775" s="1460"/>
      <c r="CZ775" s="1460">
        <f>IF(J775="2 Bedrooms",O775,0)</f>
        <v>0</v>
      </c>
      <c r="DA775" s="1460"/>
      <c r="DB775" s="1460"/>
      <c r="DC775" s="1460"/>
      <c r="DD775" s="1460"/>
      <c r="DE775" s="1460">
        <f>IF(J775="3 Bedrooms",O775,0)</f>
        <v>0</v>
      </c>
      <c r="DF775" s="1460"/>
      <c r="DG775" s="1460"/>
      <c r="DH775" s="1460"/>
      <c r="DI775" s="1460"/>
      <c r="DJ775" s="1460">
        <f>IF(J775="4 Bedrooms",O775,0)</f>
        <v>0</v>
      </c>
      <c r="DK775" s="1460"/>
      <c r="DL775" s="1460"/>
      <c r="DM775" s="1460"/>
      <c r="DN775" s="1460"/>
      <c r="DO775" s="1460">
        <f>IF(J775="5 Bedrooms",O775,0)</f>
        <v>0</v>
      </c>
      <c r="DP775" s="1460"/>
      <c r="DQ775" s="1460"/>
      <c r="DR775" s="1460"/>
      <c r="DS775" s="1460"/>
      <c r="DT775" s="1012"/>
    </row>
    <row r="776" spans="1:126" ht="12.95" customHeight="1">
      <c r="J776" s="1341"/>
      <c r="K776" s="1342"/>
      <c r="L776" s="1342"/>
      <c r="M776" s="1342"/>
      <c r="N776" s="1343"/>
      <c r="O776" s="1619"/>
      <c r="P776" s="1619"/>
      <c r="Q776" s="1619"/>
      <c r="R776" s="1619"/>
      <c r="S776" s="1619"/>
      <c r="T776" s="1388"/>
      <c r="U776" s="1389"/>
      <c r="V776" s="1389"/>
      <c r="W776" s="1390"/>
      <c r="X776" s="1368"/>
      <c r="Y776" s="1369"/>
      <c r="Z776" s="1369"/>
      <c r="AA776" s="1369"/>
      <c r="AB776" s="1370"/>
      <c r="AC776" s="1365">
        <f>X776*O776</f>
        <v>0</v>
      </c>
      <c r="AD776" s="1366"/>
      <c r="AE776" s="1366"/>
      <c r="AF776" s="1366"/>
      <c r="AG776" s="1367"/>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1">
        <f>IF(J776="SRO/Studio",O776,0)</f>
        <v>0</v>
      </c>
      <c r="CQ776" s="1462"/>
      <c r="CR776" s="1462"/>
      <c r="CS776" s="1462"/>
      <c r="CT776" s="1463"/>
      <c r="CU776" s="1460">
        <f>IF(J776="1 Bedroom",O776,0)</f>
        <v>0</v>
      </c>
      <c r="CV776" s="1460"/>
      <c r="CW776" s="1460"/>
      <c r="CX776" s="1460"/>
      <c r="CY776" s="1460"/>
      <c r="CZ776" s="1460">
        <f>IF(J776="2 Bedrooms",O776,0)</f>
        <v>0</v>
      </c>
      <c r="DA776" s="1460"/>
      <c r="DB776" s="1460"/>
      <c r="DC776" s="1460"/>
      <c r="DD776" s="1460"/>
      <c r="DE776" s="1460">
        <f>IF(J776="3 Bedrooms",O776,0)</f>
        <v>0</v>
      </c>
      <c r="DF776" s="1460"/>
      <c r="DG776" s="1460"/>
      <c r="DH776" s="1460"/>
      <c r="DI776" s="1460"/>
      <c r="DJ776" s="1460">
        <f>IF(J776="4 Bedrooms",O776,0)</f>
        <v>0</v>
      </c>
      <c r="DK776" s="1460"/>
      <c r="DL776" s="1460"/>
      <c r="DM776" s="1460"/>
      <c r="DN776" s="1460"/>
      <c r="DO776" s="1460">
        <f>IF(J776="5 Bedrooms",O776,0)</f>
        <v>0</v>
      </c>
      <c r="DP776" s="1460"/>
      <c r="DQ776" s="1460"/>
      <c r="DR776" s="1460"/>
      <c r="DS776" s="1460"/>
    </row>
    <row r="777" spans="1:126" ht="12.95" customHeight="1">
      <c r="J777" s="1650" t="s">
        <v>125</v>
      </c>
      <c r="K777" s="1651"/>
      <c r="L777" s="1651"/>
      <c r="M777" s="1651"/>
      <c r="N777" s="1652"/>
      <c r="O777" s="1468">
        <f>SUM(O773:S776)</f>
        <v>2</v>
      </c>
      <c r="P777" s="1469"/>
      <c r="Q777" s="1469"/>
      <c r="R777" s="1469"/>
      <c r="S777" s="1470"/>
      <c r="X777" s="1650" t="s">
        <v>124</v>
      </c>
      <c r="Y777" s="1651"/>
      <c r="Z777" s="1651"/>
      <c r="AA777" s="1651"/>
      <c r="AB777" s="1652"/>
      <c r="AC777" s="1365">
        <f>SUM(AC773:AG776)</f>
        <v>0</v>
      </c>
      <c r="AD777" s="1366"/>
      <c r="AE777" s="1366"/>
      <c r="AF777" s="1366"/>
      <c r="AG777" s="1367"/>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8">
        <f>SUM(CP773:CT776)</f>
        <v>0</v>
      </c>
      <c r="CQ777" s="1469"/>
      <c r="CR777" s="1469"/>
      <c r="CS777" s="1469"/>
      <c r="CT777" s="1470"/>
      <c r="CU777" s="1474">
        <f>SUM(CU773:CY776)</f>
        <v>0</v>
      </c>
      <c r="CV777" s="1475"/>
      <c r="CW777" s="1475"/>
      <c r="CX777" s="1475"/>
      <c r="CY777" s="1476"/>
      <c r="CZ777" s="1474">
        <f>SUM(CZ773:DD776)</f>
        <v>1</v>
      </c>
      <c r="DA777" s="1475"/>
      <c r="DB777" s="1475"/>
      <c r="DC777" s="1475"/>
      <c r="DD777" s="1476"/>
      <c r="DE777" s="1474">
        <f>SUM(DE773:DI776)</f>
        <v>1</v>
      </c>
      <c r="DF777" s="1475"/>
      <c r="DG777" s="1475"/>
      <c r="DH777" s="1475"/>
      <c r="DI777" s="1476"/>
      <c r="DJ777" s="1474">
        <f>SUM(DJ773:DN776)</f>
        <v>0</v>
      </c>
      <c r="DK777" s="1475"/>
      <c r="DL777" s="1475"/>
      <c r="DM777" s="1475"/>
      <c r="DN777" s="1476"/>
      <c r="DO777" s="1474">
        <f>SUM(DO773:DS776)</f>
        <v>0</v>
      </c>
      <c r="DP777" s="1475"/>
      <c r="DQ777" s="1475"/>
      <c r="DR777" s="1475"/>
      <c r="DS777" s="1476"/>
      <c r="DU777" s="861">
        <f>CP777+CU777+CZ777+DE777+DJ777+DO777</f>
        <v>2</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5</v>
      </c>
      <c r="DV778" s="57" t="s">
        <v>1862</v>
      </c>
    </row>
    <row r="779" spans="1:126" ht="12.95" customHeight="1">
      <c r="B779" s="56"/>
      <c r="C779" s="56"/>
      <c r="D779" s="56"/>
      <c r="E779" s="56"/>
      <c r="F779" s="56"/>
      <c r="G779" s="6"/>
      <c r="H779" s="6"/>
      <c r="I779" s="6"/>
      <c r="J779" s="1672" t="s">
        <v>669</v>
      </c>
      <c r="K779" s="1672"/>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662" t="s">
        <v>389</v>
      </c>
      <c r="K783" s="1395"/>
      <c r="L783" s="1395"/>
      <c r="M783" s="1395"/>
      <c r="N783" s="1396"/>
      <c r="O783" s="1730" t="s">
        <v>285</v>
      </c>
      <c r="P783" s="1730"/>
      <c r="Q783" s="1730"/>
      <c r="R783" s="1730"/>
      <c r="S783" s="1730"/>
      <c r="T783" s="1731" t="s">
        <v>1679</v>
      </c>
      <c r="U783" s="1732"/>
      <c r="V783" s="1732"/>
      <c r="W783" s="1733"/>
      <c r="X783" s="1662" t="s">
        <v>447</v>
      </c>
      <c r="Y783" s="1395"/>
      <c r="Z783" s="1395"/>
      <c r="AA783" s="1395"/>
      <c r="AB783" s="1396"/>
      <c r="AC783" s="1662" t="s">
        <v>286</v>
      </c>
      <c r="AD783" s="1395"/>
      <c r="AE783" s="1395"/>
      <c r="AF783" s="1395"/>
      <c r="AG783" s="13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97"/>
      <c r="K784" s="1398"/>
      <c r="L784" s="1398"/>
      <c r="M784" s="1398"/>
      <c r="N784" s="1399"/>
      <c r="O784" s="1730"/>
      <c r="P784" s="1730"/>
      <c r="Q784" s="1730"/>
      <c r="R784" s="1730"/>
      <c r="S784" s="1730"/>
      <c r="T784" s="1734"/>
      <c r="U784" s="1735"/>
      <c r="V784" s="1735"/>
      <c r="W784" s="1736"/>
      <c r="X784" s="1397"/>
      <c r="Y784" s="1398"/>
      <c r="Z784" s="1398"/>
      <c r="AA784" s="1398"/>
      <c r="AB784" s="1399"/>
      <c r="AC784" s="1397"/>
      <c r="AD784" s="1398"/>
      <c r="AE784" s="1398"/>
      <c r="AF784" s="1398"/>
      <c r="AG784" s="13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97"/>
      <c r="K785" s="1398"/>
      <c r="L785" s="1398"/>
      <c r="M785" s="1398"/>
      <c r="N785" s="1399"/>
      <c r="O785" s="1730"/>
      <c r="P785" s="1730"/>
      <c r="Q785" s="1730"/>
      <c r="R785" s="1730"/>
      <c r="S785" s="1730"/>
      <c r="T785" s="1734"/>
      <c r="U785" s="1735"/>
      <c r="V785" s="1735"/>
      <c r="W785" s="1736"/>
      <c r="X785" s="1397"/>
      <c r="Y785" s="1398"/>
      <c r="Z785" s="1398"/>
      <c r="AA785" s="1398"/>
      <c r="AB785" s="1399"/>
      <c r="AC785" s="1397"/>
      <c r="AD785" s="1398"/>
      <c r="AE785" s="1398"/>
      <c r="AF785" s="1398"/>
      <c r="AG785" s="13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400"/>
      <c r="K786" s="1401"/>
      <c r="L786" s="1401"/>
      <c r="M786" s="1401"/>
      <c r="N786" s="1402"/>
      <c r="O786" s="1730"/>
      <c r="P786" s="1730"/>
      <c r="Q786" s="1730"/>
      <c r="R786" s="1730"/>
      <c r="S786" s="1730"/>
      <c r="T786" s="1737"/>
      <c r="U786" s="1738"/>
      <c r="V786" s="1738"/>
      <c r="W786" s="1739"/>
      <c r="X786" s="1400"/>
      <c r="Y786" s="1401"/>
      <c r="Z786" s="1401"/>
      <c r="AA786" s="1401"/>
      <c r="AB786" s="1402"/>
      <c r="AC786" s="1400"/>
      <c r="AD786" s="1401"/>
      <c r="AE786" s="1401"/>
      <c r="AF786" s="1401"/>
      <c r="AG786" s="14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41"/>
      <c r="K787" s="1342"/>
      <c r="L787" s="1342"/>
      <c r="M787" s="1342"/>
      <c r="N787" s="1343"/>
      <c r="O787" s="1619"/>
      <c r="P787" s="1619"/>
      <c r="Q787" s="1619"/>
      <c r="R787" s="1619"/>
      <c r="S787" s="1619"/>
      <c r="T787" s="1388"/>
      <c r="U787" s="1389"/>
      <c r="V787" s="1389"/>
      <c r="W787" s="1390"/>
      <c r="X787" s="1368"/>
      <c r="Y787" s="1369"/>
      <c r="Z787" s="1369"/>
      <c r="AA787" s="1369"/>
      <c r="AB787" s="1370"/>
      <c r="AC787" s="1365">
        <f t="shared" ref="AC787:AC796" si="44">X787*O787</f>
        <v>0</v>
      </c>
      <c r="AD787" s="1366"/>
      <c r="AE787" s="1366"/>
      <c r="AF787" s="1366"/>
      <c r="AG787" s="136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1">
        <f t="shared" ref="CP787:CP796" si="45">IF(J787="SRO/Studio",O787,0)</f>
        <v>0</v>
      </c>
      <c r="CQ787" s="1462"/>
      <c r="CR787" s="1462"/>
      <c r="CS787" s="1462"/>
      <c r="CT787" s="1463"/>
      <c r="CU787" s="1461">
        <f t="shared" ref="CU787:CU796" si="46">IF(J787="1 Bedroom",O787,0)</f>
        <v>0</v>
      </c>
      <c r="CV787" s="1462"/>
      <c r="CW787" s="1462"/>
      <c r="CX787" s="1462"/>
      <c r="CY787" s="1463"/>
      <c r="CZ787" s="1461">
        <f t="shared" ref="CZ787:CZ796" si="47">IF(J787="2 Bedrooms",O787,0)</f>
        <v>0</v>
      </c>
      <c r="DA787" s="1462"/>
      <c r="DB787" s="1462"/>
      <c r="DC787" s="1462"/>
      <c r="DD787" s="1463"/>
      <c r="DE787" s="1461">
        <f t="shared" ref="DE787:DE796" si="48">IF(J787="3 Bedrooms",O787,0)</f>
        <v>0</v>
      </c>
      <c r="DF787" s="1462"/>
      <c r="DG787" s="1462"/>
      <c r="DH787" s="1462"/>
      <c r="DI787" s="1463"/>
      <c r="DJ787" s="1461">
        <f t="shared" ref="DJ787:DJ796" si="49">IF(J787="4 Bedrooms",O787,0)</f>
        <v>0</v>
      </c>
      <c r="DK787" s="1462"/>
      <c r="DL787" s="1462"/>
      <c r="DM787" s="1462"/>
      <c r="DN787" s="1463"/>
      <c r="DO787" s="1461">
        <f t="shared" ref="DO787:DO796" si="50">IF(J787="5 Bedrooms",O787,0)</f>
        <v>0</v>
      </c>
      <c r="DP787" s="1462"/>
      <c r="DQ787" s="1462"/>
      <c r="DR787" s="1462"/>
      <c r="DS787" s="1463"/>
      <c r="DT787" s="6"/>
      <c r="DU787" s="1461">
        <f t="shared" ref="DU787:DU796" si="51">IF(AND(CP787&gt;=1,AH787&gt;=0.1,AH787&lt;=1),O787,0)</f>
        <v>0</v>
      </c>
      <c r="DV787" s="1462"/>
      <c r="DW787" s="1462"/>
      <c r="DX787" s="1462"/>
      <c r="DY787" s="1463"/>
      <c r="DZ787" s="1461">
        <f t="shared" ref="DZ787:DZ796" si="52">IF(AND(CU787&gt;=1,AH787&gt;=0.1,AH787&lt;=1),O787,0)</f>
        <v>0</v>
      </c>
      <c r="EA787" s="1462"/>
      <c r="EB787" s="1462"/>
      <c r="EC787" s="1462"/>
      <c r="ED787" s="1463"/>
      <c r="EE787" s="1461">
        <f t="shared" ref="EE787:EE796" si="53">IF(AND(CZ787&gt;=1,AH787&gt;=0.1,AH787&lt;=1),O787,0)</f>
        <v>0</v>
      </c>
      <c r="EF787" s="1462"/>
      <c r="EG787" s="1462"/>
      <c r="EH787" s="1462"/>
      <c r="EI787" s="1463"/>
      <c r="EJ787" s="1461">
        <f t="shared" ref="EJ787:EJ796" si="54">IF(AND(DE787&gt;=1,AH787&gt;=0.1,AH787&lt;=1),O787,0)</f>
        <v>0</v>
      </c>
      <c r="EK787" s="1462"/>
      <c r="EL787" s="1462"/>
      <c r="EM787" s="1462"/>
      <c r="EN787" s="1463"/>
      <c r="EO787" s="1461">
        <f t="shared" ref="EO787:EO796" si="55">IF(AND(DJ787&gt;=1,AH787&gt;=0.1,AH787&lt;=1),O787,0)</f>
        <v>0</v>
      </c>
      <c r="EP787" s="1462"/>
      <c r="EQ787" s="1462"/>
      <c r="ER787" s="1462"/>
      <c r="ES787" s="1463"/>
      <c r="ET787" s="1461">
        <f t="shared" ref="ET787:ET796" si="56">IF(AND(DO787&gt;=1,AH787&gt;=0.1,AH787&lt;=1),O787,0)</f>
        <v>0</v>
      </c>
      <c r="EU787" s="1462"/>
      <c r="EV787" s="1462"/>
      <c r="EW787" s="1462"/>
      <c r="EX787" s="1463"/>
    </row>
    <row r="788" spans="1:154" s="14" customFormat="1" ht="12.95" customHeight="1">
      <c r="A788"/>
      <c r="B788"/>
      <c r="C788"/>
      <c r="D788"/>
      <c r="E788"/>
      <c r="F788"/>
      <c r="G788"/>
      <c r="H788"/>
      <c r="I788"/>
      <c r="J788" s="1341"/>
      <c r="K788" s="1342"/>
      <c r="L788" s="1342"/>
      <c r="M788" s="1342"/>
      <c r="N788" s="1343"/>
      <c r="O788" s="1619"/>
      <c r="P788" s="1619"/>
      <c r="Q788" s="1619"/>
      <c r="R788" s="1619"/>
      <c r="S788" s="1619"/>
      <c r="T788" s="1388"/>
      <c r="U788" s="1389"/>
      <c r="V788" s="1389"/>
      <c r="W788" s="1390"/>
      <c r="X788" s="1368"/>
      <c r="Y788" s="1369"/>
      <c r="Z788" s="1369"/>
      <c r="AA788" s="1369"/>
      <c r="AB788" s="1370"/>
      <c r="AC788" s="1365">
        <f t="shared" si="44"/>
        <v>0</v>
      </c>
      <c r="AD788" s="1366"/>
      <c r="AE788" s="1366"/>
      <c r="AF788" s="1366"/>
      <c r="AG788" s="136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1">
        <f t="shared" si="45"/>
        <v>0</v>
      </c>
      <c r="CQ788" s="1462"/>
      <c r="CR788" s="1462"/>
      <c r="CS788" s="1462"/>
      <c r="CT788" s="1463"/>
      <c r="CU788" s="1461">
        <f t="shared" si="46"/>
        <v>0</v>
      </c>
      <c r="CV788" s="1462"/>
      <c r="CW788" s="1462"/>
      <c r="CX788" s="1462"/>
      <c r="CY788" s="1463"/>
      <c r="CZ788" s="1461">
        <f t="shared" si="47"/>
        <v>0</v>
      </c>
      <c r="DA788" s="1462"/>
      <c r="DB788" s="1462"/>
      <c r="DC788" s="1462"/>
      <c r="DD788" s="1463"/>
      <c r="DE788" s="1461">
        <f t="shared" si="48"/>
        <v>0</v>
      </c>
      <c r="DF788" s="1462"/>
      <c r="DG788" s="1462"/>
      <c r="DH788" s="1462"/>
      <c r="DI788" s="1463"/>
      <c r="DJ788" s="1461">
        <f t="shared" si="49"/>
        <v>0</v>
      </c>
      <c r="DK788" s="1462"/>
      <c r="DL788" s="1462"/>
      <c r="DM788" s="1462"/>
      <c r="DN788" s="1463"/>
      <c r="DO788" s="1461">
        <f t="shared" si="50"/>
        <v>0</v>
      </c>
      <c r="DP788" s="1462"/>
      <c r="DQ788" s="1462"/>
      <c r="DR788" s="1462"/>
      <c r="DS788" s="1463"/>
      <c r="DT788" s="6"/>
      <c r="DU788" s="1461">
        <f t="shared" si="51"/>
        <v>0</v>
      </c>
      <c r="DV788" s="1462"/>
      <c r="DW788" s="1462"/>
      <c r="DX788" s="1462"/>
      <c r="DY788" s="1463"/>
      <c r="DZ788" s="1461">
        <f t="shared" si="52"/>
        <v>0</v>
      </c>
      <c r="EA788" s="1462"/>
      <c r="EB788" s="1462"/>
      <c r="EC788" s="1462"/>
      <c r="ED788" s="1463"/>
      <c r="EE788" s="1461">
        <f t="shared" si="53"/>
        <v>0</v>
      </c>
      <c r="EF788" s="1462"/>
      <c r="EG788" s="1462"/>
      <c r="EH788" s="1462"/>
      <c r="EI788" s="1463"/>
      <c r="EJ788" s="1461">
        <f t="shared" si="54"/>
        <v>0</v>
      </c>
      <c r="EK788" s="1462"/>
      <c r="EL788" s="1462"/>
      <c r="EM788" s="1462"/>
      <c r="EN788" s="1463"/>
      <c r="EO788" s="1461">
        <f t="shared" si="55"/>
        <v>0</v>
      </c>
      <c r="EP788" s="1462"/>
      <c r="EQ788" s="1462"/>
      <c r="ER788" s="1462"/>
      <c r="ES788" s="1463"/>
      <c r="ET788" s="1461">
        <f t="shared" si="56"/>
        <v>0</v>
      </c>
      <c r="EU788" s="1462"/>
      <c r="EV788" s="1462"/>
      <c r="EW788" s="1462"/>
      <c r="EX788" s="1463"/>
    </row>
    <row r="789" spans="1:154" s="14" customFormat="1" ht="12.95" customHeight="1">
      <c r="A789"/>
      <c r="B789"/>
      <c r="C789"/>
      <c r="D789"/>
      <c r="E789"/>
      <c r="F789"/>
      <c r="G789"/>
      <c r="H789"/>
      <c r="I789"/>
      <c r="J789" s="1341"/>
      <c r="K789" s="1342"/>
      <c r="L789" s="1342"/>
      <c r="M789" s="1342"/>
      <c r="N789" s="1343"/>
      <c r="O789" s="1619"/>
      <c r="P789" s="1619"/>
      <c r="Q789" s="1619"/>
      <c r="R789" s="1619"/>
      <c r="S789" s="1619"/>
      <c r="T789" s="1388"/>
      <c r="U789" s="1389"/>
      <c r="V789" s="1389"/>
      <c r="W789" s="1390"/>
      <c r="X789" s="1368"/>
      <c r="Y789" s="1369"/>
      <c r="Z789" s="1369"/>
      <c r="AA789" s="1369"/>
      <c r="AB789" s="1370"/>
      <c r="AC789" s="1365">
        <f t="shared" si="44"/>
        <v>0</v>
      </c>
      <c r="AD789" s="1366"/>
      <c r="AE789" s="1366"/>
      <c r="AF789" s="1366"/>
      <c r="AG789" s="136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1">
        <f t="shared" si="45"/>
        <v>0</v>
      </c>
      <c r="CQ789" s="1462"/>
      <c r="CR789" s="1462"/>
      <c r="CS789" s="1462"/>
      <c r="CT789" s="1463"/>
      <c r="CU789" s="1461">
        <f t="shared" si="46"/>
        <v>0</v>
      </c>
      <c r="CV789" s="1462"/>
      <c r="CW789" s="1462"/>
      <c r="CX789" s="1462"/>
      <c r="CY789" s="1463"/>
      <c r="CZ789" s="1461">
        <f t="shared" si="47"/>
        <v>0</v>
      </c>
      <c r="DA789" s="1462"/>
      <c r="DB789" s="1462"/>
      <c r="DC789" s="1462"/>
      <c r="DD789" s="1463"/>
      <c r="DE789" s="1461">
        <f t="shared" si="48"/>
        <v>0</v>
      </c>
      <c r="DF789" s="1462"/>
      <c r="DG789" s="1462"/>
      <c r="DH789" s="1462"/>
      <c r="DI789" s="1463"/>
      <c r="DJ789" s="1461">
        <f t="shared" si="49"/>
        <v>0</v>
      </c>
      <c r="DK789" s="1462"/>
      <c r="DL789" s="1462"/>
      <c r="DM789" s="1462"/>
      <c r="DN789" s="1463"/>
      <c r="DO789" s="1461">
        <f t="shared" si="50"/>
        <v>0</v>
      </c>
      <c r="DP789" s="1462"/>
      <c r="DQ789" s="1462"/>
      <c r="DR789" s="1462"/>
      <c r="DS789" s="1463"/>
      <c r="DT789" s="6"/>
      <c r="DU789" s="1461">
        <f t="shared" si="51"/>
        <v>0</v>
      </c>
      <c r="DV789" s="1462"/>
      <c r="DW789" s="1462"/>
      <c r="DX789" s="1462"/>
      <c r="DY789" s="1463"/>
      <c r="DZ789" s="1461">
        <f t="shared" si="52"/>
        <v>0</v>
      </c>
      <c r="EA789" s="1462"/>
      <c r="EB789" s="1462"/>
      <c r="EC789" s="1462"/>
      <c r="ED789" s="1463"/>
      <c r="EE789" s="1461">
        <f t="shared" si="53"/>
        <v>0</v>
      </c>
      <c r="EF789" s="1462"/>
      <c r="EG789" s="1462"/>
      <c r="EH789" s="1462"/>
      <c r="EI789" s="1463"/>
      <c r="EJ789" s="1461">
        <f t="shared" si="54"/>
        <v>0</v>
      </c>
      <c r="EK789" s="1462"/>
      <c r="EL789" s="1462"/>
      <c r="EM789" s="1462"/>
      <c r="EN789" s="1463"/>
      <c r="EO789" s="1461">
        <f t="shared" si="55"/>
        <v>0</v>
      </c>
      <c r="EP789" s="1462"/>
      <c r="EQ789" s="1462"/>
      <c r="ER789" s="1462"/>
      <c r="ES789" s="1463"/>
      <c r="ET789" s="1461">
        <f t="shared" si="56"/>
        <v>0</v>
      </c>
      <c r="EU789" s="1462"/>
      <c r="EV789" s="1462"/>
      <c r="EW789" s="1462"/>
      <c r="EX789" s="1463"/>
    </row>
    <row r="790" spans="1:154" s="14" customFormat="1" ht="12.95" customHeight="1">
      <c r="A790"/>
      <c r="B790"/>
      <c r="C790"/>
      <c r="D790"/>
      <c r="E790"/>
      <c r="F790"/>
      <c r="G790"/>
      <c r="H790"/>
      <c r="I790"/>
      <c r="J790" s="1341"/>
      <c r="K790" s="1342"/>
      <c r="L790" s="1342"/>
      <c r="M790" s="1342"/>
      <c r="N790" s="1343"/>
      <c r="O790" s="1619"/>
      <c r="P790" s="1619"/>
      <c r="Q790" s="1619"/>
      <c r="R790" s="1619"/>
      <c r="S790" s="1619"/>
      <c r="T790" s="1388"/>
      <c r="U790" s="1389"/>
      <c r="V790" s="1389"/>
      <c r="W790" s="1390"/>
      <c r="X790" s="1368"/>
      <c r="Y790" s="1369"/>
      <c r="Z790" s="1369"/>
      <c r="AA790" s="1369"/>
      <c r="AB790" s="1370"/>
      <c r="AC790" s="1365">
        <f t="shared" si="44"/>
        <v>0</v>
      </c>
      <c r="AD790" s="1366"/>
      <c r="AE790" s="1366"/>
      <c r="AF790" s="1366"/>
      <c r="AG790" s="136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1">
        <f t="shared" si="45"/>
        <v>0</v>
      </c>
      <c r="CQ790" s="1462"/>
      <c r="CR790" s="1462"/>
      <c r="CS790" s="1462"/>
      <c r="CT790" s="1463"/>
      <c r="CU790" s="1461">
        <f t="shared" si="46"/>
        <v>0</v>
      </c>
      <c r="CV790" s="1462"/>
      <c r="CW790" s="1462"/>
      <c r="CX790" s="1462"/>
      <c r="CY790" s="1463"/>
      <c r="CZ790" s="1461">
        <f t="shared" si="47"/>
        <v>0</v>
      </c>
      <c r="DA790" s="1462"/>
      <c r="DB790" s="1462"/>
      <c r="DC790" s="1462"/>
      <c r="DD790" s="1463"/>
      <c r="DE790" s="1461">
        <f t="shared" si="48"/>
        <v>0</v>
      </c>
      <c r="DF790" s="1462"/>
      <c r="DG790" s="1462"/>
      <c r="DH790" s="1462"/>
      <c r="DI790" s="1463"/>
      <c r="DJ790" s="1461">
        <f t="shared" si="49"/>
        <v>0</v>
      </c>
      <c r="DK790" s="1462"/>
      <c r="DL790" s="1462"/>
      <c r="DM790" s="1462"/>
      <c r="DN790" s="1463"/>
      <c r="DO790" s="1461">
        <f t="shared" si="50"/>
        <v>0</v>
      </c>
      <c r="DP790" s="1462"/>
      <c r="DQ790" s="1462"/>
      <c r="DR790" s="1462"/>
      <c r="DS790" s="1463"/>
      <c r="DT790" s="6"/>
      <c r="DU790" s="1461">
        <f t="shared" si="51"/>
        <v>0</v>
      </c>
      <c r="DV790" s="1462"/>
      <c r="DW790" s="1462"/>
      <c r="DX790" s="1462"/>
      <c r="DY790" s="1463"/>
      <c r="DZ790" s="1461">
        <f t="shared" si="52"/>
        <v>0</v>
      </c>
      <c r="EA790" s="1462"/>
      <c r="EB790" s="1462"/>
      <c r="EC790" s="1462"/>
      <c r="ED790" s="1463"/>
      <c r="EE790" s="1461">
        <f t="shared" si="53"/>
        <v>0</v>
      </c>
      <c r="EF790" s="1462"/>
      <c r="EG790" s="1462"/>
      <c r="EH790" s="1462"/>
      <c r="EI790" s="1463"/>
      <c r="EJ790" s="1461">
        <f t="shared" si="54"/>
        <v>0</v>
      </c>
      <c r="EK790" s="1462"/>
      <c r="EL790" s="1462"/>
      <c r="EM790" s="1462"/>
      <c r="EN790" s="1463"/>
      <c r="EO790" s="1461">
        <f t="shared" si="55"/>
        <v>0</v>
      </c>
      <c r="EP790" s="1462"/>
      <c r="EQ790" s="1462"/>
      <c r="ER790" s="1462"/>
      <c r="ES790" s="1463"/>
      <c r="ET790" s="1461">
        <f t="shared" si="56"/>
        <v>0</v>
      </c>
      <c r="EU790" s="1462"/>
      <c r="EV790" s="1462"/>
      <c r="EW790" s="1462"/>
      <c r="EX790" s="1463"/>
    </row>
    <row r="791" spans="1:154" s="14" customFormat="1" ht="12.95" customHeight="1">
      <c r="A791"/>
      <c r="B791"/>
      <c r="C791"/>
      <c r="D791"/>
      <c r="E791"/>
      <c r="F791"/>
      <c r="G791"/>
      <c r="H791"/>
      <c r="I791"/>
      <c r="J791" s="1341"/>
      <c r="K791" s="1342"/>
      <c r="L791" s="1342"/>
      <c r="M791" s="1342"/>
      <c r="N791" s="1343"/>
      <c r="O791" s="1619"/>
      <c r="P791" s="1619"/>
      <c r="Q791" s="1619"/>
      <c r="R791" s="1619"/>
      <c r="S791" s="1619"/>
      <c r="T791" s="1388"/>
      <c r="U791" s="1389"/>
      <c r="V791" s="1389"/>
      <c r="W791" s="1390"/>
      <c r="X791" s="1368"/>
      <c r="Y791" s="1369"/>
      <c r="Z791" s="1369"/>
      <c r="AA791" s="1369"/>
      <c r="AB791" s="1370"/>
      <c r="AC791" s="1365">
        <f t="shared" si="44"/>
        <v>0</v>
      </c>
      <c r="AD791" s="1366"/>
      <c r="AE791" s="1366"/>
      <c r="AF791" s="1366"/>
      <c r="AG791" s="136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1">
        <f t="shared" si="45"/>
        <v>0</v>
      </c>
      <c r="CQ791" s="1462"/>
      <c r="CR791" s="1462"/>
      <c r="CS791" s="1462"/>
      <c r="CT791" s="1463"/>
      <c r="CU791" s="1461">
        <f t="shared" si="46"/>
        <v>0</v>
      </c>
      <c r="CV791" s="1462"/>
      <c r="CW791" s="1462"/>
      <c r="CX791" s="1462"/>
      <c r="CY791" s="1463"/>
      <c r="CZ791" s="1461">
        <f t="shared" si="47"/>
        <v>0</v>
      </c>
      <c r="DA791" s="1462"/>
      <c r="DB791" s="1462"/>
      <c r="DC791" s="1462"/>
      <c r="DD791" s="1463"/>
      <c r="DE791" s="1461">
        <f t="shared" si="48"/>
        <v>0</v>
      </c>
      <c r="DF791" s="1462"/>
      <c r="DG791" s="1462"/>
      <c r="DH791" s="1462"/>
      <c r="DI791" s="1463"/>
      <c r="DJ791" s="1461">
        <f t="shared" si="49"/>
        <v>0</v>
      </c>
      <c r="DK791" s="1462"/>
      <c r="DL791" s="1462"/>
      <c r="DM791" s="1462"/>
      <c r="DN791" s="1463"/>
      <c r="DO791" s="1461">
        <f t="shared" si="50"/>
        <v>0</v>
      </c>
      <c r="DP791" s="1462"/>
      <c r="DQ791" s="1462"/>
      <c r="DR791" s="1462"/>
      <c r="DS791" s="1463"/>
      <c r="DT791" s="6"/>
      <c r="DU791" s="1461">
        <f t="shared" si="51"/>
        <v>0</v>
      </c>
      <c r="DV791" s="1462"/>
      <c r="DW791" s="1462"/>
      <c r="DX791" s="1462"/>
      <c r="DY791" s="1463"/>
      <c r="DZ791" s="1461">
        <f t="shared" si="52"/>
        <v>0</v>
      </c>
      <c r="EA791" s="1462"/>
      <c r="EB791" s="1462"/>
      <c r="EC791" s="1462"/>
      <c r="ED791" s="1463"/>
      <c r="EE791" s="1461">
        <f t="shared" si="53"/>
        <v>0</v>
      </c>
      <c r="EF791" s="1462"/>
      <c r="EG791" s="1462"/>
      <c r="EH791" s="1462"/>
      <c r="EI791" s="1463"/>
      <c r="EJ791" s="1461">
        <f t="shared" si="54"/>
        <v>0</v>
      </c>
      <c r="EK791" s="1462"/>
      <c r="EL791" s="1462"/>
      <c r="EM791" s="1462"/>
      <c r="EN791" s="1463"/>
      <c r="EO791" s="1461">
        <f t="shared" si="55"/>
        <v>0</v>
      </c>
      <c r="EP791" s="1462"/>
      <c r="EQ791" s="1462"/>
      <c r="ER791" s="1462"/>
      <c r="ES791" s="1463"/>
      <c r="ET791" s="1461">
        <f t="shared" si="56"/>
        <v>0</v>
      </c>
      <c r="EU791" s="1462"/>
      <c r="EV791" s="1462"/>
      <c r="EW791" s="1462"/>
      <c r="EX791" s="1463"/>
    </row>
    <row r="792" spans="1:154" s="14" customFormat="1" ht="12.95" customHeight="1">
      <c r="A792"/>
      <c r="B792"/>
      <c r="C792"/>
      <c r="D792"/>
      <c r="E792"/>
      <c r="F792"/>
      <c r="G792"/>
      <c r="H792"/>
      <c r="I792"/>
      <c r="J792" s="1341"/>
      <c r="K792" s="1342"/>
      <c r="L792" s="1342"/>
      <c r="M792" s="1342"/>
      <c r="N792" s="1343"/>
      <c r="O792" s="1619"/>
      <c r="P792" s="1619"/>
      <c r="Q792" s="1619"/>
      <c r="R792" s="1619"/>
      <c r="S792" s="1619"/>
      <c r="T792" s="1388"/>
      <c r="U792" s="1389"/>
      <c r="V792" s="1389"/>
      <c r="W792" s="1390"/>
      <c r="X792" s="1368"/>
      <c r="Y792" s="1369"/>
      <c r="Z792" s="1369"/>
      <c r="AA792" s="1369"/>
      <c r="AB792" s="1370"/>
      <c r="AC792" s="1365">
        <f t="shared" si="44"/>
        <v>0</v>
      </c>
      <c r="AD792" s="1366"/>
      <c r="AE792" s="1366"/>
      <c r="AF792" s="1366"/>
      <c r="AG792" s="136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1">
        <f t="shared" si="45"/>
        <v>0</v>
      </c>
      <c r="CQ792" s="1462"/>
      <c r="CR792" s="1462"/>
      <c r="CS792" s="1462"/>
      <c r="CT792" s="1463"/>
      <c r="CU792" s="1461">
        <f t="shared" si="46"/>
        <v>0</v>
      </c>
      <c r="CV792" s="1462"/>
      <c r="CW792" s="1462"/>
      <c r="CX792" s="1462"/>
      <c r="CY792" s="1463"/>
      <c r="CZ792" s="1461">
        <f t="shared" si="47"/>
        <v>0</v>
      </c>
      <c r="DA792" s="1462"/>
      <c r="DB792" s="1462"/>
      <c r="DC792" s="1462"/>
      <c r="DD792" s="1463"/>
      <c r="DE792" s="1461">
        <f t="shared" si="48"/>
        <v>0</v>
      </c>
      <c r="DF792" s="1462"/>
      <c r="DG792" s="1462"/>
      <c r="DH792" s="1462"/>
      <c r="DI792" s="1463"/>
      <c r="DJ792" s="1461">
        <f t="shared" si="49"/>
        <v>0</v>
      </c>
      <c r="DK792" s="1462"/>
      <c r="DL792" s="1462"/>
      <c r="DM792" s="1462"/>
      <c r="DN792" s="1463"/>
      <c r="DO792" s="1461">
        <f t="shared" si="50"/>
        <v>0</v>
      </c>
      <c r="DP792" s="1462"/>
      <c r="DQ792" s="1462"/>
      <c r="DR792" s="1462"/>
      <c r="DS792" s="1463"/>
      <c r="DT792" s="6"/>
      <c r="DU792" s="1461">
        <f t="shared" si="51"/>
        <v>0</v>
      </c>
      <c r="DV792" s="1462"/>
      <c r="DW792" s="1462"/>
      <c r="DX792" s="1462"/>
      <c r="DY792" s="1463"/>
      <c r="DZ792" s="1461">
        <f t="shared" si="52"/>
        <v>0</v>
      </c>
      <c r="EA792" s="1462"/>
      <c r="EB792" s="1462"/>
      <c r="EC792" s="1462"/>
      <c r="ED792" s="1463"/>
      <c r="EE792" s="1461">
        <f t="shared" si="53"/>
        <v>0</v>
      </c>
      <c r="EF792" s="1462"/>
      <c r="EG792" s="1462"/>
      <c r="EH792" s="1462"/>
      <c r="EI792" s="1463"/>
      <c r="EJ792" s="1461">
        <f t="shared" si="54"/>
        <v>0</v>
      </c>
      <c r="EK792" s="1462"/>
      <c r="EL792" s="1462"/>
      <c r="EM792" s="1462"/>
      <c r="EN792" s="1463"/>
      <c r="EO792" s="1461">
        <f t="shared" si="55"/>
        <v>0</v>
      </c>
      <c r="EP792" s="1462"/>
      <c r="EQ792" s="1462"/>
      <c r="ER792" s="1462"/>
      <c r="ES792" s="1463"/>
      <c r="ET792" s="1461">
        <f t="shared" si="56"/>
        <v>0</v>
      </c>
      <c r="EU792" s="1462"/>
      <c r="EV792" s="1462"/>
      <c r="EW792" s="1462"/>
      <c r="EX792" s="1463"/>
    </row>
    <row r="793" spans="1:154" s="14" customFormat="1" ht="12.95" customHeight="1">
      <c r="A793"/>
      <c r="B793"/>
      <c r="C793"/>
      <c r="D793"/>
      <c r="E793"/>
      <c r="F793"/>
      <c r="G793"/>
      <c r="H793"/>
      <c r="I793"/>
      <c r="J793" s="1341"/>
      <c r="K793" s="1342"/>
      <c r="L793" s="1342"/>
      <c r="M793" s="1342"/>
      <c r="N793" s="1343"/>
      <c r="O793" s="1619"/>
      <c r="P793" s="1619"/>
      <c r="Q793" s="1619"/>
      <c r="R793" s="1619"/>
      <c r="S793" s="1619"/>
      <c r="T793" s="1388"/>
      <c r="U793" s="1389"/>
      <c r="V793" s="1389"/>
      <c r="W793" s="1390"/>
      <c r="X793" s="1368"/>
      <c r="Y793" s="1369"/>
      <c r="Z793" s="1369"/>
      <c r="AA793" s="1369"/>
      <c r="AB793" s="1370"/>
      <c r="AC793" s="1365">
        <f t="shared" si="44"/>
        <v>0</v>
      </c>
      <c r="AD793" s="1366"/>
      <c r="AE793" s="1366"/>
      <c r="AF793" s="1366"/>
      <c r="AG793" s="136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1">
        <f t="shared" si="45"/>
        <v>0</v>
      </c>
      <c r="CQ793" s="1462"/>
      <c r="CR793" s="1462"/>
      <c r="CS793" s="1462"/>
      <c r="CT793" s="1463"/>
      <c r="CU793" s="1461">
        <f t="shared" si="46"/>
        <v>0</v>
      </c>
      <c r="CV793" s="1462"/>
      <c r="CW793" s="1462"/>
      <c r="CX793" s="1462"/>
      <c r="CY793" s="1463"/>
      <c r="CZ793" s="1461">
        <f t="shared" si="47"/>
        <v>0</v>
      </c>
      <c r="DA793" s="1462"/>
      <c r="DB793" s="1462"/>
      <c r="DC793" s="1462"/>
      <c r="DD793" s="1463"/>
      <c r="DE793" s="1461">
        <f t="shared" si="48"/>
        <v>0</v>
      </c>
      <c r="DF793" s="1462"/>
      <c r="DG793" s="1462"/>
      <c r="DH793" s="1462"/>
      <c r="DI793" s="1463"/>
      <c r="DJ793" s="1461">
        <f t="shared" si="49"/>
        <v>0</v>
      </c>
      <c r="DK793" s="1462"/>
      <c r="DL793" s="1462"/>
      <c r="DM793" s="1462"/>
      <c r="DN793" s="1463"/>
      <c r="DO793" s="1461">
        <f t="shared" si="50"/>
        <v>0</v>
      </c>
      <c r="DP793" s="1462"/>
      <c r="DQ793" s="1462"/>
      <c r="DR793" s="1462"/>
      <c r="DS793" s="1463"/>
      <c r="DT793" s="6"/>
      <c r="DU793" s="1461">
        <f t="shared" si="51"/>
        <v>0</v>
      </c>
      <c r="DV793" s="1462"/>
      <c r="DW793" s="1462"/>
      <c r="DX793" s="1462"/>
      <c r="DY793" s="1463"/>
      <c r="DZ793" s="1461">
        <f t="shared" si="52"/>
        <v>0</v>
      </c>
      <c r="EA793" s="1462"/>
      <c r="EB793" s="1462"/>
      <c r="EC793" s="1462"/>
      <c r="ED793" s="1463"/>
      <c r="EE793" s="1461">
        <f t="shared" si="53"/>
        <v>0</v>
      </c>
      <c r="EF793" s="1462"/>
      <c r="EG793" s="1462"/>
      <c r="EH793" s="1462"/>
      <c r="EI793" s="1463"/>
      <c r="EJ793" s="1461">
        <f t="shared" si="54"/>
        <v>0</v>
      </c>
      <c r="EK793" s="1462"/>
      <c r="EL793" s="1462"/>
      <c r="EM793" s="1462"/>
      <c r="EN793" s="1463"/>
      <c r="EO793" s="1461">
        <f t="shared" si="55"/>
        <v>0</v>
      </c>
      <c r="EP793" s="1462"/>
      <c r="EQ793" s="1462"/>
      <c r="ER793" s="1462"/>
      <c r="ES793" s="1463"/>
      <c r="ET793" s="1461">
        <f t="shared" si="56"/>
        <v>0</v>
      </c>
      <c r="EU793" s="1462"/>
      <c r="EV793" s="1462"/>
      <c r="EW793" s="1462"/>
      <c r="EX793" s="1463"/>
    </row>
    <row r="794" spans="1:154" s="14" customFormat="1" ht="12.95" customHeight="1">
      <c r="A794"/>
      <c r="B794"/>
      <c r="C794"/>
      <c r="D794"/>
      <c r="E794"/>
      <c r="F794"/>
      <c r="G794"/>
      <c r="H794"/>
      <c r="I794"/>
      <c r="J794" s="1341"/>
      <c r="K794" s="1342"/>
      <c r="L794" s="1342"/>
      <c r="M794" s="1342"/>
      <c r="N794" s="1343"/>
      <c r="O794" s="1619"/>
      <c r="P794" s="1619"/>
      <c r="Q794" s="1619"/>
      <c r="R794" s="1619"/>
      <c r="S794" s="1619"/>
      <c r="T794" s="1388"/>
      <c r="U794" s="1389"/>
      <c r="V794" s="1389"/>
      <c r="W794" s="1390"/>
      <c r="X794" s="1368"/>
      <c r="Y794" s="1369"/>
      <c r="Z794" s="1369"/>
      <c r="AA794" s="1369"/>
      <c r="AB794" s="1370"/>
      <c r="AC794" s="1365">
        <f t="shared" si="44"/>
        <v>0</v>
      </c>
      <c r="AD794" s="1366"/>
      <c r="AE794" s="1366"/>
      <c r="AF794" s="1366"/>
      <c r="AG794" s="136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1">
        <f t="shared" si="45"/>
        <v>0</v>
      </c>
      <c r="CQ794" s="1462"/>
      <c r="CR794" s="1462"/>
      <c r="CS794" s="1462"/>
      <c r="CT794" s="1463"/>
      <c r="CU794" s="1461">
        <f t="shared" si="46"/>
        <v>0</v>
      </c>
      <c r="CV794" s="1462"/>
      <c r="CW794" s="1462"/>
      <c r="CX794" s="1462"/>
      <c r="CY794" s="1463"/>
      <c r="CZ794" s="1461">
        <f t="shared" si="47"/>
        <v>0</v>
      </c>
      <c r="DA794" s="1462"/>
      <c r="DB794" s="1462"/>
      <c r="DC794" s="1462"/>
      <c r="DD794" s="1463"/>
      <c r="DE794" s="1461">
        <f t="shared" si="48"/>
        <v>0</v>
      </c>
      <c r="DF794" s="1462"/>
      <c r="DG794" s="1462"/>
      <c r="DH794" s="1462"/>
      <c r="DI794" s="1463"/>
      <c r="DJ794" s="1461">
        <f t="shared" si="49"/>
        <v>0</v>
      </c>
      <c r="DK794" s="1462"/>
      <c r="DL794" s="1462"/>
      <c r="DM794" s="1462"/>
      <c r="DN794" s="1463"/>
      <c r="DO794" s="1461">
        <f t="shared" si="50"/>
        <v>0</v>
      </c>
      <c r="DP794" s="1462"/>
      <c r="DQ794" s="1462"/>
      <c r="DR794" s="1462"/>
      <c r="DS794" s="1463"/>
      <c r="DT794" s="6"/>
      <c r="DU794" s="1461">
        <f t="shared" si="51"/>
        <v>0</v>
      </c>
      <c r="DV794" s="1462"/>
      <c r="DW794" s="1462"/>
      <c r="DX794" s="1462"/>
      <c r="DY794" s="1463"/>
      <c r="DZ794" s="1461">
        <f t="shared" si="52"/>
        <v>0</v>
      </c>
      <c r="EA794" s="1462"/>
      <c r="EB794" s="1462"/>
      <c r="EC794" s="1462"/>
      <c r="ED794" s="1463"/>
      <c r="EE794" s="1461">
        <f t="shared" si="53"/>
        <v>0</v>
      </c>
      <c r="EF794" s="1462"/>
      <c r="EG794" s="1462"/>
      <c r="EH794" s="1462"/>
      <c r="EI794" s="1463"/>
      <c r="EJ794" s="1461">
        <f t="shared" si="54"/>
        <v>0</v>
      </c>
      <c r="EK794" s="1462"/>
      <c r="EL794" s="1462"/>
      <c r="EM794" s="1462"/>
      <c r="EN794" s="1463"/>
      <c r="EO794" s="1461">
        <f t="shared" si="55"/>
        <v>0</v>
      </c>
      <c r="EP794" s="1462"/>
      <c r="EQ794" s="1462"/>
      <c r="ER794" s="1462"/>
      <c r="ES794" s="1463"/>
      <c r="ET794" s="1461">
        <f t="shared" si="56"/>
        <v>0</v>
      </c>
      <c r="EU794" s="1462"/>
      <c r="EV794" s="1462"/>
      <c r="EW794" s="1462"/>
      <c r="EX794" s="1463"/>
    </row>
    <row r="795" spans="1:154" s="14" customFormat="1" ht="12.95" customHeight="1">
      <c r="A795"/>
      <c r="B795"/>
      <c r="C795"/>
      <c r="D795"/>
      <c r="E795"/>
      <c r="F795"/>
      <c r="G795"/>
      <c r="H795"/>
      <c r="I795"/>
      <c r="J795" s="1341"/>
      <c r="K795" s="1342"/>
      <c r="L795" s="1342"/>
      <c r="M795" s="1342"/>
      <c r="N795" s="1343"/>
      <c r="O795" s="1619"/>
      <c r="P795" s="1619"/>
      <c r="Q795" s="1619"/>
      <c r="R795" s="1619"/>
      <c r="S795" s="1619"/>
      <c r="T795" s="1388"/>
      <c r="U795" s="1389"/>
      <c r="V795" s="1389"/>
      <c r="W795" s="1390"/>
      <c r="X795" s="1368"/>
      <c r="Y795" s="1369"/>
      <c r="Z795" s="1369"/>
      <c r="AA795" s="1369"/>
      <c r="AB795" s="1370"/>
      <c r="AC795" s="1365">
        <f t="shared" si="44"/>
        <v>0</v>
      </c>
      <c r="AD795" s="1366"/>
      <c r="AE795" s="1366"/>
      <c r="AF795" s="1366"/>
      <c r="AG795" s="136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1">
        <f t="shared" si="45"/>
        <v>0</v>
      </c>
      <c r="CQ795" s="1462"/>
      <c r="CR795" s="1462"/>
      <c r="CS795" s="1462"/>
      <c r="CT795" s="1463"/>
      <c r="CU795" s="1461">
        <f t="shared" si="46"/>
        <v>0</v>
      </c>
      <c r="CV795" s="1462"/>
      <c r="CW795" s="1462"/>
      <c r="CX795" s="1462"/>
      <c r="CY795" s="1463"/>
      <c r="CZ795" s="1461">
        <f t="shared" si="47"/>
        <v>0</v>
      </c>
      <c r="DA795" s="1462"/>
      <c r="DB795" s="1462"/>
      <c r="DC795" s="1462"/>
      <c r="DD795" s="1463"/>
      <c r="DE795" s="1461">
        <f t="shared" si="48"/>
        <v>0</v>
      </c>
      <c r="DF795" s="1462"/>
      <c r="DG795" s="1462"/>
      <c r="DH795" s="1462"/>
      <c r="DI795" s="1463"/>
      <c r="DJ795" s="1461">
        <f t="shared" si="49"/>
        <v>0</v>
      </c>
      <c r="DK795" s="1462"/>
      <c r="DL795" s="1462"/>
      <c r="DM795" s="1462"/>
      <c r="DN795" s="1463"/>
      <c r="DO795" s="1461">
        <f t="shared" si="50"/>
        <v>0</v>
      </c>
      <c r="DP795" s="1462"/>
      <c r="DQ795" s="1462"/>
      <c r="DR795" s="1462"/>
      <c r="DS795" s="1463"/>
      <c r="DT795" s="6"/>
      <c r="DU795" s="1461">
        <f t="shared" si="51"/>
        <v>0</v>
      </c>
      <c r="DV795" s="1462"/>
      <c r="DW795" s="1462"/>
      <c r="DX795" s="1462"/>
      <c r="DY795" s="1463"/>
      <c r="DZ795" s="1461">
        <f t="shared" si="52"/>
        <v>0</v>
      </c>
      <c r="EA795" s="1462"/>
      <c r="EB795" s="1462"/>
      <c r="EC795" s="1462"/>
      <c r="ED795" s="1463"/>
      <c r="EE795" s="1461">
        <f t="shared" si="53"/>
        <v>0</v>
      </c>
      <c r="EF795" s="1462"/>
      <c r="EG795" s="1462"/>
      <c r="EH795" s="1462"/>
      <c r="EI795" s="1463"/>
      <c r="EJ795" s="1461">
        <f t="shared" si="54"/>
        <v>0</v>
      </c>
      <c r="EK795" s="1462"/>
      <c r="EL795" s="1462"/>
      <c r="EM795" s="1462"/>
      <c r="EN795" s="1463"/>
      <c r="EO795" s="1461">
        <f t="shared" si="55"/>
        <v>0</v>
      </c>
      <c r="EP795" s="1462"/>
      <c r="EQ795" s="1462"/>
      <c r="ER795" s="1462"/>
      <c r="ES795" s="1463"/>
      <c r="ET795" s="1461">
        <f t="shared" si="56"/>
        <v>0</v>
      </c>
      <c r="EU795" s="1462"/>
      <c r="EV795" s="1462"/>
      <c r="EW795" s="1462"/>
      <c r="EX795" s="1463"/>
    </row>
    <row r="796" spans="1:154" s="4" customFormat="1" ht="12.95" customHeight="1">
      <c r="A796"/>
      <c r="B796"/>
      <c r="C796"/>
      <c r="D796"/>
      <c r="E796"/>
      <c r="F796"/>
      <c r="G796"/>
      <c r="H796"/>
      <c r="I796"/>
      <c r="J796" s="1341"/>
      <c r="K796" s="1342"/>
      <c r="L796" s="1342"/>
      <c r="M796" s="1342"/>
      <c r="N796" s="1343"/>
      <c r="O796" s="1619"/>
      <c r="P796" s="1619"/>
      <c r="Q796" s="1619"/>
      <c r="R796" s="1619"/>
      <c r="S796" s="1619"/>
      <c r="T796" s="1388"/>
      <c r="U796" s="1389"/>
      <c r="V796" s="1389"/>
      <c r="W796" s="1390"/>
      <c r="X796" s="1368"/>
      <c r="Y796" s="1369"/>
      <c r="Z796" s="1369"/>
      <c r="AA796" s="1369"/>
      <c r="AB796" s="1370"/>
      <c r="AC796" s="1365">
        <f t="shared" si="44"/>
        <v>0</v>
      </c>
      <c r="AD796" s="1366"/>
      <c r="AE796" s="1366"/>
      <c r="AF796" s="1366"/>
      <c r="AG796" s="1367"/>
      <c r="AH796"/>
      <c r="AI796"/>
      <c r="AJ796"/>
      <c r="AK796"/>
      <c r="AL796"/>
      <c r="AM796"/>
      <c r="AN796"/>
      <c r="AO796"/>
      <c r="AP796"/>
      <c r="AQ796"/>
      <c r="AR796"/>
      <c r="AS796"/>
      <c r="AT796"/>
      <c r="AU796"/>
      <c r="AV796"/>
      <c r="AW796"/>
      <c r="AX796"/>
      <c r="AY796"/>
      <c r="AZ796" s="3"/>
      <c r="CP796" s="1461">
        <f t="shared" si="45"/>
        <v>0</v>
      </c>
      <c r="CQ796" s="1462"/>
      <c r="CR796" s="1462"/>
      <c r="CS796" s="1462"/>
      <c r="CT796" s="1463"/>
      <c r="CU796" s="1461">
        <f t="shared" si="46"/>
        <v>0</v>
      </c>
      <c r="CV796" s="1462"/>
      <c r="CW796" s="1462"/>
      <c r="CX796" s="1462"/>
      <c r="CY796" s="1463"/>
      <c r="CZ796" s="1461">
        <f t="shared" si="47"/>
        <v>0</v>
      </c>
      <c r="DA796" s="1462"/>
      <c r="DB796" s="1462"/>
      <c r="DC796" s="1462"/>
      <c r="DD796" s="1463"/>
      <c r="DE796" s="1461">
        <f t="shared" si="48"/>
        <v>0</v>
      </c>
      <c r="DF796" s="1462"/>
      <c r="DG796" s="1462"/>
      <c r="DH796" s="1462"/>
      <c r="DI796" s="1463"/>
      <c r="DJ796" s="1461">
        <f t="shared" si="49"/>
        <v>0</v>
      </c>
      <c r="DK796" s="1462"/>
      <c r="DL796" s="1462"/>
      <c r="DM796" s="1462"/>
      <c r="DN796" s="1463"/>
      <c r="DO796" s="1461">
        <f t="shared" si="50"/>
        <v>0</v>
      </c>
      <c r="DP796" s="1462"/>
      <c r="DQ796" s="1462"/>
      <c r="DR796" s="1462"/>
      <c r="DS796" s="1463"/>
      <c r="DT796" s="6"/>
      <c r="DU796" s="1461">
        <f t="shared" si="51"/>
        <v>0</v>
      </c>
      <c r="DV796" s="1462"/>
      <c r="DW796" s="1462"/>
      <c r="DX796" s="1462"/>
      <c r="DY796" s="1463"/>
      <c r="DZ796" s="1461">
        <f t="shared" si="52"/>
        <v>0</v>
      </c>
      <c r="EA796" s="1462"/>
      <c r="EB796" s="1462"/>
      <c r="EC796" s="1462"/>
      <c r="ED796" s="1463"/>
      <c r="EE796" s="1461">
        <f t="shared" si="53"/>
        <v>0</v>
      </c>
      <c r="EF796" s="1462"/>
      <c r="EG796" s="1462"/>
      <c r="EH796" s="1462"/>
      <c r="EI796" s="1463"/>
      <c r="EJ796" s="1461">
        <f t="shared" si="54"/>
        <v>0</v>
      </c>
      <c r="EK796" s="1462"/>
      <c r="EL796" s="1462"/>
      <c r="EM796" s="1462"/>
      <c r="EN796" s="1463"/>
      <c r="EO796" s="1461">
        <f t="shared" si="55"/>
        <v>0</v>
      </c>
      <c r="EP796" s="1462"/>
      <c r="EQ796" s="1462"/>
      <c r="ER796" s="1462"/>
      <c r="ES796" s="1463"/>
      <c r="ET796" s="1461">
        <f t="shared" si="56"/>
        <v>0</v>
      </c>
      <c r="EU796" s="1462"/>
      <c r="EV796" s="1462"/>
      <c r="EW796" s="1462"/>
      <c r="EX796" s="1463"/>
    </row>
    <row r="797" spans="1:154" s="4" customFormat="1" ht="12.95" customHeight="1">
      <c r="A797"/>
      <c r="B797"/>
      <c r="C797"/>
      <c r="D797"/>
      <c r="E797"/>
      <c r="F797"/>
      <c r="G797"/>
      <c r="H797"/>
      <c r="I797"/>
      <c r="J797" s="1650" t="s">
        <v>125</v>
      </c>
      <c r="K797" s="1651"/>
      <c r="L797" s="1651"/>
      <c r="M797" s="1651"/>
      <c r="N797" s="1652"/>
      <c r="O797" s="1728">
        <f>SUM(O787:S796)</f>
        <v>0</v>
      </c>
      <c r="P797" s="1728"/>
      <c r="Q797" s="1728"/>
      <c r="R797" s="1728"/>
      <c r="S797" s="1728"/>
      <c r="T797"/>
      <c r="U797"/>
      <c r="V797"/>
      <c r="W797"/>
      <c r="X797" s="902" t="s">
        <v>124</v>
      </c>
      <c r="Y797" s="11"/>
      <c r="Z797" s="11"/>
      <c r="AA797" s="11"/>
      <c r="AB797" s="909"/>
      <c r="AC797" s="1365">
        <f>SUM(AC787:AG796)</f>
        <v>0</v>
      </c>
      <c r="AD797" s="1366"/>
      <c r="AE797" s="1366"/>
      <c r="AF797" s="1366"/>
      <c r="AG797" s="1367"/>
      <c r="AH797"/>
      <c r="AI797"/>
      <c r="AJ797"/>
      <c r="AK797"/>
      <c r="AL797"/>
      <c r="AM797"/>
      <c r="AN797"/>
      <c r="AO797"/>
      <c r="AP797"/>
      <c r="AQ797"/>
      <c r="AR797"/>
      <c r="AS797"/>
      <c r="AT797"/>
      <c r="AU797"/>
      <c r="AV797"/>
      <c r="AW797"/>
      <c r="AX797"/>
      <c r="AY797"/>
      <c r="AZ797" s="3"/>
      <c r="BA797"/>
      <c r="CP797" s="1468">
        <f>SUM(CP787:CT796)</f>
        <v>0</v>
      </c>
      <c r="CQ797" s="1469"/>
      <c r="CR797" s="1469"/>
      <c r="CS797" s="1469"/>
      <c r="CT797" s="1470"/>
      <c r="CU797" s="1474">
        <f>SUM(CU787:CY796)</f>
        <v>0</v>
      </c>
      <c r="CV797" s="1475"/>
      <c r="CW797" s="1475"/>
      <c r="CX797" s="1475"/>
      <c r="CY797" s="1476"/>
      <c r="CZ797" s="1474">
        <f>SUM(CZ787:DD796)</f>
        <v>0</v>
      </c>
      <c r="DA797" s="1475"/>
      <c r="DB797" s="1475"/>
      <c r="DC797" s="1475"/>
      <c r="DD797" s="1476"/>
      <c r="DE797" s="1474">
        <f>SUM(DE787:DI796)</f>
        <v>0</v>
      </c>
      <c r="DF797" s="1475"/>
      <c r="DG797" s="1475"/>
      <c r="DH797" s="1475"/>
      <c r="DI797" s="1476"/>
      <c r="DJ797" s="1474">
        <f>SUM(DJ787:DN796)</f>
        <v>0</v>
      </c>
      <c r="DK797" s="1475"/>
      <c r="DL797" s="1475"/>
      <c r="DM797" s="1475"/>
      <c r="DN797" s="1476"/>
      <c r="DO797" s="1474">
        <f>SUM(DO787:DS796)</f>
        <v>0</v>
      </c>
      <c r="DP797" s="1475"/>
      <c r="DQ797" s="1475"/>
      <c r="DR797" s="1475"/>
      <c r="DS797" s="1476"/>
      <c r="DT797" s="1012"/>
      <c r="DU797" s="1468">
        <f>SUM(DU787:DY796)</f>
        <v>0</v>
      </c>
      <c r="DV797" s="1469"/>
      <c r="DW797" s="1469"/>
      <c r="DX797" s="1469"/>
      <c r="DY797" s="1470"/>
      <c r="DZ797" s="1468">
        <f>SUM(DZ787:ED796)</f>
        <v>0</v>
      </c>
      <c r="EA797" s="1469"/>
      <c r="EB797" s="1469"/>
      <c r="EC797" s="1469"/>
      <c r="ED797" s="1470"/>
      <c r="EE797" s="1468">
        <f>SUM(EE787:EI796)</f>
        <v>0</v>
      </c>
      <c r="EF797" s="1469"/>
      <c r="EG797" s="1469"/>
      <c r="EH797" s="1469"/>
      <c r="EI797" s="1470"/>
      <c r="EJ797" s="1468">
        <f>SUM(EJ787:EN796)</f>
        <v>0</v>
      </c>
      <c r="EK797" s="1469"/>
      <c r="EL797" s="1469"/>
      <c r="EM797" s="1469"/>
      <c r="EN797" s="1470"/>
      <c r="EO797" s="1468">
        <f>SUM(EO787:ES796)</f>
        <v>0</v>
      </c>
      <c r="EP797" s="1469"/>
      <c r="EQ797" s="1469"/>
      <c r="ER797" s="1469"/>
      <c r="ES797" s="1470"/>
      <c r="ET797" s="1468">
        <f>SUM(ET787:EX796)</f>
        <v>0</v>
      </c>
      <c r="EU797" s="1469"/>
      <c r="EV797" s="1469"/>
      <c r="EW797" s="1469"/>
      <c r="EX797" s="1470"/>
    </row>
    <row r="798" spans="1:154" s="4" customFormat="1" ht="12.95" customHeight="1">
      <c r="A798"/>
      <c r="B798"/>
      <c r="C798" s="1745" t="str">
        <f>IF(O797&lt;&gt;AG438,"! Total market rate units in the Unit Mix Table above does not match the number of  market rate units on row #"&amp;TEXT(ROW(D438),"#"),"")</f>
        <v/>
      </c>
      <c r="D798" s="1745"/>
      <c r="E798" s="1745"/>
      <c r="F798" s="1745"/>
      <c r="G798" s="1745"/>
      <c r="H798" s="1745"/>
      <c r="I798" s="1745"/>
      <c r="J798" s="1745"/>
      <c r="K798" s="1745"/>
      <c r="L798" s="1745"/>
      <c r="M798" s="1745"/>
      <c r="N798" s="1745"/>
      <c r="O798" s="1745"/>
      <c r="P798" s="1745"/>
      <c r="Q798" s="1745"/>
      <c r="R798" s="1745"/>
      <c r="S798" s="1745"/>
      <c r="T798" s="1745"/>
      <c r="U798" s="1745"/>
      <c r="V798" s="1745"/>
      <c r="W798" s="1745"/>
      <c r="X798" s="1745"/>
      <c r="Y798" s="1745"/>
      <c r="Z798" s="1745"/>
      <c r="AA798" s="1745"/>
      <c r="AB798" s="1745"/>
      <c r="AC798" s="1745"/>
      <c r="AD798" s="1745"/>
      <c r="AE798" s="1745"/>
      <c r="AF798" s="1745"/>
      <c r="AG798" s="1745"/>
      <c r="AH798" s="1745"/>
      <c r="AI798" s="1745"/>
      <c r="AJ798" s="1745"/>
      <c r="AK798" s="1745"/>
      <c r="AL798" s="1745"/>
      <c r="AM798" s="1745"/>
      <c r="AN798" s="1745"/>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45"/>
      <c r="D799" s="1745"/>
      <c r="E799" s="1745"/>
      <c r="F799" s="1745"/>
      <c r="G799" s="1745"/>
      <c r="H799" s="1745"/>
      <c r="I799" s="1745"/>
      <c r="J799" s="1745"/>
      <c r="K799" s="1745"/>
      <c r="L799" s="1745"/>
      <c r="M799" s="1745"/>
      <c r="N799" s="1745"/>
      <c r="O799" s="1745"/>
      <c r="P799" s="1745"/>
      <c r="Q799" s="1745"/>
      <c r="R799" s="1745"/>
      <c r="S799" s="1745"/>
      <c r="T799" s="1745"/>
      <c r="U799" s="1745"/>
      <c r="V799" s="1745"/>
      <c r="W799" s="1745"/>
      <c r="X799" s="1745"/>
      <c r="Y799" s="1745"/>
      <c r="Z799" s="1745"/>
      <c r="AA799" s="1745"/>
      <c r="AB799" s="1745"/>
      <c r="AC799" s="1745"/>
      <c r="AD799" s="1745"/>
      <c r="AE799" s="1745"/>
      <c r="AF799" s="1745"/>
      <c r="AG799" s="1745"/>
      <c r="AH799" s="1745"/>
      <c r="AI799" s="1745"/>
      <c r="AJ799" s="1745"/>
      <c r="AK799" s="1745"/>
      <c r="AL799" s="1745"/>
      <c r="AM799" s="1745"/>
      <c r="AN799" s="1745"/>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68">
        <f>SUM(DU797:EX797)</f>
        <v>0</v>
      </c>
      <c r="EU799" s="1869"/>
      <c r="EV799" s="1869"/>
      <c r="EW799" s="1869"/>
      <c r="EX799" s="1870"/>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49">
        <f>O753+AC777+AC797</f>
        <v>380550</v>
      </c>
      <c r="Z800" s="1649"/>
      <c r="AA800" s="1649"/>
      <c r="AB800" s="1649"/>
      <c r="AC800" s="1649"/>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49">
        <f>(O753+AC777+AC797)*12</f>
        <v>4566600</v>
      </c>
      <c r="Z801" s="1649"/>
      <c r="AA801" s="1649"/>
      <c r="AB801" s="1649"/>
      <c r="AC801" s="1649"/>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4">
        <f>CP753+CP777+CP797</f>
        <v>63</v>
      </c>
      <c r="CQ802" s="1475"/>
      <c r="CR802" s="1475"/>
      <c r="CS802" s="1475"/>
      <c r="CT802" s="1476"/>
      <c r="CU802" s="1474">
        <f>CU753+CU777+CU797</f>
        <v>25</v>
      </c>
      <c r="CV802" s="1475"/>
      <c r="CW802" s="1475"/>
      <c r="CX802" s="1475"/>
      <c r="CY802" s="1476"/>
      <c r="CZ802" s="1474">
        <f>CZ753+CZ777+CZ797</f>
        <v>54</v>
      </c>
      <c r="DA802" s="1475"/>
      <c r="DB802" s="1475"/>
      <c r="DC802" s="1475"/>
      <c r="DD802" s="1476"/>
      <c r="DE802" s="1474">
        <f>DE753+DE777+DE797</f>
        <v>53</v>
      </c>
      <c r="DF802" s="1475"/>
      <c r="DG802" s="1475"/>
      <c r="DH802" s="1475"/>
      <c r="DI802" s="1476"/>
      <c r="DJ802" s="1474">
        <f>DJ753+DJ777+DJ797</f>
        <v>0</v>
      </c>
      <c r="DK802" s="1475"/>
      <c r="DL802" s="1475"/>
      <c r="DM802" s="1475"/>
      <c r="DN802" s="1476"/>
      <c r="DO802" s="1466">
        <f>DO797+DO777+DO753</f>
        <v>0</v>
      </c>
      <c r="DP802" s="1473"/>
      <c r="DQ802" s="1473"/>
      <c r="DR802" s="1473"/>
      <c r="DS802" s="1467"/>
      <c r="DT802" s="3"/>
      <c r="DU802" s="861">
        <f>DU755+DU800</f>
        <v>350</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5">
        <v>49</v>
      </c>
      <c r="AA806" s="1566"/>
      <c r="AB806" s="1566"/>
      <c r="AC806" s="1566"/>
      <c r="AD806" s="1566"/>
      <c r="AE806" s="156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46">
        <v>20</v>
      </c>
      <c r="AA807" s="1566"/>
      <c r="AB807" s="1566"/>
      <c r="AC807" s="1566"/>
      <c r="AD807" s="1566"/>
      <c r="AE807" s="156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7">
        <v>53718</v>
      </c>
      <c r="AA808" s="1536"/>
      <c r="AB808" s="1536"/>
      <c r="AC808" s="1536"/>
      <c r="AD808" s="1536"/>
      <c r="AE808" s="153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4">
        <f>'Subsidy Contract Calculation'!J40</f>
        <v>1154796</v>
      </c>
      <c r="AA809" s="1622"/>
      <c r="AB809" s="1622"/>
      <c r="AC809" s="1622"/>
      <c r="AD809" s="1622"/>
      <c r="AE809" s="162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39">
        <v>23400</v>
      </c>
      <c r="AA813" s="1440"/>
      <c r="AB813" s="1440"/>
      <c r="AC813" s="1440"/>
      <c r="AD813" s="1440"/>
      <c r="AE813" s="144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39"/>
      <c r="AA814" s="1440"/>
      <c r="AB814" s="1440"/>
      <c r="AC814" s="1440"/>
      <c r="AD814" s="1440"/>
      <c r="AE814" s="144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39"/>
      <c r="AA815" s="1440"/>
      <c r="AB815" s="1440"/>
      <c r="AC815" s="1440"/>
      <c r="AD815" s="1440"/>
      <c r="AE815" s="144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03" t="s">
        <v>2723</v>
      </c>
      <c r="Q816" s="1604"/>
      <c r="R816" s="1604"/>
      <c r="S816" s="1604"/>
      <c r="T816" s="1604"/>
      <c r="U816" s="1604"/>
      <c r="V816" s="1604"/>
      <c r="W816" s="1604"/>
      <c r="X816" s="1604"/>
      <c r="Y816" s="1605"/>
      <c r="Z816" s="1439">
        <v>25000</v>
      </c>
      <c r="AA816" s="1440"/>
      <c r="AB816" s="1440"/>
      <c r="AC816" s="1440"/>
      <c r="AD816" s="1440"/>
      <c r="AE816" s="144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4">
        <f>SUM(Z813:AE816)</f>
        <v>48400</v>
      </c>
      <c r="AA817" s="1622"/>
      <c r="AB817" s="1622"/>
      <c r="AC817" s="1622"/>
      <c r="AD817" s="1622"/>
      <c r="AE817" s="1623"/>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24">
        <f>Z817+Y801+Z809</f>
        <v>5769796</v>
      </c>
      <c r="AA818" s="1622"/>
      <c r="AB818" s="1622"/>
      <c r="AC818" s="1622"/>
      <c r="AD818" s="1622"/>
      <c r="AE818" s="1623"/>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92" t="s">
        <v>126</v>
      </c>
      <c r="N823" s="1592"/>
      <c r="O823" s="1592"/>
      <c r="P823" s="1747"/>
      <c r="Q823" s="1661" t="s">
        <v>290</v>
      </c>
      <c r="R823" s="1661"/>
      <c r="S823" s="1661"/>
      <c r="T823" s="1661"/>
      <c r="U823" s="1661" t="s">
        <v>291</v>
      </c>
      <c r="V823" s="1661"/>
      <c r="W823" s="1661"/>
      <c r="X823" s="1661"/>
      <c r="Y823" s="1661" t="s">
        <v>292</v>
      </c>
      <c r="Z823" s="1661"/>
      <c r="AA823" s="1661"/>
      <c r="AB823" s="1661"/>
      <c r="AC823" s="1661" t="s">
        <v>361</v>
      </c>
      <c r="AD823" s="1661"/>
      <c r="AE823" s="1661"/>
      <c r="AF823" s="1661"/>
      <c r="AG823" s="1729" t="s">
        <v>335</v>
      </c>
      <c r="AH823" s="1729"/>
      <c r="AI823" s="1729"/>
      <c r="AJ823" s="1729"/>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6"/>
      <c r="N824" s="1596"/>
      <c r="O824" s="1596"/>
      <c r="P824" s="1610"/>
      <c r="Q824" s="1661"/>
      <c r="R824" s="1661"/>
      <c r="S824" s="1661"/>
      <c r="T824" s="1661"/>
      <c r="U824" s="1661"/>
      <c r="V824" s="1661"/>
      <c r="W824" s="1661"/>
      <c r="X824" s="1661"/>
      <c r="Y824" s="1661"/>
      <c r="Z824" s="1661"/>
      <c r="AA824" s="1661"/>
      <c r="AB824" s="1661"/>
      <c r="AC824" s="1661"/>
      <c r="AD824" s="1661"/>
      <c r="AE824" s="1661"/>
      <c r="AF824" s="1661"/>
      <c r="AG824" s="1729"/>
      <c r="AH824" s="1729"/>
      <c r="AI824" s="1729"/>
      <c r="AJ824" s="1729"/>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71" t="s">
        <v>40</v>
      </c>
      <c r="D825" s="1421"/>
      <c r="E825" s="1421"/>
      <c r="F825" s="1421"/>
      <c r="G825" s="1421"/>
      <c r="H825" s="1421"/>
      <c r="I825" s="48"/>
      <c r="J825" s="48"/>
      <c r="K825" s="48"/>
      <c r="L825" s="49"/>
      <c r="M825" s="1657">
        <v>15</v>
      </c>
      <c r="N825" s="1657"/>
      <c r="O825" s="1657"/>
      <c r="P825" s="1657"/>
      <c r="Q825" s="1657">
        <v>18</v>
      </c>
      <c r="R825" s="1657"/>
      <c r="S825" s="1657"/>
      <c r="T825" s="1657"/>
      <c r="U825" s="1657">
        <v>22</v>
      </c>
      <c r="V825" s="1657"/>
      <c r="W825" s="1657"/>
      <c r="X825" s="1657"/>
      <c r="Y825" s="1657">
        <v>27</v>
      </c>
      <c r="Z825" s="1657"/>
      <c r="AA825" s="1657"/>
      <c r="AB825" s="1657"/>
      <c r="AC825" s="1477"/>
      <c r="AD825" s="1478"/>
      <c r="AE825" s="1478"/>
      <c r="AF825" s="1479"/>
      <c r="AG825" s="1477"/>
      <c r="AH825" s="1478"/>
      <c r="AI825" s="1478"/>
      <c r="AJ825" s="1479"/>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17" t="s">
        <v>41</v>
      </c>
      <c r="D826" s="1618"/>
      <c r="E826" s="1618"/>
      <c r="F826" s="1618"/>
      <c r="G826" s="1618"/>
      <c r="H826" s="1618"/>
      <c r="I826" s="5"/>
      <c r="J826" s="5"/>
      <c r="K826" s="5"/>
      <c r="L826" s="46"/>
      <c r="M826" s="1657">
        <v>0</v>
      </c>
      <c r="N826" s="1657"/>
      <c r="O826" s="1657"/>
      <c r="P826" s="1657"/>
      <c r="Q826" s="1657">
        <v>0</v>
      </c>
      <c r="R826" s="1657"/>
      <c r="S826" s="1657"/>
      <c r="T826" s="1657"/>
      <c r="U826" s="1657">
        <v>0</v>
      </c>
      <c r="V826" s="1657"/>
      <c r="W826" s="1657"/>
      <c r="X826" s="1657"/>
      <c r="Y826" s="1657">
        <v>0</v>
      </c>
      <c r="Z826" s="1657"/>
      <c r="AA826" s="1657"/>
      <c r="AB826" s="1657"/>
      <c r="AC826" s="1477"/>
      <c r="AD826" s="1478"/>
      <c r="AE826" s="1478"/>
      <c r="AF826" s="1479"/>
      <c r="AG826" s="1477"/>
      <c r="AH826" s="1478"/>
      <c r="AI826" s="1478"/>
      <c r="AJ826" s="1479"/>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17" t="s">
        <v>42</v>
      </c>
      <c r="D827" s="1618"/>
      <c r="E827" s="1618"/>
      <c r="F827" s="1618"/>
      <c r="G827" s="1618"/>
      <c r="H827" s="1618"/>
      <c r="I827" s="60"/>
      <c r="J827" s="60"/>
      <c r="K827" s="60"/>
      <c r="L827" s="61"/>
      <c r="M827" s="1657">
        <v>8</v>
      </c>
      <c r="N827" s="1657"/>
      <c r="O827" s="1657"/>
      <c r="P827" s="1657"/>
      <c r="Q827" s="1657">
        <v>9</v>
      </c>
      <c r="R827" s="1657"/>
      <c r="S827" s="1657"/>
      <c r="T827" s="1657"/>
      <c r="U827" s="1657">
        <v>13</v>
      </c>
      <c r="V827" s="1657"/>
      <c r="W827" s="1657"/>
      <c r="X827" s="1657"/>
      <c r="Y827" s="1657">
        <v>17</v>
      </c>
      <c r="Z827" s="1657"/>
      <c r="AA827" s="1657"/>
      <c r="AB827" s="1657"/>
      <c r="AC827" s="1477"/>
      <c r="AD827" s="1478"/>
      <c r="AE827" s="1478"/>
      <c r="AF827" s="1479"/>
      <c r="AG827" s="1477"/>
      <c r="AH827" s="1478"/>
      <c r="AI827" s="1478"/>
      <c r="AJ827" s="1479"/>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17" t="s">
        <v>762</v>
      </c>
      <c r="D828" s="1618"/>
      <c r="E828" s="1618"/>
      <c r="F828" s="1618"/>
      <c r="G828" s="1618"/>
      <c r="H828" s="1618"/>
      <c r="I828" s="60"/>
      <c r="J828" s="60"/>
      <c r="K828" s="60"/>
      <c r="L828" s="61"/>
      <c r="M828" s="1657">
        <v>0</v>
      </c>
      <c r="N828" s="1657"/>
      <c r="O828" s="1657"/>
      <c r="P828" s="1657"/>
      <c r="Q828" s="1657">
        <v>0</v>
      </c>
      <c r="R828" s="1657"/>
      <c r="S828" s="1657"/>
      <c r="T828" s="1657"/>
      <c r="U828" s="1657">
        <v>0</v>
      </c>
      <c r="V828" s="1657"/>
      <c r="W828" s="1657"/>
      <c r="X828" s="1657"/>
      <c r="Y828" s="1657">
        <v>0</v>
      </c>
      <c r="Z828" s="1657"/>
      <c r="AA828" s="1657"/>
      <c r="AB828" s="1657"/>
      <c r="AC828" s="1477"/>
      <c r="AD828" s="1478"/>
      <c r="AE828" s="1478"/>
      <c r="AF828" s="1479"/>
      <c r="AG828" s="1477"/>
      <c r="AH828" s="1478"/>
      <c r="AI828" s="1478"/>
      <c r="AJ828" s="1479"/>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17" t="s">
        <v>459</v>
      </c>
      <c r="D829" s="1618"/>
      <c r="E829" s="1618"/>
      <c r="F829" s="1618"/>
      <c r="G829" s="1618"/>
      <c r="H829" s="1618"/>
      <c r="I829" s="60"/>
      <c r="J829" s="60"/>
      <c r="K829" s="60"/>
      <c r="L829" s="61"/>
      <c r="M829" s="1657">
        <v>27</v>
      </c>
      <c r="N829" s="1657"/>
      <c r="O829" s="1657"/>
      <c r="P829" s="1657"/>
      <c r="Q829" s="1657">
        <v>32</v>
      </c>
      <c r="R829" s="1657"/>
      <c r="S829" s="1657"/>
      <c r="T829" s="1657"/>
      <c r="U829" s="1657">
        <v>45</v>
      </c>
      <c r="V829" s="1657"/>
      <c r="W829" s="1657"/>
      <c r="X829" s="1657"/>
      <c r="Y829" s="1657">
        <v>59</v>
      </c>
      <c r="Z829" s="1657"/>
      <c r="AA829" s="1657"/>
      <c r="AB829" s="1657"/>
      <c r="AC829" s="1477"/>
      <c r="AD829" s="1478"/>
      <c r="AE829" s="1478"/>
      <c r="AF829" s="1479"/>
      <c r="AG829" s="1477"/>
      <c r="AH829" s="1478"/>
      <c r="AI829" s="1478"/>
      <c r="AJ829" s="1479"/>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6" t="s">
        <v>783</v>
      </c>
      <c r="D830" s="1618"/>
      <c r="E830" s="1618"/>
      <c r="F830" s="1618"/>
      <c r="G830" s="1618"/>
      <c r="H830" s="1618"/>
      <c r="I830" s="60"/>
      <c r="J830" s="60"/>
      <c r="K830" s="60"/>
      <c r="L830" s="61"/>
      <c r="M830" s="1657">
        <v>0</v>
      </c>
      <c r="N830" s="1657"/>
      <c r="O830" s="1657"/>
      <c r="P830" s="1657"/>
      <c r="Q830" s="1657">
        <v>0</v>
      </c>
      <c r="R830" s="1657"/>
      <c r="S830" s="1657"/>
      <c r="T830" s="1657"/>
      <c r="U830" s="1657">
        <v>0</v>
      </c>
      <c r="V830" s="1657"/>
      <c r="W830" s="1657"/>
      <c r="X830" s="1657"/>
      <c r="Y830" s="1657">
        <v>0</v>
      </c>
      <c r="Z830" s="1657"/>
      <c r="AA830" s="1657"/>
      <c r="AB830" s="1657"/>
      <c r="AC830" s="1477"/>
      <c r="AD830" s="1478"/>
      <c r="AE830" s="1478"/>
      <c r="AF830" s="1479"/>
      <c r="AG830" s="1477"/>
      <c r="AH830" s="1478"/>
      <c r="AI830" s="1478"/>
      <c r="AJ830" s="1479"/>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03" t="s">
        <v>334</v>
      </c>
      <c r="G831" s="1604"/>
      <c r="H831" s="1604"/>
      <c r="I831" s="1604"/>
      <c r="J831" s="1604"/>
      <c r="K831" s="1604"/>
      <c r="L831" s="1604"/>
      <c r="M831" s="1657"/>
      <c r="N831" s="1657"/>
      <c r="O831" s="1657"/>
      <c r="P831" s="1657"/>
      <c r="Q831" s="1657"/>
      <c r="R831" s="1657"/>
      <c r="S831" s="1657"/>
      <c r="T831" s="1657"/>
      <c r="U831" s="1657"/>
      <c r="V831" s="1657"/>
      <c r="W831" s="1657"/>
      <c r="X831" s="1657"/>
      <c r="Y831" s="1657"/>
      <c r="Z831" s="1657"/>
      <c r="AA831" s="1657"/>
      <c r="AB831" s="1657"/>
      <c r="AC831" s="1477"/>
      <c r="AD831" s="1478"/>
      <c r="AE831" s="1478"/>
      <c r="AF831" s="1479"/>
      <c r="AG831" s="1477"/>
      <c r="AH831" s="1478"/>
      <c r="AI831" s="1478"/>
      <c r="AJ831" s="1479"/>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650" t="s">
        <v>124</v>
      </c>
      <c r="D832" s="1651"/>
      <c r="E832" s="1651"/>
      <c r="F832" s="1651"/>
      <c r="G832" s="1651"/>
      <c r="H832" s="1651"/>
      <c r="I832" s="1651"/>
      <c r="J832" s="1651"/>
      <c r="K832" s="1651"/>
      <c r="L832" s="1652"/>
      <c r="M832" s="1631">
        <f>SUM(M825:P831)</f>
        <v>50</v>
      </c>
      <c r="N832" s="1631"/>
      <c r="O832" s="1631"/>
      <c r="P832" s="1631"/>
      <c r="Q832" s="1631">
        <f>SUM(Q825:T831)</f>
        <v>59</v>
      </c>
      <c r="R832" s="1631"/>
      <c r="S832" s="1631"/>
      <c r="T832" s="1631"/>
      <c r="U832" s="1631">
        <f>SUM(U825:X831)</f>
        <v>80</v>
      </c>
      <c r="V832" s="1631"/>
      <c r="W832" s="1631"/>
      <c r="X832" s="1631"/>
      <c r="Y832" s="1631">
        <f>SUM(Y825:AB831)</f>
        <v>103</v>
      </c>
      <c r="Z832" s="1631"/>
      <c r="AA832" s="1631"/>
      <c r="AB832" s="1631"/>
      <c r="AC832" s="1631">
        <f>SUM(AC825:AF831)</f>
        <v>0</v>
      </c>
      <c r="AD832" s="1631"/>
      <c r="AE832" s="1631"/>
      <c r="AF832" s="1631"/>
      <c r="AG832" s="1631">
        <f>SUM(AG825:AJ831)</f>
        <v>0</v>
      </c>
      <c r="AH832" s="1631"/>
      <c r="AI832" s="1631"/>
      <c r="AJ832" s="1631"/>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13" t="s">
        <v>2715</v>
      </c>
      <c r="D837" s="1714"/>
      <c r="E837" s="1714"/>
      <c r="F837" s="1714"/>
      <c r="G837" s="1714"/>
      <c r="H837" s="1714"/>
      <c r="I837" s="1714"/>
      <c r="J837" s="1714"/>
      <c r="K837" s="1714"/>
      <c r="L837" s="1714"/>
      <c r="M837" s="1714"/>
      <c r="N837" s="1714"/>
      <c r="O837" s="1714"/>
      <c r="P837" s="1714"/>
      <c r="Q837" s="1714"/>
      <c r="R837" s="1714"/>
      <c r="S837" s="1714"/>
      <c r="T837" s="1714"/>
      <c r="U837" s="1714"/>
      <c r="V837" s="1714"/>
      <c r="W837" s="1714"/>
      <c r="X837" s="1714"/>
      <c r="Y837" s="1714"/>
      <c r="Z837" s="1714"/>
      <c r="AA837" s="1714"/>
      <c r="AB837" s="1714"/>
      <c r="AC837" s="1714"/>
      <c r="AD837" s="1714"/>
      <c r="AE837" s="1714"/>
      <c r="AF837" s="1714"/>
      <c r="AG837" s="1714"/>
      <c r="AH837" s="1714"/>
      <c r="AI837" s="1714"/>
      <c r="AJ837" s="1715"/>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0">
        <v>7500</v>
      </c>
      <c r="X842" s="1480"/>
      <c r="Y842" s="1480"/>
      <c r="Z842" s="1480"/>
      <c r="AA842" s="1480"/>
      <c r="AB842" s="1480"/>
      <c r="AC842" s="1480"/>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0">
        <v>18000</v>
      </c>
      <c r="X843" s="1480"/>
      <c r="Y843" s="1480"/>
      <c r="Z843" s="1480"/>
      <c r="AA843" s="1480"/>
      <c r="AB843" s="1480"/>
      <c r="AC843" s="1480"/>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0">
        <v>24000</v>
      </c>
      <c r="X844" s="1480"/>
      <c r="Y844" s="1480"/>
      <c r="Z844" s="1480"/>
      <c r="AA844" s="1480"/>
      <c r="AB844" s="1480"/>
      <c r="AC844" s="1480"/>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0">
        <v>250000</v>
      </c>
      <c r="X845" s="1480"/>
      <c r="Y845" s="1480"/>
      <c r="Z845" s="1480"/>
      <c r="AA845" s="1480"/>
      <c r="AB845" s="1480"/>
      <c r="AC845" s="1480"/>
      <c r="AZ845" s="30"/>
      <c r="BA845" s="30"/>
      <c r="BB845" s="14"/>
      <c r="BC845" s="14"/>
      <c r="BD845" s="14"/>
      <c r="BE845" s="14"/>
      <c r="BF845" s="14"/>
      <c r="BG845" s="14"/>
      <c r="BH845" s="14"/>
      <c r="BI845" s="14"/>
      <c r="BJ845" s="14"/>
      <c r="BK845" s="14"/>
      <c r="BL845" s="14"/>
    </row>
    <row r="846" spans="1:64" ht="12.95" customHeight="1">
      <c r="J846" s="45" t="s">
        <v>170</v>
      </c>
      <c r="K846" s="5"/>
      <c r="L846" s="5"/>
      <c r="M846" s="1603" t="s">
        <v>2724</v>
      </c>
      <c r="N846" s="1604"/>
      <c r="O846" s="1604"/>
      <c r="P846" s="1604"/>
      <c r="Q846" s="1604"/>
      <c r="R846" s="1604"/>
      <c r="S846" s="1604"/>
      <c r="T846" s="1604"/>
      <c r="U846" s="1604"/>
      <c r="V846" s="1605"/>
      <c r="W846" s="1480">
        <v>60000</v>
      </c>
      <c r="X846" s="1480"/>
      <c r="Y846" s="1480"/>
      <c r="Z846" s="1480"/>
      <c r="AA846" s="1480"/>
      <c r="AB846" s="1480"/>
      <c r="AC846" s="1480"/>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24">
        <f>SUM(W842:W846)</f>
        <v>359500</v>
      </c>
      <c r="X847" s="1622"/>
      <c r="Y847" s="1622"/>
      <c r="Z847" s="1622"/>
      <c r="AA847" s="1622"/>
      <c r="AB847" s="1622"/>
      <c r="AC847" s="1623"/>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0"/>
      <c r="BH848" s="1620"/>
      <c r="BI848" s="1620"/>
      <c r="BJ848" s="1620"/>
      <c r="BK848" s="1620"/>
      <c r="BL848" s="1620"/>
    </row>
    <row r="849" spans="3:55" ht="12.95" customHeight="1">
      <c r="C849" s="2" t="s">
        <v>344</v>
      </c>
      <c r="J849" s="1650" t="s">
        <v>345</v>
      </c>
      <c r="K849" s="1651"/>
      <c r="L849" s="1651"/>
      <c r="M849" s="1651"/>
      <c r="N849" s="1651"/>
      <c r="O849" s="1651"/>
      <c r="P849" s="1651"/>
      <c r="Q849" s="1651"/>
      <c r="R849" s="1651"/>
      <c r="S849" s="1651"/>
      <c r="T849" s="1651"/>
      <c r="U849" s="1651"/>
      <c r="V849" s="1652"/>
      <c r="W849" s="1439">
        <v>140400</v>
      </c>
      <c r="X849" s="1440"/>
      <c r="Y849" s="1440"/>
      <c r="Z849" s="1440"/>
      <c r="AA849" s="1440"/>
      <c r="AB849" s="1440"/>
      <c r="AC849" s="1441"/>
      <c r="AD849" s="533"/>
      <c r="AZ849" s="30"/>
      <c r="BA849" s="30"/>
      <c r="BB849" s="14"/>
      <c r="BC849" s="14"/>
    </row>
    <row r="850" spans="3:55" ht="12.95" customHeight="1">
      <c r="AD850" s="533"/>
      <c r="AZ850" s="30"/>
      <c r="BA850" s="30"/>
      <c r="BB850" s="14"/>
      <c r="BC850" s="14"/>
    </row>
    <row r="851" spans="3:55" ht="12.95" customHeight="1">
      <c r="C851" s="2" t="s">
        <v>561</v>
      </c>
      <c r="J851" s="45" t="s">
        <v>352</v>
      </c>
      <c r="K851" s="5"/>
      <c r="L851" s="5"/>
      <c r="M851" s="5"/>
      <c r="N851" s="5"/>
      <c r="O851" s="5"/>
      <c r="P851" s="5"/>
      <c r="Q851" s="5"/>
      <c r="R851" s="5"/>
      <c r="S851" s="5"/>
      <c r="T851" s="5"/>
      <c r="U851" s="5"/>
      <c r="V851" s="46"/>
      <c r="W851" s="1648">
        <v>0</v>
      </c>
      <c r="X851" s="1648"/>
      <c r="Y851" s="1648"/>
      <c r="Z851" s="1648"/>
      <c r="AA851" s="1648"/>
      <c r="AB851" s="1648"/>
      <c r="AC851" s="1648"/>
      <c r="AZ851" s="1716"/>
      <c r="BA851" s="1716"/>
      <c r="BB851" s="14"/>
      <c r="BC851" s="14"/>
    </row>
    <row r="852" spans="3:55" ht="12.95" customHeight="1">
      <c r="J852" s="45" t="s">
        <v>351</v>
      </c>
      <c r="K852" s="5"/>
      <c r="L852" s="5"/>
      <c r="M852" s="5"/>
      <c r="N852" s="5"/>
      <c r="O852" s="5"/>
      <c r="P852" s="5"/>
      <c r="Q852" s="5"/>
      <c r="R852" s="5"/>
      <c r="S852" s="5"/>
      <c r="T852" s="5"/>
      <c r="U852" s="5"/>
      <c r="V852" s="46"/>
      <c r="W852" s="1648">
        <v>0</v>
      </c>
      <c r="X852" s="1648"/>
      <c r="Y852" s="1648"/>
      <c r="Z852" s="1648"/>
      <c r="AA852" s="1648"/>
      <c r="AB852" s="1648"/>
      <c r="AC852" s="1648"/>
      <c r="AZ852" s="30"/>
      <c r="BA852" s="30"/>
      <c r="BB852" s="14"/>
      <c r="BC852" s="14"/>
    </row>
    <row r="853" spans="3:55" ht="12.95" customHeight="1">
      <c r="J853" s="45" t="s">
        <v>459</v>
      </c>
      <c r="K853" s="5"/>
      <c r="L853" s="5"/>
      <c r="M853" s="5"/>
      <c r="N853" s="5"/>
      <c r="O853" s="5"/>
      <c r="P853" s="5"/>
      <c r="Q853" s="5"/>
      <c r="R853" s="5"/>
      <c r="S853" s="5"/>
      <c r="T853" s="5"/>
      <c r="U853" s="5"/>
      <c r="V853" s="46"/>
      <c r="W853" s="1648">
        <v>150000</v>
      </c>
      <c r="X853" s="1648"/>
      <c r="Y853" s="1648"/>
      <c r="Z853" s="1648"/>
      <c r="AA853" s="1648"/>
      <c r="AB853" s="1648"/>
      <c r="AC853" s="1648"/>
      <c r="AZ853" s="30"/>
      <c r="BA853" s="30"/>
      <c r="BB853" s="14"/>
      <c r="BC853" s="14"/>
    </row>
    <row r="854" spans="3:55" ht="12.95" customHeight="1">
      <c r="J854" s="62" t="s">
        <v>620</v>
      </c>
      <c r="K854" s="5"/>
      <c r="L854" s="5"/>
      <c r="M854" s="5"/>
      <c r="N854" s="5"/>
      <c r="O854" s="5"/>
      <c r="P854" s="5"/>
      <c r="Q854" s="5"/>
      <c r="R854" s="5"/>
      <c r="S854" s="5"/>
      <c r="T854" s="5"/>
      <c r="U854" s="5"/>
      <c r="V854" s="46"/>
      <c r="W854" s="1648">
        <v>125000</v>
      </c>
      <c r="X854" s="1648"/>
      <c r="Y854" s="1648"/>
      <c r="Z854" s="1648"/>
      <c r="AA854" s="1648"/>
      <c r="AB854" s="1648"/>
      <c r="AC854" s="1648"/>
      <c r="AZ854" s="34"/>
      <c r="BA854" s="34"/>
      <c r="BB854" s="34"/>
      <c r="BC854" s="34"/>
    </row>
    <row r="855" spans="3:55" ht="12.95" customHeight="1">
      <c r="J855" s="63"/>
      <c r="K855" s="48"/>
      <c r="L855" s="48"/>
      <c r="M855" s="48"/>
      <c r="N855" s="48"/>
      <c r="O855" s="48"/>
      <c r="P855" s="48"/>
      <c r="Q855" s="48"/>
      <c r="R855" s="48"/>
      <c r="S855" s="48"/>
      <c r="T855" s="48"/>
      <c r="U855" s="48"/>
      <c r="V855" s="54" t="s">
        <v>272</v>
      </c>
      <c r="W855" s="1717">
        <f>SUM(W851:W854)</f>
        <v>275000</v>
      </c>
      <c r="X855" s="1717"/>
      <c r="Y855" s="1717"/>
      <c r="Z855" s="1717"/>
      <c r="AA855" s="1717"/>
      <c r="AB855" s="1717"/>
      <c r="AC855" s="1717"/>
      <c r="AZ855" s="34"/>
      <c r="BA855" s="34"/>
      <c r="BB855" s="34"/>
      <c r="BC855" s="34"/>
    </row>
    <row r="856" spans="3:55" ht="12.95" customHeight="1">
      <c r="AZ856" s="34"/>
      <c r="BA856" s="34"/>
      <c r="BB856" s="34"/>
      <c r="BC856" s="34"/>
    </row>
    <row r="857" spans="3:55" ht="12.95" customHeight="1">
      <c r="C857" s="2" t="s">
        <v>346</v>
      </c>
      <c r="J857" s="45" t="s">
        <v>619</v>
      </c>
      <c r="K857" s="5"/>
      <c r="L857" s="5"/>
      <c r="M857" s="5"/>
      <c r="N857" s="5"/>
      <c r="O857" s="5"/>
      <c r="P857" s="5"/>
      <c r="Q857" s="5"/>
      <c r="R857" s="5"/>
      <c r="S857" s="5"/>
      <c r="T857" s="5"/>
      <c r="U857" s="5"/>
      <c r="V857" s="46"/>
      <c r="W857" s="1625">
        <v>156000</v>
      </c>
      <c r="X857" s="1626"/>
      <c r="Y857" s="1626"/>
      <c r="Z857" s="1626"/>
      <c r="AA857" s="1626"/>
      <c r="AB857" s="1626"/>
      <c r="AC857" s="1627"/>
      <c r="AD857" s="528"/>
      <c r="AZ857" s="34"/>
      <c r="BA857" s="34"/>
      <c r="BB857" s="34"/>
      <c r="BC857" s="34"/>
    </row>
    <row r="858" spans="3:55" ht="12.95" customHeight="1">
      <c r="C858" s="2" t="s">
        <v>347</v>
      </c>
      <c r="J858" s="121" t="s">
        <v>1655</v>
      </c>
      <c r="K858" s="5"/>
      <c r="L858" s="5"/>
      <c r="M858" s="5"/>
      <c r="N858" s="5"/>
      <c r="O858" s="5"/>
      <c r="P858" s="5"/>
      <c r="Q858" s="5"/>
      <c r="R858" s="5"/>
      <c r="S858" s="5"/>
      <c r="T858" s="1718">
        <v>3</v>
      </c>
      <c r="U858" s="1694"/>
      <c r="V858" s="1719"/>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25">
        <v>76960</v>
      </c>
      <c r="X859" s="1626"/>
      <c r="Y859" s="1626"/>
      <c r="Z859" s="1626"/>
      <c r="AA859" s="1626"/>
      <c r="AB859" s="1626"/>
      <c r="AC859" s="1627"/>
      <c r="AD859" s="533"/>
      <c r="AZ859" s="34"/>
      <c r="BA859" s="34"/>
      <c r="BB859" s="34"/>
      <c r="BC859" s="34"/>
    </row>
    <row r="860" spans="3:55" ht="12.95" customHeight="1">
      <c r="C860" s="2"/>
      <c r="J860" s="121" t="s">
        <v>1656</v>
      </c>
      <c r="K860" s="5"/>
      <c r="L860" s="5"/>
      <c r="M860" s="5"/>
      <c r="N860" s="5"/>
      <c r="O860" s="5"/>
      <c r="P860" s="5"/>
      <c r="Q860" s="5"/>
      <c r="R860" s="5"/>
      <c r="S860" s="5"/>
      <c r="T860" s="1718">
        <v>2</v>
      </c>
      <c r="U860" s="1694"/>
      <c r="V860" s="1719"/>
      <c r="W860" s="874"/>
      <c r="X860" s="875"/>
      <c r="Y860" s="875"/>
      <c r="Z860" s="875"/>
      <c r="AA860" s="875"/>
      <c r="AB860" s="875"/>
      <c r="AC860" s="876"/>
      <c r="AD860" s="533"/>
      <c r="AZ860" s="34"/>
      <c r="BA860" s="34"/>
      <c r="BB860" s="34"/>
      <c r="BC860" s="34"/>
    </row>
    <row r="861" spans="3:55" ht="12.95" customHeight="1">
      <c r="J861" s="45" t="s">
        <v>170</v>
      </c>
      <c r="K861" s="5"/>
      <c r="L861" s="5"/>
      <c r="M861" s="1603" t="s">
        <v>2725</v>
      </c>
      <c r="N861" s="1604"/>
      <c r="O861" s="1604"/>
      <c r="P861" s="1604"/>
      <c r="Q861" s="1604"/>
      <c r="R861" s="1604"/>
      <c r="S861" s="1604"/>
      <c r="T861" s="1604"/>
      <c r="U861" s="1604"/>
      <c r="V861" s="1605"/>
      <c r="W861" s="1625">
        <v>69888</v>
      </c>
      <c r="X861" s="1626"/>
      <c r="Y861" s="1626"/>
      <c r="Z861" s="1626"/>
      <c r="AA861" s="1626"/>
      <c r="AB861" s="1626"/>
      <c r="AC861" s="1627"/>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20">
        <f>SUM(W857:W861)</f>
        <v>302848</v>
      </c>
      <c r="X862" s="1721"/>
      <c r="Y862" s="1721"/>
      <c r="Z862" s="1721"/>
      <c r="AA862" s="1721"/>
      <c r="AB862" s="1721"/>
      <c r="AC862" s="1722"/>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25">
        <v>212300</v>
      </c>
      <c r="X863" s="1626"/>
      <c r="Y863" s="1626"/>
      <c r="Z863" s="1626"/>
      <c r="AA863" s="1626"/>
      <c r="AB863" s="1626"/>
      <c r="AC863" s="1627"/>
      <c r="AU863" s="14"/>
      <c r="AZ863" s="34"/>
      <c r="BA863" s="34"/>
      <c r="BB863" s="34"/>
      <c r="BC863" s="34"/>
    </row>
    <row r="864" spans="3:55" ht="12.95" customHeight="1">
      <c r="J864" s="512"/>
      <c r="AU864" s="14"/>
      <c r="AZ864" s="34"/>
      <c r="BA864" s="34"/>
      <c r="BB864" s="34"/>
      <c r="BC864" s="34"/>
    </row>
    <row r="865" spans="3:55" ht="12.95" customHeight="1">
      <c r="C865" s="2" t="s">
        <v>390</v>
      </c>
      <c r="J865" s="45" t="s">
        <v>617</v>
      </c>
      <c r="K865" s="5"/>
      <c r="L865" s="5"/>
      <c r="M865" s="5"/>
      <c r="N865" s="5"/>
      <c r="O865" s="5"/>
      <c r="P865" s="5"/>
      <c r="Q865" s="5"/>
      <c r="R865" s="5"/>
      <c r="S865" s="5"/>
      <c r="T865" s="5"/>
      <c r="U865" s="5"/>
      <c r="V865" s="46"/>
      <c r="W865" s="1480">
        <v>35000</v>
      </c>
      <c r="X865" s="1480"/>
      <c r="Y865" s="1480"/>
      <c r="Z865" s="1480"/>
      <c r="AA865" s="1480"/>
      <c r="AB865" s="1480"/>
      <c r="AC865" s="1480"/>
      <c r="AU865" s="14"/>
      <c r="AZ865" s="34"/>
      <c r="BA865" s="34"/>
      <c r="BB865" s="34"/>
      <c r="BC865" s="34"/>
    </row>
    <row r="866" spans="3:55" ht="12.95" customHeight="1">
      <c r="J866" s="45" t="s">
        <v>522</v>
      </c>
      <c r="K866" s="5"/>
      <c r="L866" s="5"/>
      <c r="M866" s="5"/>
      <c r="N866" s="5"/>
      <c r="O866" s="5"/>
      <c r="P866" s="5"/>
      <c r="Q866" s="5"/>
      <c r="R866" s="5"/>
      <c r="S866" s="5"/>
      <c r="T866" s="5"/>
      <c r="U866" s="5"/>
      <c r="V866" s="46"/>
      <c r="W866" s="1480">
        <v>50000</v>
      </c>
      <c r="X866" s="1480"/>
      <c r="Y866" s="1480"/>
      <c r="Z866" s="1480"/>
      <c r="AA866" s="1480"/>
      <c r="AB866" s="1480"/>
      <c r="AC866" s="1480"/>
      <c r="AU866" s="4"/>
      <c r="AZ866" s="34"/>
      <c r="BA866" s="34"/>
      <c r="BB866" s="34"/>
      <c r="BC866" s="34"/>
    </row>
    <row r="867" spans="3:55" ht="12.95" customHeight="1">
      <c r="J867" s="45" t="s">
        <v>521</v>
      </c>
      <c r="K867" s="5"/>
      <c r="L867" s="5"/>
      <c r="M867" s="5"/>
      <c r="N867" s="5"/>
      <c r="O867" s="5"/>
      <c r="P867" s="5"/>
      <c r="Q867" s="5"/>
      <c r="R867" s="5"/>
      <c r="S867" s="5"/>
      <c r="T867" s="5"/>
      <c r="U867" s="5"/>
      <c r="V867" s="46"/>
      <c r="W867" s="1480">
        <v>50000</v>
      </c>
      <c r="X867" s="1480"/>
      <c r="Y867" s="1480"/>
      <c r="Z867" s="1480"/>
      <c r="AA867" s="1480"/>
      <c r="AB867" s="1480"/>
      <c r="AC867" s="1480"/>
      <c r="AU867" s="4"/>
      <c r="AZ867" s="34"/>
      <c r="BA867" s="34"/>
      <c r="BB867" s="34"/>
      <c r="BC867" s="34"/>
    </row>
    <row r="868" spans="3:55" ht="12.95" customHeight="1">
      <c r="J868" s="45" t="s">
        <v>520</v>
      </c>
      <c r="K868" s="5"/>
      <c r="L868" s="5"/>
      <c r="M868" s="5"/>
      <c r="N868" s="5"/>
      <c r="O868" s="5"/>
      <c r="P868" s="5"/>
      <c r="Q868" s="5"/>
      <c r="R868" s="5"/>
      <c r="S868" s="5"/>
      <c r="T868" s="5"/>
      <c r="U868" s="5"/>
      <c r="V868" s="46"/>
      <c r="W868" s="1480">
        <v>18800</v>
      </c>
      <c r="X868" s="1480"/>
      <c r="Y868" s="1480"/>
      <c r="Z868" s="1480"/>
      <c r="AA868" s="1480"/>
      <c r="AB868" s="1480"/>
      <c r="AC868" s="1480"/>
      <c r="AU868" s="4"/>
      <c r="AZ868" s="34"/>
      <c r="BA868" s="34"/>
      <c r="BB868" s="34"/>
      <c r="BC868" s="34"/>
    </row>
    <row r="869" spans="3:55" ht="12.95" customHeight="1">
      <c r="J869" s="45" t="s">
        <v>519</v>
      </c>
      <c r="K869" s="5"/>
      <c r="L869" s="5"/>
      <c r="M869" s="5"/>
      <c r="N869" s="5"/>
      <c r="O869" s="5"/>
      <c r="P869" s="5"/>
      <c r="Q869" s="5"/>
      <c r="R869" s="5"/>
      <c r="S869" s="5"/>
      <c r="T869" s="5"/>
      <c r="U869" s="5"/>
      <c r="V869" s="46"/>
      <c r="W869" s="1480">
        <v>20000</v>
      </c>
      <c r="X869" s="1480"/>
      <c r="Y869" s="1480"/>
      <c r="Z869" s="1480"/>
      <c r="AA869" s="1480"/>
      <c r="AB869" s="1480"/>
      <c r="AC869" s="1480"/>
      <c r="AU869" s="4"/>
      <c r="AZ869" s="34"/>
      <c r="BA869" s="34"/>
      <c r="BB869" s="34"/>
      <c r="BC869" s="34"/>
    </row>
    <row r="870" spans="3:55" ht="12.95" customHeight="1">
      <c r="J870" s="45" t="s">
        <v>518</v>
      </c>
      <c r="K870" s="5"/>
      <c r="L870" s="5"/>
      <c r="M870" s="5"/>
      <c r="N870" s="5"/>
      <c r="O870" s="5"/>
      <c r="P870" s="5"/>
      <c r="Q870" s="5"/>
      <c r="R870" s="5"/>
      <c r="S870" s="5"/>
      <c r="T870" s="5"/>
      <c r="U870" s="5"/>
      <c r="V870" s="46"/>
      <c r="W870" s="1480">
        <v>35000</v>
      </c>
      <c r="X870" s="1480"/>
      <c r="Y870" s="1480"/>
      <c r="Z870" s="1480"/>
      <c r="AA870" s="1480"/>
      <c r="AB870" s="1480"/>
      <c r="AC870" s="1480"/>
      <c r="AU870" s="4"/>
      <c r="AZ870" s="34"/>
      <c r="BA870" s="34"/>
      <c r="BB870" s="34"/>
      <c r="BC870" s="34"/>
    </row>
    <row r="871" spans="3:55" ht="12.95" customHeight="1">
      <c r="J871" s="45" t="s">
        <v>170</v>
      </c>
      <c r="K871" s="5"/>
      <c r="L871" s="5"/>
      <c r="M871" s="1603" t="s">
        <v>2726</v>
      </c>
      <c r="N871" s="1604"/>
      <c r="O871" s="1604"/>
      <c r="P871" s="1604"/>
      <c r="Q871" s="1604"/>
      <c r="R871" s="1604"/>
      <c r="S871" s="1604"/>
      <c r="T871" s="1604"/>
      <c r="U871" s="1604"/>
      <c r="V871" s="1605"/>
      <c r="W871" s="1480">
        <v>40000</v>
      </c>
      <c r="X871" s="1480"/>
      <c r="Y871" s="1480"/>
      <c r="Z871" s="1480"/>
      <c r="AA871" s="1480"/>
      <c r="AB871" s="1480"/>
      <c r="AC871" s="1480"/>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49">
        <f>SUM(W865:W871)</f>
        <v>248800</v>
      </c>
      <c r="X872" s="1649"/>
      <c r="Y872" s="1649"/>
      <c r="Z872" s="1649"/>
      <c r="AA872" s="1649"/>
      <c r="AB872" s="1649"/>
      <c r="AC872" s="1649"/>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170</v>
      </c>
      <c r="K874" s="5"/>
      <c r="L874" s="5"/>
      <c r="M874" s="1603" t="s">
        <v>2727</v>
      </c>
      <c r="N874" s="1604"/>
      <c r="O874" s="1604"/>
      <c r="P874" s="1604"/>
      <c r="Q874" s="1604"/>
      <c r="R874" s="1604"/>
      <c r="S874" s="1604"/>
      <c r="T874" s="1604"/>
      <c r="U874" s="1604"/>
      <c r="V874" s="1605"/>
      <c r="W874" s="1439">
        <v>18000</v>
      </c>
      <c r="X874" s="1440"/>
      <c r="Y874" s="1440"/>
      <c r="Z874" s="1440"/>
      <c r="AA874" s="1440"/>
      <c r="AB874" s="1440"/>
      <c r="AC874" s="1441"/>
      <c r="AD874" s="533"/>
      <c r="AV874" s="14"/>
      <c r="AW874" s="14"/>
      <c r="AX874" s="14"/>
      <c r="AY874" s="14"/>
      <c r="AZ874" s="34"/>
      <c r="BA874" s="34"/>
      <c r="BB874" s="34"/>
      <c r="BC874" s="34"/>
    </row>
    <row r="875" spans="3:55" ht="12.95" customHeight="1">
      <c r="C875" s="2" t="s">
        <v>1244</v>
      </c>
      <c r="J875" s="45" t="s">
        <v>170</v>
      </c>
      <c r="K875" s="5"/>
      <c r="L875" s="5"/>
      <c r="M875" s="1603" t="s">
        <v>334</v>
      </c>
      <c r="N875" s="1604"/>
      <c r="O875" s="1604"/>
      <c r="P875" s="1604"/>
      <c r="Q875" s="1604"/>
      <c r="R875" s="1604"/>
      <c r="S875" s="1604"/>
      <c r="T875" s="1604"/>
      <c r="U875" s="1604"/>
      <c r="V875" s="1605"/>
      <c r="W875" s="1439"/>
      <c r="X875" s="1440"/>
      <c r="Y875" s="1440"/>
      <c r="Z875" s="1440"/>
      <c r="AA875" s="1440"/>
      <c r="AB875" s="1440"/>
      <c r="AC875" s="1441"/>
      <c r="AD875" s="533"/>
      <c r="AV875" s="14"/>
      <c r="AW875" s="14"/>
      <c r="AX875" s="14"/>
      <c r="AY875" s="14"/>
      <c r="AZ875" s="34"/>
      <c r="BA875" s="34"/>
      <c r="BB875" s="34"/>
      <c r="BC875" s="34"/>
    </row>
    <row r="876" spans="3:55" ht="12.95" customHeight="1">
      <c r="J876" s="45" t="s">
        <v>170</v>
      </c>
      <c r="K876" s="5"/>
      <c r="L876" s="5"/>
      <c r="M876" s="1603" t="s">
        <v>334</v>
      </c>
      <c r="N876" s="1604"/>
      <c r="O876" s="1604"/>
      <c r="P876" s="1604"/>
      <c r="Q876" s="1604"/>
      <c r="R876" s="1604"/>
      <c r="S876" s="1604"/>
      <c r="T876" s="1604"/>
      <c r="U876" s="1604"/>
      <c r="V876" s="1605"/>
      <c r="W876" s="1439"/>
      <c r="X876" s="1440"/>
      <c r="Y876" s="1440"/>
      <c r="Z876" s="1440"/>
      <c r="AA876" s="1440"/>
      <c r="AB876" s="1440"/>
      <c r="AC876" s="1441"/>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03" t="s">
        <v>334</v>
      </c>
      <c r="N877" s="1604"/>
      <c r="O877" s="1604"/>
      <c r="P877" s="1604"/>
      <c r="Q877" s="1604"/>
      <c r="R877" s="1604"/>
      <c r="S877" s="1604"/>
      <c r="T877" s="1604"/>
      <c r="U877" s="1604"/>
      <c r="V877" s="1605"/>
      <c r="W877" s="1439"/>
      <c r="X877" s="1440"/>
      <c r="Y877" s="1440"/>
      <c r="Z877" s="1440"/>
      <c r="AA877" s="1440"/>
      <c r="AB877" s="1440"/>
      <c r="AC877" s="1441"/>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03" t="s">
        <v>334</v>
      </c>
      <c r="N878" s="1604"/>
      <c r="O878" s="1604"/>
      <c r="P878" s="1604"/>
      <c r="Q878" s="1604"/>
      <c r="R878" s="1604"/>
      <c r="S878" s="1604"/>
      <c r="T878" s="1604"/>
      <c r="U878" s="1604"/>
      <c r="V878" s="1605"/>
      <c r="W878" s="1439"/>
      <c r="X878" s="1440"/>
      <c r="Y878" s="1440"/>
      <c r="Z878" s="1440"/>
      <c r="AA878" s="1440"/>
      <c r="AB878" s="1440"/>
      <c r="AC878" s="1441"/>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24">
        <f>SUM(W874:W878)</f>
        <v>18000</v>
      </c>
      <c r="X879" s="1622"/>
      <c r="Y879" s="1622"/>
      <c r="Z879" s="1622"/>
      <c r="AA879" s="1622"/>
      <c r="AB879" s="1622"/>
      <c r="AC879" s="1623"/>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22">
        <f>W847+W855+W862+W863+W872+W879+W849</f>
        <v>1556848</v>
      </c>
      <c r="AD883" s="1622"/>
      <c r="AE883" s="1622"/>
      <c r="AF883" s="1622"/>
      <c r="AG883" s="1622"/>
      <c r="AH883" s="1623"/>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23">
        <f>O797+O777+G753</f>
        <v>195</v>
      </c>
      <c r="AD884" s="1723"/>
      <c r="AE884" s="1723"/>
      <c r="AF884" s="1723"/>
      <c r="AG884" s="1723"/>
      <c r="AH884" s="1724"/>
      <c r="AL884" s="4"/>
      <c r="AM884" s="4"/>
      <c r="AN884" s="4"/>
      <c r="AO884" s="4"/>
      <c r="AP884" s="4"/>
      <c r="AQ884" s="4"/>
      <c r="AR884" s="4"/>
      <c r="AS884" s="4"/>
      <c r="AT884" s="4"/>
      <c r="AZ884" s="34"/>
      <c r="BA884" s="34"/>
      <c r="BB884" s="34"/>
      <c r="BC884" s="34"/>
    </row>
    <row r="885" spans="3:55" ht="12.95" customHeight="1">
      <c r="C885" s="41"/>
      <c r="D885" s="42"/>
      <c r="E885" s="1658" t="s">
        <v>32</v>
      </c>
      <c r="F885" s="1658"/>
      <c r="G885" s="1658"/>
      <c r="H885" s="1658"/>
      <c r="I885" s="1658"/>
      <c r="J885" s="1658"/>
      <c r="K885" s="1658"/>
      <c r="L885" s="1658"/>
      <c r="M885" s="1658"/>
      <c r="N885" s="1658"/>
      <c r="O885" s="1658"/>
      <c r="P885" s="1658"/>
      <c r="Q885" s="1658"/>
      <c r="R885" s="1658"/>
      <c r="S885" s="1658"/>
      <c r="T885" s="1658"/>
      <c r="U885" s="1658"/>
      <c r="V885" s="1658"/>
      <c r="W885" s="1658"/>
      <c r="X885" s="1658"/>
      <c r="Y885" s="1658"/>
      <c r="Z885" s="1658"/>
      <c r="AA885" s="1658"/>
      <c r="AB885" s="1659"/>
      <c r="AC885" s="1649">
        <f>IF(ISERROR((ROUNDDOWN(AC883/AC884,0))),0,(ROUNDDOWN(AC883/AC884,0)))</f>
        <v>7983</v>
      </c>
      <c r="AD885" s="1649"/>
      <c r="AE885" s="1649"/>
      <c r="AF885" s="1649"/>
      <c r="AG885" s="1649"/>
      <c r="AH885" s="1649"/>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25">
        <v>1202000</v>
      </c>
      <c r="AD886" s="1726"/>
      <c r="AE886" s="1726"/>
      <c r="AF886" s="1726"/>
      <c r="AG886" s="1726"/>
      <c r="AH886" s="1726"/>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41">
        <v>46000</v>
      </c>
      <c r="AD887" s="1480"/>
      <c r="AE887" s="1480"/>
      <c r="AF887" s="1480"/>
      <c r="AG887" s="1480"/>
      <c r="AH887" s="1480"/>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40">
        <v>95000</v>
      </c>
      <c r="AD888" s="1440"/>
      <c r="AE888" s="1440"/>
      <c r="AF888" s="1440"/>
      <c r="AG888" s="1440"/>
      <c r="AH888" s="1441"/>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40">
        <v>97500</v>
      </c>
      <c r="AD889" s="1440"/>
      <c r="AE889" s="1440"/>
      <c r="AF889" s="1440"/>
      <c r="AG889" s="1440"/>
      <c r="AH889" s="1441"/>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7">
        <v>167672</v>
      </c>
      <c r="AD890" s="1478"/>
      <c r="AE890" s="1478"/>
      <c r="AF890" s="1478"/>
      <c r="AG890" s="1478"/>
      <c r="AH890" s="1479"/>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40">
        <v>27809</v>
      </c>
      <c r="AD891" s="1440"/>
      <c r="AE891" s="1440"/>
      <c r="AF891" s="1440"/>
      <c r="AG891" s="1440"/>
      <c r="AH891" s="1441"/>
      <c r="AZ891" s="34"/>
      <c r="BA891" s="34"/>
      <c r="BB891" s="34"/>
      <c r="BC891" s="34"/>
    </row>
    <row r="892" spans="3:55" ht="12.95" hidden="1" customHeight="1">
      <c r="C892" s="1650" t="s">
        <v>2234</v>
      </c>
      <c r="D892" s="1651"/>
      <c r="E892" s="1651"/>
      <c r="F892" s="1651"/>
      <c r="G892" s="1651"/>
      <c r="H892" s="1651"/>
      <c r="I892" s="1651"/>
      <c r="J892" s="1651"/>
      <c r="K892" s="1651"/>
      <c r="L892" s="1651"/>
      <c r="M892" s="1651"/>
      <c r="N892" s="1651"/>
      <c r="O892" s="1651"/>
      <c r="P892" s="1651"/>
      <c r="Q892" s="1651"/>
      <c r="R892" s="1651"/>
      <c r="S892" s="1651"/>
      <c r="T892" s="1651"/>
      <c r="U892" s="1651"/>
      <c r="V892" s="1651"/>
      <c r="W892" s="1651"/>
      <c r="X892" s="1651"/>
      <c r="Y892" s="1651"/>
      <c r="Z892" s="1651"/>
      <c r="AA892" s="1651"/>
      <c r="AB892" s="1652"/>
      <c r="AC892" s="1440"/>
      <c r="AD892" s="1440"/>
      <c r="AE892" s="1440"/>
      <c r="AF892" s="1440"/>
      <c r="AG892" s="1440"/>
      <c r="AH892" s="1441"/>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40">
        <v>0</v>
      </c>
      <c r="AD893" s="1440"/>
      <c r="AE893" s="1440"/>
      <c r="AF893" s="1440"/>
      <c r="AG893" s="1440"/>
      <c r="AH893" s="1441"/>
      <c r="AZ893" s="34"/>
      <c r="BA893" s="34"/>
      <c r="BB893" s="34"/>
      <c r="BC893" s="34"/>
    </row>
    <row r="894" spans="3:55" ht="12.95" customHeight="1">
      <c r="C894" s="1628" t="s">
        <v>956</v>
      </c>
      <c r="D894" s="1629"/>
      <c r="E894" s="1629"/>
      <c r="F894" s="1629"/>
      <c r="G894" s="1629"/>
      <c r="H894" s="1629"/>
      <c r="I894" s="1629"/>
      <c r="J894" s="1629"/>
      <c r="K894" s="1629"/>
      <c r="L894" s="1629"/>
      <c r="M894" s="1629"/>
      <c r="N894" s="1629"/>
      <c r="O894" s="1629"/>
      <c r="P894" s="1629"/>
      <c r="Q894" s="1629"/>
      <c r="R894" s="1629"/>
      <c r="S894" s="1629"/>
      <c r="T894" s="1629"/>
      <c r="U894" s="1629"/>
      <c r="V894" s="1629"/>
      <c r="W894" s="1629"/>
      <c r="X894" s="1629"/>
      <c r="Y894" s="1629"/>
      <c r="Z894" s="1629"/>
      <c r="AA894" s="1629"/>
      <c r="AB894" s="1630"/>
      <c r="AC894" s="1480"/>
      <c r="AD894" s="1480"/>
      <c r="AE894" s="1480"/>
      <c r="AF894" s="1480"/>
      <c r="AG894" s="1480"/>
      <c r="AH894" s="1480"/>
      <c r="AZ894" s="34"/>
      <c r="BA894" s="34"/>
      <c r="BB894" s="34"/>
      <c r="BC894" s="34"/>
    </row>
    <row r="895" spans="3:55" ht="12.95" customHeight="1">
      <c r="C895" s="1628" t="s">
        <v>956</v>
      </c>
      <c r="D895" s="1629"/>
      <c r="E895" s="1629"/>
      <c r="F895" s="1629"/>
      <c r="G895" s="1629"/>
      <c r="H895" s="1629"/>
      <c r="I895" s="1629"/>
      <c r="J895" s="1629"/>
      <c r="K895" s="1629"/>
      <c r="L895" s="1629"/>
      <c r="M895" s="1629"/>
      <c r="N895" s="1629"/>
      <c r="O895" s="1629"/>
      <c r="P895" s="1629"/>
      <c r="Q895" s="1629"/>
      <c r="R895" s="1629"/>
      <c r="S895" s="1629"/>
      <c r="T895" s="1629"/>
      <c r="U895" s="1629"/>
      <c r="V895" s="1629"/>
      <c r="W895" s="1629"/>
      <c r="X895" s="1629"/>
      <c r="Y895" s="1629"/>
      <c r="Z895" s="1629"/>
      <c r="AA895" s="1629"/>
      <c r="AB895" s="1630"/>
      <c r="AC895" s="1480"/>
      <c r="AD895" s="1480"/>
      <c r="AE895" s="1480"/>
      <c r="AF895" s="1480"/>
      <c r="AG895" s="1480"/>
      <c r="AH895" s="1480"/>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39">
        <v>0</v>
      </c>
      <c r="AA899" s="1440"/>
      <c r="AB899" s="1440"/>
      <c r="AC899" s="1440"/>
      <c r="AD899" s="1440"/>
      <c r="AE899" s="1441"/>
      <c r="AF899" s="533"/>
      <c r="AZ899" s="34"/>
      <c r="BB899" s="30"/>
      <c r="BC899" s="816"/>
      <c r="BD899" s="1621"/>
      <c r="BE899" s="1621"/>
      <c r="BF899" s="14"/>
    </row>
    <row r="900" spans="1:58" ht="12.95" customHeight="1">
      <c r="H900" s="121" t="s">
        <v>239</v>
      </c>
      <c r="I900" s="5"/>
      <c r="J900" s="5"/>
      <c r="K900" s="5"/>
      <c r="L900" s="5"/>
      <c r="M900" s="5"/>
      <c r="N900" s="5"/>
      <c r="O900" s="5"/>
      <c r="P900" s="5"/>
      <c r="Q900" s="5"/>
      <c r="R900" s="5"/>
      <c r="S900" s="5"/>
      <c r="T900" s="5"/>
      <c r="U900" s="5"/>
      <c r="V900" s="5"/>
      <c r="W900" s="5"/>
      <c r="X900" s="5"/>
      <c r="Y900" s="5"/>
      <c r="Z900" s="1439">
        <v>0</v>
      </c>
      <c r="AA900" s="1440"/>
      <c r="AB900" s="1440"/>
      <c r="AC900" s="1440"/>
      <c r="AD900" s="1440"/>
      <c r="AE900" s="1441"/>
      <c r="AZ900" s="34"/>
      <c r="BB900" s="30"/>
      <c r="BC900" s="816"/>
      <c r="BD900" s="1621"/>
      <c r="BE900" s="1621"/>
      <c r="BF900" s="14"/>
    </row>
    <row r="901" spans="1:58" ht="12.95" customHeight="1">
      <c r="H901" s="121" t="s">
        <v>240</v>
      </c>
      <c r="I901" s="5"/>
      <c r="J901" s="5"/>
      <c r="K901" s="5"/>
      <c r="L901" s="5"/>
      <c r="M901" s="5"/>
      <c r="N901" s="5"/>
      <c r="O901" s="5"/>
      <c r="P901" s="5"/>
      <c r="Q901" s="5"/>
      <c r="R901" s="5"/>
      <c r="S901" s="5"/>
      <c r="T901" s="5"/>
      <c r="U901" s="5"/>
      <c r="V901" s="5"/>
      <c r="W901" s="5"/>
      <c r="X901" s="5"/>
      <c r="Y901" s="5"/>
      <c r="Z901" s="1439">
        <v>0</v>
      </c>
      <c r="AA901" s="1440"/>
      <c r="AB901" s="1440"/>
      <c r="AC901" s="1440"/>
      <c r="AD901" s="1440"/>
      <c r="AE901" s="1441"/>
      <c r="AZ901" s="34"/>
      <c r="BB901" s="30"/>
      <c r="BC901" s="816"/>
      <c r="BD901" s="1620"/>
      <c r="BE901" s="1620"/>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24">
        <f>Z899-(Z900+Z901)</f>
        <v>0</v>
      </c>
      <c r="AA902" s="1622"/>
      <c r="AB902" s="1622"/>
      <c r="AC902" s="1622"/>
      <c r="AD902" s="1622"/>
      <c r="AE902" s="1623"/>
      <c r="AZ902" s="34"/>
      <c r="BB902" s="30"/>
      <c r="BC902" s="816"/>
      <c r="BD902" s="1620"/>
      <c r="BE902" s="1620"/>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0"/>
      <c r="BE903" s="1620"/>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1"/>
      <c r="BE904" s="1620"/>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12"/>
      <c r="BE905" s="1712"/>
      <c r="BF905" s="1712"/>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0"/>
      <c r="BE907" s="1620"/>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1"/>
      <c r="BE908" s="1620"/>
      <c r="BF908" s="14"/>
    </row>
    <row r="909" spans="1:58" ht="12.95" customHeight="1">
      <c r="AZ909" s="34"/>
      <c r="BB909" s="30"/>
      <c r="BC909" s="816"/>
    </row>
    <row r="910" spans="1:58" ht="12.95" customHeight="1">
      <c r="A910" s="1415" t="s">
        <v>96</v>
      </c>
      <c r="B910" s="1415"/>
      <c r="C910" s="1415"/>
      <c r="D910" s="1415"/>
      <c r="E910" s="1415"/>
      <c r="F910" s="1415"/>
      <c r="G910" s="1415"/>
      <c r="H910" s="1415"/>
      <c r="I910" s="1415"/>
      <c r="J910" s="1415"/>
      <c r="K910" s="1415"/>
      <c r="L910" s="1415"/>
      <c r="M910" s="1415"/>
      <c r="N910" s="1415"/>
      <c r="O910" s="1415"/>
      <c r="P910" s="1415"/>
      <c r="Q910" s="1415"/>
      <c r="R910" s="1415"/>
      <c r="S910" s="1415"/>
      <c r="T910" s="1415"/>
      <c r="U910" s="1415"/>
      <c r="V910" s="1415"/>
      <c r="W910" s="1415"/>
      <c r="X910" s="1415"/>
      <c r="Y910" s="1415"/>
      <c r="Z910" s="1415"/>
      <c r="AA910" s="1415"/>
      <c r="AB910" s="1415"/>
      <c r="AC910" s="1415"/>
      <c r="AD910" s="1415"/>
      <c r="AE910" s="1415"/>
      <c r="AF910" s="1415"/>
      <c r="AG910" s="1415"/>
      <c r="AH910" s="1415"/>
      <c r="AI910" s="1415"/>
      <c r="AJ910" s="1415"/>
      <c r="AK910" s="1415"/>
      <c r="AL910" s="1415"/>
      <c r="AM910" s="1415"/>
      <c r="AN910" s="1415"/>
      <c r="AO910" s="1415"/>
      <c r="AP910" s="1415"/>
      <c r="AQ910" s="1415"/>
      <c r="AR910" s="1415"/>
      <c r="AS910" s="1415"/>
      <c r="AT910" s="1415"/>
      <c r="AZ910" s="34"/>
      <c r="BA910" s="34"/>
      <c r="BB910" s="30"/>
      <c r="BC910" s="30"/>
      <c r="BD910" s="1621"/>
      <c r="BE910" s="1620"/>
      <c r="BF910" s="911"/>
    </row>
    <row r="911" spans="1:58" ht="12.95" customHeight="1">
      <c r="A911" s="1415"/>
      <c r="B911" s="1415"/>
      <c r="C911" s="1415"/>
      <c r="D911" s="1415"/>
      <c r="E911" s="1415"/>
      <c r="F911" s="1415"/>
      <c r="G911" s="1415"/>
      <c r="H911" s="1415"/>
      <c r="I911" s="1415"/>
      <c r="J911" s="1415"/>
      <c r="K911" s="1415"/>
      <c r="L911" s="1415"/>
      <c r="M911" s="1415"/>
      <c r="N911" s="1415"/>
      <c r="O911" s="1415"/>
      <c r="P911" s="1415"/>
      <c r="Q911" s="1415"/>
      <c r="R911" s="1415"/>
      <c r="S911" s="1415"/>
      <c r="T911" s="1415"/>
      <c r="U911" s="1415"/>
      <c r="V911" s="1415"/>
      <c r="W911" s="1415"/>
      <c r="X911" s="1415"/>
      <c r="Y911" s="1415"/>
      <c r="Z911" s="1415"/>
      <c r="AA911" s="1415"/>
      <c r="AB911" s="1415"/>
      <c r="AC911" s="1415"/>
      <c r="AD911" s="1415"/>
      <c r="AE911" s="1415"/>
      <c r="AF911" s="1415"/>
      <c r="AG911" s="1415"/>
      <c r="AH911" s="1415"/>
      <c r="AI911" s="1415"/>
      <c r="AJ911" s="1415"/>
      <c r="AK911" s="1415"/>
      <c r="AL911" s="1415"/>
      <c r="AM911" s="1415"/>
      <c r="AN911" s="1415"/>
      <c r="AO911" s="1415"/>
      <c r="AP911" s="1415"/>
      <c r="AQ911" s="1415"/>
      <c r="AR911" s="1415"/>
      <c r="AS911" s="1415"/>
      <c r="AT911" s="1415"/>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37" t="s">
        <v>792</v>
      </c>
      <c r="G915" s="1638"/>
      <c r="H915" s="1638"/>
      <c r="I915" s="1638"/>
      <c r="J915" s="1638"/>
      <c r="K915" s="1638"/>
      <c r="L915" s="1638"/>
      <c r="M915" s="1638"/>
      <c r="N915" s="1638"/>
      <c r="O915" s="1638"/>
      <c r="P915" s="1638"/>
      <c r="Q915" s="1638"/>
      <c r="R915" s="1638"/>
      <c r="S915" s="1638"/>
      <c r="T915" s="1639"/>
      <c r="U915" s="1591" t="s">
        <v>31</v>
      </c>
      <c r="V915" s="1592"/>
      <c r="W915" s="1592"/>
      <c r="X915" s="1592"/>
      <c r="Y915" s="1592"/>
      <c r="Z915" s="1592"/>
      <c r="AA915" s="43"/>
      <c r="AB915" s="105"/>
      <c r="AC915" s="105"/>
      <c r="AD915" s="105"/>
      <c r="AE915" s="105"/>
      <c r="AF915" s="106"/>
      <c r="AZ915" s="34"/>
      <c r="BA915" s="34"/>
      <c r="BB915" s="34"/>
      <c r="BC915" s="34"/>
    </row>
    <row r="916" spans="1:58" ht="12.95" customHeight="1">
      <c r="B916" s="2"/>
      <c r="F916" s="1593" t="s">
        <v>818</v>
      </c>
      <c r="G916" s="1594"/>
      <c r="H916" s="1594"/>
      <c r="I916" s="1594"/>
      <c r="J916" s="1594"/>
      <c r="K916" s="1594"/>
      <c r="L916" s="1594"/>
      <c r="M916" s="1594"/>
      <c r="N916" s="1594"/>
      <c r="O916" s="1594"/>
      <c r="P916" s="1594"/>
      <c r="Q916" s="1594"/>
      <c r="R916" s="1594"/>
      <c r="S916" s="1594"/>
      <c r="T916" s="1609"/>
      <c r="U916" s="1593"/>
      <c r="V916" s="1594"/>
      <c r="W916" s="1594"/>
      <c r="X916" s="1594"/>
      <c r="Y916" s="1594"/>
      <c r="Z916" s="1594"/>
      <c r="AA916" s="44"/>
      <c r="AB916" s="4"/>
      <c r="AC916" s="4"/>
      <c r="AD916" s="4"/>
      <c r="AE916" s="4"/>
      <c r="AF916" s="107"/>
      <c r="AZ916" s="34"/>
      <c r="BA916" s="34"/>
      <c r="BB916" s="34"/>
      <c r="BC916" s="34"/>
    </row>
    <row r="917" spans="1:58" ht="12.95" customHeight="1">
      <c r="B917" s="2"/>
      <c r="F917" s="1595"/>
      <c r="G917" s="1596"/>
      <c r="H917" s="1596"/>
      <c r="I917" s="1596"/>
      <c r="J917" s="1596"/>
      <c r="K917" s="1596"/>
      <c r="L917" s="1596"/>
      <c r="M917" s="1596"/>
      <c r="N917" s="1596"/>
      <c r="O917" s="1596"/>
      <c r="P917" s="1596"/>
      <c r="Q917" s="1596"/>
      <c r="R917" s="1596"/>
      <c r="S917" s="1596"/>
      <c r="T917" s="1610"/>
      <c r="U917" s="1595"/>
      <c r="V917" s="1596"/>
      <c r="W917" s="1596"/>
      <c r="X917" s="1596"/>
      <c r="Y917" s="1596"/>
      <c r="Z917" s="1596"/>
      <c r="AA917" s="108"/>
      <c r="AB917" s="1632" t="s">
        <v>391</v>
      </c>
      <c r="AC917" s="1632"/>
      <c r="AD917" s="1632"/>
      <c r="AE917" s="1632"/>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597" t="s">
        <v>545</v>
      </c>
      <c r="V918" s="1598"/>
      <c r="W918" s="1598"/>
      <c r="X918" s="1598"/>
      <c r="Y918" s="1598"/>
      <c r="Z918" s="1599"/>
      <c r="AA918" s="1552">
        <f>AM554</f>
        <v>82584672</v>
      </c>
      <c r="AB918" s="1553"/>
      <c r="AC918" s="1553"/>
      <c r="AD918" s="1553"/>
      <c r="AE918" s="1553"/>
      <c r="AF918" s="1554"/>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597" t="s">
        <v>545</v>
      </c>
      <c r="V919" s="1598"/>
      <c r="W919" s="1598"/>
      <c r="X919" s="1598"/>
      <c r="Y919" s="1598"/>
      <c r="Z919" s="1599"/>
      <c r="AA919" s="1552">
        <f>AM555</f>
        <v>14427757</v>
      </c>
      <c r="AB919" s="1553"/>
      <c r="AC919" s="1553"/>
      <c r="AD919" s="1553"/>
      <c r="AE919" s="1553"/>
      <c r="AF919" s="1554"/>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597" t="s">
        <v>591</v>
      </c>
      <c r="V920" s="1598"/>
      <c r="W920" s="1598"/>
      <c r="X920" s="1598"/>
      <c r="Y920" s="1598"/>
      <c r="Z920" s="1599"/>
      <c r="AA920" s="1552"/>
      <c r="AB920" s="1553"/>
      <c r="AC920" s="1553"/>
      <c r="AD920" s="1553"/>
      <c r="AE920" s="1553"/>
      <c r="AF920" s="1554"/>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597" t="s">
        <v>591</v>
      </c>
      <c r="V921" s="1598"/>
      <c r="W921" s="1598"/>
      <c r="X921" s="1598"/>
      <c r="Y921" s="1598"/>
      <c r="Z921" s="1599"/>
      <c r="AA921" s="1552"/>
      <c r="AB921" s="1553"/>
      <c r="AC921" s="1553"/>
      <c r="AD921" s="1553"/>
      <c r="AE921" s="1553"/>
      <c r="AF921" s="1554"/>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597" t="s">
        <v>591</v>
      </c>
      <c r="V922" s="1598"/>
      <c r="W922" s="1598"/>
      <c r="X922" s="1598"/>
      <c r="Y922" s="1598"/>
      <c r="Z922" s="1599"/>
      <c r="AA922" s="1552"/>
      <c r="AB922" s="1553"/>
      <c r="AC922" s="1553"/>
      <c r="AD922" s="1553"/>
      <c r="AE922" s="1553"/>
      <c r="AF922" s="1554"/>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597" t="s">
        <v>591</v>
      </c>
      <c r="V923" s="1598"/>
      <c r="W923" s="1598"/>
      <c r="X923" s="1598"/>
      <c r="Y923" s="1598"/>
      <c r="Z923" s="1599"/>
      <c r="AA923" s="1552"/>
      <c r="AB923" s="1553"/>
      <c r="AC923" s="1553"/>
      <c r="AD923" s="1553"/>
      <c r="AE923" s="1553"/>
      <c r="AF923" s="1554"/>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597" t="s">
        <v>591</v>
      </c>
      <c r="V924" s="1598"/>
      <c r="W924" s="1598"/>
      <c r="X924" s="1598"/>
      <c r="Y924" s="1598"/>
      <c r="Z924" s="1599"/>
      <c r="AA924" s="1552"/>
      <c r="AB924" s="1553"/>
      <c r="AC924" s="1553"/>
      <c r="AD924" s="1553"/>
      <c r="AE924" s="1553"/>
      <c r="AF924" s="1554"/>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597" t="s">
        <v>591</v>
      </c>
      <c r="V925" s="1598"/>
      <c r="W925" s="1598"/>
      <c r="X925" s="1598"/>
      <c r="Y925" s="1598"/>
      <c r="Z925" s="1599"/>
      <c r="AA925" s="1552"/>
      <c r="AB925" s="1553"/>
      <c r="AC925" s="1553"/>
      <c r="AD925" s="1553"/>
      <c r="AE925" s="1553"/>
      <c r="AF925" s="1554"/>
      <c r="AZ925" s="34"/>
      <c r="BA925" s="34"/>
      <c r="BB925" s="34"/>
      <c r="BC925" s="34"/>
    </row>
    <row r="926" spans="1:58" ht="12.95" customHeight="1">
      <c r="F926" s="1611" t="s">
        <v>2193</v>
      </c>
      <c r="G926" s="1612"/>
      <c r="H926" s="1612"/>
      <c r="I926" s="1612"/>
      <c r="J926" s="1612"/>
      <c r="K926" s="1612"/>
      <c r="L926" s="1612"/>
      <c r="M926" s="1612"/>
      <c r="N926" s="1612"/>
      <c r="O926" s="1612"/>
      <c r="P926" s="1612"/>
      <c r="Q926" s="1612"/>
      <c r="R926" s="1612"/>
      <c r="S926" s="1612"/>
      <c r="T926" s="1613"/>
      <c r="U926" s="1597" t="s">
        <v>591</v>
      </c>
      <c r="V926" s="1598"/>
      <c r="W926" s="1598"/>
      <c r="X926" s="1598"/>
      <c r="Y926" s="1598"/>
      <c r="Z926" s="1599"/>
      <c r="AA926" s="1552"/>
      <c r="AB926" s="1553"/>
      <c r="AC926" s="1553"/>
      <c r="AD926" s="1553"/>
      <c r="AE926" s="1553"/>
      <c r="AF926" s="1554"/>
      <c r="AZ926" s="34"/>
      <c r="BA926" s="34"/>
      <c r="BB926" s="34"/>
      <c r="BC926" s="34"/>
    </row>
    <row r="927" spans="1:58" ht="12.95" customHeight="1">
      <c r="F927" s="1611" t="s">
        <v>679</v>
      </c>
      <c r="G927" s="1612"/>
      <c r="H927" s="1612"/>
      <c r="I927" s="1612"/>
      <c r="J927" s="1612"/>
      <c r="K927" s="1612"/>
      <c r="L927" s="1612"/>
      <c r="M927" s="1612"/>
      <c r="N927" s="1612"/>
      <c r="O927" s="1612"/>
      <c r="P927" s="1612"/>
      <c r="Q927" s="1612"/>
      <c r="R927" s="1612"/>
      <c r="S927" s="1612"/>
      <c r="T927" s="1613"/>
      <c r="U927" s="1597" t="s">
        <v>591</v>
      </c>
      <c r="V927" s="1598"/>
      <c r="W927" s="1598"/>
      <c r="X927" s="1598"/>
      <c r="Y927" s="1598"/>
      <c r="Z927" s="1599"/>
      <c r="AA927" s="1552"/>
      <c r="AB927" s="1553"/>
      <c r="AC927" s="1553"/>
      <c r="AD927" s="1553"/>
      <c r="AE927" s="1553"/>
      <c r="AF927" s="1554"/>
      <c r="AU927" s="2"/>
      <c r="AZ927" s="34"/>
      <c r="BA927" s="34"/>
      <c r="BB927" s="34"/>
      <c r="BC927" s="34"/>
    </row>
    <row r="928" spans="1:58" ht="12.95" customHeight="1">
      <c r="F928" s="1611" t="s">
        <v>2194</v>
      </c>
      <c r="G928" s="1612"/>
      <c r="H928" s="1612"/>
      <c r="I928" s="1612"/>
      <c r="J928" s="1612"/>
      <c r="K928" s="1612"/>
      <c r="L928" s="1612"/>
      <c r="M928" s="1612"/>
      <c r="N928" s="1612"/>
      <c r="O928" s="1612"/>
      <c r="P928" s="1612"/>
      <c r="Q928" s="1612"/>
      <c r="R928" s="1612"/>
      <c r="S928" s="1612"/>
      <c r="T928" s="1613"/>
      <c r="U928" s="1597" t="s">
        <v>591</v>
      </c>
      <c r="V928" s="1598"/>
      <c r="W928" s="1598"/>
      <c r="X928" s="1598"/>
      <c r="Y928" s="1598"/>
      <c r="Z928" s="1599"/>
      <c r="AA928" s="1552"/>
      <c r="AB928" s="1553"/>
      <c r="AC928" s="1553"/>
      <c r="AD928" s="1553"/>
      <c r="AE928" s="1553"/>
      <c r="AF928" s="1554"/>
      <c r="AU928" s="2"/>
      <c r="AZ928" s="34"/>
      <c r="BA928" s="34"/>
      <c r="BB928" s="34"/>
      <c r="BC928" s="34"/>
    </row>
    <row r="929" spans="6:55" ht="12.95" customHeight="1">
      <c r="F929" s="1611" t="s">
        <v>2195</v>
      </c>
      <c r="G929" s="1612"/>
      <c r="H929" s="1612"/>
      <c r="I929" s="1612"/>
      <c r="J929" s="1612"/>
      <c r="K929" s="1612"/>
      <c r="L929" s="1612"/>
      <c r="M929" s="1612"/>
      <c r="N929" s="1612"/>
      <c r="O929" s="1612"/>
      <c r="P929" s="1612"/>
      <c r="Q929" s="1612"/>
      <c r="R929" s="1612"/>
      <c r="S929" s="1612"/>
      <c r="T929" s="1613"/>
      <c r="U929" s="1597" t="s">
        <v>591</v>
      </c>
      <c r="V929" s="1598"/>
      <c r="W929" s="1598"/>
      <c r="X929" s="1598"/>
      <c r="Y929" s="1598"/>
      <c r="Z929" s="1599"/>
      <c r="AA929" s="1552"/>
      <c r="AB929" s="1553"/>
      <c r="AC929" s="1553"/>
      <c r="AD929" s="1553"/>
      <c r="AE929" s="1553"/>
      <c r="AF929" s="1554"/>
      <c r="AU929" s="2"/>
      <c r="AZ929" s="34"/>
      <c r="BA929" s="34"/>
      <c r="BB929" s="34"/>
      <c r="BC929" s="34"/>
    </row>
    <row r="930" spans="6:55" ht="12.95" customHeight="1">
      <c r="F930" s="1611" t="s">
        <v>2196</v>
      </c>
      <c r="G930" s="1612"/>
      <c r="H930" s="1612"/>
      <c r="I930" s="1612"/>
      <c r="J930" s="1612"/>
      <c r="K930" s="1612"/>
      <c r="L930" s="1612"/>
      <c r="M930" s="1612"/>
      <c r="N930" s="1612"/>
      <c r="O930" s="1612"/>
      <c r="P930" s="1612"/>
      <c r="Q930" s="1612"/>
      <c r="R930" s="1612"/>
      <c r="S930" s="1612"/>
      <c r="T930" s="1613"/>
      <c r="U930" s="1597" t="s">
        <v>591</v>
      </c>
      <c r="V930" s="1598"/>
      <c r="W930" s="1598"/>
      <c r="X930" s="1598"/>
      <c r="Y930" s="1598"/>
      <c r="Z930" s="1599"/>
      <c r="AA930" s="1552"/>
      <c r="AB930" s="1553"/>
      <c r="AC930" s="1553"/>
      <c r="AD930" s="1553"/>
      <c r="AE930" s="1553"/>
      <c r="AF930" s="1554"/>
      <c r="AU930" s="2"/>
      <c r="AZ930" s="34"/>
      <c r="BA930" s="34"/>
      <c r="BB930" s="34"/>
      <c r="BC930" s="34"/>
    </row>
    <row r="931" spans="6:55" ht="12.95" customHeight="1">
      <c r="F931" s="1611" t="s">
        <v>2197</v>
      </c>
      <c r="G931" s="1612"/>
      <c r="H931" s="1612"/>
      <c r="I931" s="1612"/>
      <c r="J931" s="1612"/>
      <c r="K931" s="1612"/>
      <c r="L931" s="1612"/>
      <c r="M931" s="1612"/>
      <c r="N931" s="1612"/>
      <c r="O931" s="1612"/>
      <c r="P931" s="1612"/>
      <c r="Q931" s="1612"/>
      <c r="R931" s="1612"/>
      <c r="S931" s="1612"/>
      <c r="T931" s="1613"/>
      <c r="U931" s="1597" t="s">
        <v>545</v>
      </c>
      <c r="V931" s="1598"/>
      <c r="W931" s="1598"/>
      <c r="X931" s="1598"/>
      <c r="Y931" s="1598"/>
      <c r="Z931" s="1599"/>
      <c r="AA931" s="1552">
        <f>AO628</f>
        <v>29000000</v>
      </c>
      <c r="AB931" s="1553"/>
      <c r="AC931" s="1553"/>
      <c r="AD931" s="1553"/>
      <c r="AE931" s="1553"/>
      <c r="AF931" s="1554"/>
      <c r="AU931" s="2"/>
      <c r="AZ931" s="34"/>
      <c r="BA931" s="34"/>
      <c r="BB931" s="34"/>
      <c r="BC931" s="34"/>
    </row>
    <row r="932" spans="6:55" ht="12.95" customHeight="1">
      <c r="F932" s="1611" t="s">
        <v>2198</v>
      </c>
      <c r="G932" s="1612"/>
      <c r="H932" s="1612"/>
      <c r="I932" s="1612"/>
      <c r="J932" s="1612"/>
      <c r="K932" s="1612"/>
      <c r="L932" s="1612"/>
      <c r="M932" s="1612"/>
      <c r="N932" s="1612"/>
      <c r="O932" s="1612"/>
      <c r="P932" s="1612"/>
      <c r="Q932" s="1612"/>
      <c r="R932" s="1612"/>
      <c r="S932" s="1612"/>
      <c r="T932" s="1613"/>
      <c r="U932" s="1597" t="s">
        <v>591</v>
      </c>
      <c r="V932" s="1598"/>
      <c r="W932" s="1598"/>
      <c r="X932" s="1598"/>
      <c r="Y932" s="1598"/>
      <c r="Z932" s="1599"/>
      <c r="AA932" s="1552"/>
      <c r="AB932" s="1553"/>
      <c r="AC932" s="1553"/>
      <c r="AD932" s="1553"/>
      <c r="AE932" s="1553"/>
      <c r="AF932" s="1554"/>
      <c r="AZ932" s="30"/>
      <c r="BA932" s="30"/>
    </row>
    <row r="933" spans="6:55" ht="12.95" customHeight="1">
      <c r="F933" s="178" t="s">
        <v>676</v>
      </c>
      <c r="G933" s="5"/>
      <c r="H933" s="5"/>
      <c r="I933" s="5"/>
      <c r="J933" s="5"/>
      <c r="K933" s="5"/>
      <c r="L933" s="5"/>
      <c r="M933" s="5"/>
      <c r="N933" s="5"/>
      <c r="O933" s="5"/>
      <c r="P933" s="5"/>
      <c r="Q933" s="5"/>
      <c r="R933" s="5"/>
      <c r="S933" s="5"/>
      <c r="T933" s="46"/>
      <c r="U933" s="1597" t="s">
        <v>591</v>
      </c>
      <c r="V933" s="1598"/>
      <c r="W933" s="1598"/>
      <c r="X933" s="1598"/>
      <c r="Y933" s="1598"/>
      <c r="Z933" s="1599"/>
      <c r="AA933" s="1552"/>
      <c r="AB933" s="1553"/>
      <c r="AC933" s="1553"/>
      <c r="AD933" s="1553"/>
      <c r="AE933" s="1553"/>
      <c r="AF933" s="1554"/>
    </row>
    <row r="934" spans="6:55" ht="12.95" customHeight="1">
      <c r="F934" s="121" t="s">
        <v>1277</v>
      </c>
      <c r="G934" s="5"/>
      <c r="H934" s="5"/>
      <c r="I934" s="5"/>
      <c r="J934" s="5"/>
      <c r="K934" s="5"/>
      <c r="L934" s="5"/>
      <c r="M934" s="5"/>
      <c r="N934" s="5"/>
      <c r="O934" s="5"/>
      <c r="P934" s="5"/>
      <c r="Q934" s="5"/>
      <c r="R934" s="5"/>
      <c r="S934" s="5"/>
      <c r="T934" s="46"/>
      <c r="U934" s="1597" t="s">
        <v>591</v>
      </c>
      <c r="V934" s="1598"/>
      <c r="W934" s="1598"/>
      <c r="X934" s="1598"/>
      <c r="Y934" s="1598"/>
      <c r="Z934" s="1599"/>
      <c r="AA934" s="1552"/>
      <c r="AB934" s="1553"/>
      <c r="AC934" s="1553"/>
      <c r="AD934" s="1553"/>
      <c r="AE934" s="1553"/>
      <c r="AF934" s="1554"/>
      <c r="AZ934" s="30"/>
      <c r="BA934" s="14"/>
    </row>
    <row r="935" spans="6:55" ht="12.95" customHeight="1">
      <c r="F935" s="66" t="s">
        <v>802</v>
      </c>
      <c r="G935" s="5"/>
      <c r="H935" s="5"/>
      <c r="I935" s="5"/>
      <c r="J935" s="5"/>
      <c r="K935" s="5"/>
      <c r="L935" s="5"/>
      <c r="M935" s="5"/>
      <c r="N935" s="5"/>
      <c r="O935" s="5"/>
      <c r="P935" s="5"/>
      <c r="Q935" s="5"/>
      <c r="R935" s="5"/>
      <c r="S935" s="5"/>
      <c r="T935" s="46"/>
      <c r="U935" s="1597" t="s">
        <v>591</v>
      </c>
      <c r="V935" s="1598"/>
      <c r="W935" s="1598"/>
      <c r="X935" s="1598"/>
      <c r="Y935" s="1598"/>
      <c r="Z935" s="1599"/>
      <c r="AA935" s="1552"/>
      <c r="AB935" s="1553"/>
      <c r="AC935" s="1553"/>
      <c r="AD935" s="1553"/>
      <c r="AE935" s="1553"/>
      <c r="AF935" s="1554"/>
      <c r="AZ935" s="30"/>
      <c r="BA935" s="14"/>
    </row>
    <row r="936" spans="6:55" ht="12.95" customHeight="1">
      <c r="F936" s="1653" t="s">
        <v>2202</v>
      </c>
      <c r="G936" s="1654"/>
      <c r="H936" s="1654"/>
      <c r="I936" s="1654"/>
      <c r="J936" s="1654"/>
      <c r="K936" s="1654"/>
      <c r="L936" s="1654"/>
      <c r="M936" s="1654"/>
      <c r="N936" s="1654"/>
      <c r="O936" s="1654"/>
      <c r="P936" s="1654"/>
      <c r="Q936" s="1654"/>
      <c r="R936" s="1654"/>
      <c r="S936" s="1654"/>
      <c r="T936" s="1655"/>
      <c r="U936" s="1597" t="s">
        <v>591</v>
      </c>
      <c r="V936" s="1598"/>
      <c r="W936" s="1598"/>
      <c r="X936" s="1598"/>
      <c r="Y936" s="1598"/>
      <c r="Z936" s="1599"/>
      <c r="AA936" s="1552"/>
      <c r="AB936" s="1553"/>
      <c r="AC936" s="1553"/>
      <c r="AD936" s="1553"/>
      <c r="AE936" s="1553"/>
      <c r="AF936" s="1554"/>
      <c r="AZ936" s="30"/>
      <c r="BA936" s="14"/>
    </row>
    <row r="937" spans="6:55" ht="12.95" customHeight="1">
      <c r="F937" s="1653" t="s">
        <v>2203</v>
      </c>
      <c r="G937" s="1654"/>
      <c r="H937" s="1654"/>
      <c r="I937" s="1654"/>
      <c r="J937" s="1654"/>
      <c r="K937" s="1654"/>
      <c r="L937" s="1654"/>
      <c r="M937" s="1654"/>
      <c r="N937" s="1654"/>
      <c r="O937" s="1654"/>
      <c r="P937" s="1654"/>
      <c r="Q937" s="1654"/>
      <c r="R937" s="1654"/>
      <c r="S937" s="1654"/>
      <c r="T937" s="1655"/>
      <c r="U937" s="1597" t="s">
        <v>591</v>
      </c>
      <c r="V937" s="1598"/>
      <c r="W937" s="1598"/>
      <c r="X937" s="1598"/>
      <c r="Y937" s="1598"/>
      <c r="Z937" s="1599"/>
      <c r="AA937" s="1552"/>
      <c r="AB937" s="1553"/>
      <c r="AC937" s="1553"/>
      <c r="AD937" s="1553"/>
      <c r="AE937" s="1553"/>
      <c r="AF937" s="1554"/>
      <c r="AZ937" s="30"/>
      <c r="BA937" s="30"/>
    </row>
    <row r="938" spans="6:55" ht="12.95" customHeight="1">
      <c r="F938" s="1611" t="s">
        <v>2199</v>
      </c>
      <c r="G938" s="1612"/>
      <c r="H938" s="1612"/>
      <c r="I938" s="1612"/>
      <c r="J938" s="1612"/>
      <c r="K938" s="1612"/>
      <c r="L938" s="1612"/>
      <c r="M938" s="1612"/>
      <c r="N938" s="1612"/>
      <c r="O938" s="1612"/>
      <c r="P938" s="1612"/>
      <c r="Q938" s="1612"/>
      <c r="R938" s="1612"/>
      <c r="S938" s="1612"/>
      <c r="T938" s="1613"/>
      <c r="U938" s="1597" t="s">
        <v>591</v>
      </c>
      <c r="V938" s="1598"/>
      <c r="W938" s="1598"/>
      <c r="X938" s="1598"/>
      <c r="Y938" s="1598"/>
      <c r="Z938" s="1599"/>
      <c r="AA938" s="1552"/>
      <c r="AB938" s="1553"/>
      <c r="AC938" s="1553"/>
      <c r="AD938" s="1553"/>
      <c r="AE938" s="1553"/>
      <c r="AF938" s="1554"/>
      <c r="AZ938" s="30"/>
      <c r="BA938" s="30"/>
    </row>
    <row r="939" spans="6:55" ht="12.95" customHeight="1">
      <c r="F939" s="1611" t="s">
        <v>2200</v>
      </c>
      <c r="G939" s="1612"/>
      <c r="H939" s="1612"/>
      <c r="I939" s="1612"/>
      <c r="J939" s="1612"/>
      <c r="K939" s="1612"/>
      <c r="L939" s="1612"/>
      <c r="M939" s="1612"/>
      <c r="N939" s="1612"/>
      <c r="O939" s="1612"/>
      <c r="P939" s="1612"/>
      <c r="Q939" s="1612"/>
      <c r="R939" s="1612"/>
      <c r="S939" s="1612"/>
      <c r="T939" s="1613"/>
      <c r="U939" s="1597" t="s">
        <v>591</v>
      </c>
      <c r="V939" s="1598"/>
      <c r="W939" s="1598"/>
      <c r="X939" s="1598"/>
      <c r="Y939" s="1598"/>
      <c r="Z939" s="1599"/>
      <c r="AA939" s="1552"/>
      <c r="AB939" s="1553"/>
      <c r="AC939" s="1553"/>
      <c r="AD939" s="1553"/>
      <c r="AE939" s="1553"/>
      <c r="AF939" s="1554"/>
      <c r="AZ939" s="30"/>
      <c r="BA939" s="30"/>
    </row>
    <row r="940" spans="6:55" ht="12.95" customHeight="1">
      <c r="F940" s="1611" t="s">
        <v>2201</v>
      </c>
      <c r="G940" s="1612"/>
      <c r="H940" s="1612"/>
      <c r="I940" s="1612"/>
      <c r="J940" s="1612"/>
      <c r="K940" s="1612"/>
      <c r="L940" s="1612"/>
      <c r="M940" s="1612"/>
      <c r="N940" s="1612"/>
      <c r="O940" s="1612"/>
      <c r="P940" s="1612"/>
      <c r="Q940" s="1612"/>
      <c r="R940" s="1612"/>
      <c r="S940" s="1612"/>
      <c r="T940" s="1613"/>
      <c r="U940" s="1597" t="s">
        <v>591</v>
      </c>
      <c r="V940" s="1598"/>
      <c r="W940" s="1598"/>
      <c r="X940" s="1598"/>
      <c r="Y940" s="1598"/>
      <c r="Z940" s="1599"/>
      <c r="AA940" s="1552"/>
      <c r="AB940" s="1553"/>
      <c r="AC940" s="1553"/>
      <c r="AD940" s="1553"/>
      <c r="AE940" s="1553"/>
      <c r="AF940" s="1554"/>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597" t="s">
        <v>591</v>
      </c>
      <c r="V941" s="1598"/>
      <c r="W941" s="1598"/>
      <c r="X941" s="1598"/>
      <c r="Y941" s="1598"/>
      <c r="Z941" s="1599"/>
      <c r="AA941" s="1552"/>
      <c r="AB941" s="1553"/>
      <c r="AC941" s="1553"/>
      <c r="AD941" s="1553"/>
      <c r="AE941" s="1553"/>
      <c r="AF941" s="1554"/>
      <c r="AZ941" s="34"/>
      <c r="BA941" s="34"/>
      <c r="BB941" s="14"/>
      <c r="BC941" s="14"/>
    </row>
    <row r="942" spans="6:55" ht="12.95" customHeight="1">
      <c r="F942" s="1653" t="s">
        <v>2204</v>
      </c>
      <c r="G942" s="1654"/>
      <c r="H942" s="1654"/>
      <c r="I942" s="1654"/>
      <c r="J942" s="1654"/>
      <c r="K942" s="1654"/>
      <c r="L942" s="1654"/>
      <c r="M942" s="1654"/>
      <c r="N942" s="1654"/>
      <c r="O942" s="1654"/>
      <c r="P942" s="1654"/>
      <c r="Q942" s="1654"/>
      <c r="R942" s="1654"/>
      <c r="S942" s="1654"/>
      <c r="T942" s="1655"/>
      <c r="U942" s="1597" t="s">
        <v>591</v>
      </c>
      <c r="V942" s="1598"/>
      <c r="W942" s="1598"/>
      <c r="X942" s="1598"/>
      <c r="Y942" s="1598"/>
      <c r="Z942" s="1599"/>
      <c r="AA942" s="1552"/>
      <c r="AB942" s="1553"/>
      <c r="AC942" s="1553"/>
      <c r="AD942" s="1553"/>
      <c r="AE942" s="1553"/>
      <c r="AF942" s="1554"/>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597" t="s">
        <v>591</v>
      </c>
      <c r="V943" s="1598"/>
      <c r="W943" s="1598"/>
      <c r="X943" s="1598"/>
      <c r="Y943" s="1598"/>
      <c r="Z943" s="1599"/>
      <c r="AA943" s="1552"/>
      <c r="AB943" s="1553"/>
      <c r="AC943" s="1553"/>
      <c r="AD943" s="1553"/>
      <c r="AE943" s="1553"/>
      <c r="AF943" s="1554"/>
      <c r="AZ943" s="34"/>
      <c r="BA943" s="34"/>
      <c r="BB943" s="34"/>
      <c r="BC943" s="34"/>
    </row>
    <row r="944" spans="6:55" ht="12.95" customHeight="1">
      <c r="F944" s="1653" t="s">
        <v>2205</v>
      </c>
      <c r="G944" s="1654"/>
      <c r="H944" s="1654"/>
      <c r="I944" s="1654"/>
      <c r="J944" s="1654"/>
      <c r="K944" s="1654"/>
      <c r="L944" s="1654"/>
      <c r="M944" s="1654"/>
      <c r="N944" s="1654"/>
      <c r="O944" s="1654"/>
      <c r="P944" s="1654"/>
      <c r="Q944" s="1654"/>
      <c r="R944" s="1654"/>
      <c r="S944" s="1654"/>
      <c r="T944" s="1655"/>
      <c r="U944" s="1597" t="s">
        <v>591</v>
      </c>
      <c r="V944" s="1598"/>
      <c r="W944" s="1598"/>
      <c r="X944" s="1598"/>
      <c r="Y944" s="1598"/>
      <c r="Z944" s="1599"/>
      <c r="AA944" s="1552"/>
      <c r="AB944" s="1553"/>
      <c r="AC944" s="1553"/>
      <c r="AD944" s="1553"/>
      <c r="AE944" s="1553"/>
      <c r="AF944" s="1554"/>
      <c r="AZ944" s="34"/>
      <c r="BA944" s="34"/>
      <c r="BB944" s="34"/>
      <c r="BC944" s="34"/>
    </row>
    <row r="945" spans="1:55" ht="12.95" customHeight="1">
      <c r="F945" s="45" t="s">
        <v>806</v>
      </c>
      <c r="G945" s="5"/>
      <c r="H945" s="5"/>
      <c r="I945" s="5"/>
      <c r="J945" s="5"/>
      <c r="K945" s="5"/>
      <c r="L945" s="5"/>
      <c r="M945" s="5"/>
      <c r="N945" s="5"/>
      <c r="O945" s="5"/>
      <c r="P945" s="1597" t="s">
        <v>669</v>
      </c>
      <c r="Q945" s="1598"/>
      <c r="R945" s="1598"/>
      <c r="S945" s="1598"/>
      <c r="T945" s="1599"/>
      <c r="U945" s="1597" t="s">
        <v>591</v>
      </c>
      <c r="V945" s="1598"/>
      <c r="W945" s="1598"/>
      <c r="X945" s="1598"/>
      <c r="Y945" s="1598"/>
      <c r="Z945" s="1599"/>
      <c r="AA945" s="1552"/>
      <c r="AB945" s="1553"/>
      <c r="AC945" s="1553"/>
      <c r="AD945" s="1553"/>
      <c r="AE945" s="1553"/>
      <c r="AF945" s="1554"/>
      <c r="AZ945" s="34"/>
      <c r="BA945" s="34"/>
      <c r="BB945" s="34"/>
      <c r="BC945" s="34"/>
    </row>
    <row r="946" spans="1:55" ht="12.95" customHeight="1">
      <c r="F946" s="1611" t="s">
        <v>2192</v>
      </c>
      <c r="G946" s="1612"/>
      <c r="H946" s="1613"/>
      <c r="I946" s="1603" t="s">
        <v>334</v>
      </c>
      <c r="J946" s="1604"/>
      <c r="K946" s="1604"/>
      <c r="L946" s="1604"/>
      <c r="M946" s="1604"/>
      <c r="N946" s="1604"/>
      <c r="O946" s="1604"/>
      <c r="P946" s="1604"/>
      <c r="Q946" s="1604"/>
      <c r="R946" s="1604"/>
      <c r="S946" s="1604"/>
      <c r="T946" s="1605"/>
      <c r="U946" s="1597" t="s">
        <v>591</v>
      </c>
      <c r="V946" s="1598"/>
      <c r="W946" s="1598"/>
      <c r="X946" s="1598"/>
      <c r="Y946" s="1598"/>
      <c r="Z946" s="1599"/>
      <c r="AA946" s="1552"/>
      <c r="AB946" s="1553"/>
      <c r="AC946" s="1553"/>
      <c r="AD946" s="1553"/>
      <c r="AE946" s="1553"/>
      <c r="AF946" s="1554"/>
      <c r="AZ946" s="34"/>
      <c r="BA946" s="34"/>
      <c r="BB946" s="34"/>
      <c r="BC946" s="34"/>
    </row>
    <row r="947" spans="1:55" ht="12.95" customHeight="1">
      <c r="F947" s="45" t="s">
        <v>86</v>
      </c>
      <c r="G947" s="48"/>
      <c r="H947" s="48"/>
      <c r="I947" s="1603" t="s">
        <v>334</v>
      </c>
      <c r="J947" s="1604"/>
      <c r="K947" s="1604"/>
      <c r="L947" s="1604"/>
      <c r="M947" s="1604"/>
      <c r="N947" s="1604"/>
      <c r="O947" s="1604"/>
      <c r="P947" s="1604"/>
      <c r="Q947" s="1604"/>
      <c r="R947" s="1604"/>
      <c r="S947" s="1604"/>
      <c r="T947" s="1605"/>
      <c r="U947" s="1597" t="s">
        <v>591</v>
      </c>
      <c r="V947" s="1598"/>
      <c r="W947" s="1598"/>
      <c r="X947" s="1598"/>
      <c r="Y947" s="1598"/>
      <c r="Z947" s="1599"/>
      <c r="AA947" s="1552"/>
      <c r="AB947" s="1553"/>
      <c r="AC947" s="1553"/>
      <c r="AD947" s="1553"/>
      <c r="AE947" s="1553"/>
      <c r="AF947" s="1554"/>
      <c r="AZ947" s="34"/>
      <c r="BA947" s="34"/>
      <c r="BB947" s="34"/>
      <c r="BC947" s="34"/>
    </row>
    <row r="948" spans="1:55" ht="12.95" customHeight="1">
      <c r="F948" s="45" t="s">
        <v>10</v>
      </c>
      <c r="G948" s="48"/>
      <c r="H948" s="48"/>
      <c r="I948" s="1603" t="s">
        <v>2614</v>
      </c>
      <c r="J948" s="1539"/>
      <c r="K948" s="1539"/>
      <c r="L948" s="1539"/>
      <c r="M948" s="1539"/>
      <c r="N948" s="1539"/>
      <c r="O948" s="1539"/>
      <c r="P948" s="1539"/>
      <c r="Q948" s="1539"/>
      <c r="R948" s="1539"/>
      <c r="S948" s="1539"/>
      <c r="T948" s="1540"/>
      <c r="U948" s="1597" t="s">
        <v>545</v>
      </c>
      <c r="V948" s="1598"/>
      <c r="W948" s="1598"/>
      <c r="X948" s="1598"/>
      <c r="Y948" s="1598"/>
      <c r="Z948" s="1599"/>
      <c r="AA948" s="1552">
        <v>9898877</v>
      </c>
      <c r="AB948" s="1553"/>
      <c r="AC948" s="1553"/>
      <c r="AD948" s="1553"/>
      <c r="AE948" s="1553"/>
      <c r="AF948" s="1554"/>
      <c r="AV948" s="2"/>
      <c r="AW948" s="2"/>
      <c r="AX948" s="2"/>
      <c r="AY948" s="2"/>
      <c r="AZ948" s="34"/>
      <c r="BA948" s="34"/>
      <c r="BB948" s="34"/>
      <c r="BC948" s="34"/>
    </row>
    <row r="949" spans="1:55" ht="12.95" customHeight="1">
      <c r="F949" s="47" t="s">
        <v>170</v>
      </c>
      <c r="G949" s="48"/>
      <c r="H949" s="48"/>
      <c r="I949" s="1603" t="s">
        <v>2716</v>
      </c>
      <c r="J949" s="1539"/>
      <c r="K949" s="1539"/>
      <c r="L949" s="1539"/>
      <c r="M949" s="1539"/>
      <c r="N949" s="1539"/>
      <c r="O949" s="1539"/>
      <c r="P949" s="1539"/>
      <c r="Q949" s="1539"/>
      <c r="R949" s="1539"/>
      <c r="S949" s="1539"/>
      <c r="T949" s="1540"/>
      <c r="U949" s="1597" t="s">
        <v>545</v>
      </c>
      <c r="V949" s="1598"/>
      <c r="W949" s="1598"/>
      <c r="X949" s="1598"/>
      <c r="Y949" s="1598"/>
      <c r="Z949" s="1599"/>
      <c r="AA949" s="1552">
        <v>11115000</v>
      </c>
      <c r="AB949" s="1553"/>
      <c r="AC949" s="1553"/>
      <c r="AD949" s="1553"/>
      <c r="AE949" s="1553"/>
      <c r="AF949" s="1554"/>
      <c r="AU949" s="2"/>
      <c r="AZ949" s="34"/>
      <c r="BA949" s="34"/>
      <c r="BB949" s="34"/>
      <c r="BC949" s="34"/>
    </row>
    <row r="950" spans="1:55" ht="12.95" customHeight="1">
      <c r="F950" s="47" t="s">
        <v>170</v>
      </c>
      <c r="G950" s="48"/>
      <c r="H950" s="48"/>
      <c r="I950" s="1538" t="str">
        <f>G651</f>
        <v>San Francisco Housing Accelerator Fund</v>
      </c>
      <c r="J950" s="1539"/>
      <c r="K950" s="1539"/>
      <c r="L950" s="1539"/>
      <c r="M950" s="1539"/>
      <c r="N950" s="1539"/>
      <c r="O950" s="1539"/>
      <c r="P950" s="1539"/>
      <c r="Q950" s="1539"/>
      <c r="R950" s="1539"/>
      <c r="S950" s="1539"/>
      <c r="T950" s="1540"/>
      <c r="U950" s="1597" t="s">
        <v>545</v>
      </c>
      <c r="V950" s="1598"/>
      <c r="W950" s="1598"/>
      <c r="X950" s="1598"/>
      <c r="Y950" s="1598"/>
      <c r="Z950" s="1599"/>
      <c r="AA950" s="1552">
        <v>15500000</v>
      </c>
      <c r="AB950" s="1553"/>
      <c r="AC950" s="1553"/>
      <c r="AD950" s="1553"/>
      <c r="AE950" s="1553"/>
      <c r="AF950" s="1554"/>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5" t="s">
        <v>2662</v>
      </c>
      <c r="N955" s="1536"/>
      <c r="O955" s="1536"/>
      <c r="P955" s="1536"/>
      <c r="Q955" s="1536"/>
      <c r="R955" s="1536"/>
      <c r="S955" s="1537"/>
      <c r="U955" s="66" t="s">
        <v>11</v>
      </c>
      <c r="V955" s="5"/>
      <c r="W955" s="5"/>
      <c r="X955" s="5"/>
      <c r="Y955" s="5"/>
      <c r="Z955" s="5"/>
      <c r="AA955" s="5"/>
      <c r="AB955" s="5"/>
      <c r="AC955" s="5"/>
      <c r="AD955" s="46"/>
      <c r="AE955" s="1535"/>
      <c r="AF955" s="1536"/>
      <c r="AG955" s="1536"/>
      <c r="AH955" s="1536"/>
      <c r="AI955" s="1536"/>
      <c r="AJ955" s="1536"/>
      <c r="AK955" s="1537"/>
      <c r="AZ955" s="34"/>
      <c r="BA955" s="34"/>
      <c r="BB955" s="34"/>
      <c r="BC955" s="34"/>
    </row>
    <row r="956" spans="1:55" ht="12.95" customHeight="1">
      <c r="C956" s="66" t="s">
        <v>12</v>
      </c>
      <c r="D956" s="5"/>
      <c r="E956" s="5"/>
      <c r="F956" s="5"/>
      <c r="G956" s="5"/>
      <c r="H956" s="5"/>
      <c r="I956" s="5"/>
      <c r="J956" s="5"/>
      <c r="K956" s="5"/>
      <c r="L956" s="46"/>
      <c r="M956" s="1547" t="s">
        <v>2715</v>
      </c>
      <c r="N956" s="1472"/>
      <c r="O956" s="1472"/>
      <c r="P956" s="1472"/>
      <c r="Q956" s="1472"/>
      <c r="R956" s="1472"/>
      <c r="S956" s="1548"/>
      <c r="U956" s="66" t="s">
        <v>12</v>
      </c>
      <c r="V956" s="5"/>
      <c r="W956" s="5"/>
      <c r="X956" s="5"/>
      <c r="Y956" s="5"/>
      <c r="Z956" s="5"/>
      <c r="AA956" s="5"/>
      <c r="AB956" s="5"/>
      <c r="AC956" s="5"/>
      <c r="AD956" s="46"/>
      <c r="AE956" s="1547"/>
      <c r="AF956" s="1472"/>
      <c r="AG956" s="1472"/>
      <c r="AH956" s="1472"/>
      <c r="AI956" s="1472"/>
      <c r="AJ956" s="1472"/>
      <c r="AK956" s="1548"/>
      <c r="AZ956" s="34"/>
      <c r="BA956" s="34"/>
      <c r="BB956" s="34"/>
      <c r="BC956" s="34"/>
    </row>
    <row r="957" spans="1:55" ht="12.95" customHeight="1">
      <c r="C957" s="66" t="s">
        <v>880</v>
      </c>
      <c r="D957" s="5"/>
      <c r="E957" s="5"/>
      <c r="J957" s="1558" t="s">
        <v>2714</v>
      </c>
      <c r="K957" s="1559"/>
      <c r="L957" s="1559"/>
      <c r="M957" s="1559"/>
      <c r="N957" s="1559"/>
      <c r="O957" s="1559"/>
      <c r="P957" s="1559"/>
      <c r="Q957" s="1559"/>
      <c r="R957" s="1559"/>
      <c r="S957" s="1560"/>
      <c r="U957" s="66" t="s">
        <v>880</v>
      </c>
      <c r="V957" s="5"/>
      <c r="W957" s="5"/>
      <c r="AB957" s="1558" t="s">
        <v>307</v>
      </c>
      <c r="AC957" s="1559"/>
      <c r="AD957" s="1559"/>
      <c r="AE957" s="1559"/>
      <c r="AF957" s="1559"/>
      <c r="AG957" s="1559"/>
      <c r="AH957" s="1559"/>
      <c r="AI957" s="1559"/>
      <c r="AJ957" s="1559"/>
      <c r="AK957" s="1560"/>
      <c r="AZ957" s="34"/>
      <c r="BA957" s="34"/>
      <c r="BB957" s="34"/>
      <c r="BC957" s="34"/>
    </row>
    <row r="958" spans="1:55" ht="12.95" customHeight="1">
      <c r="C958" s="66" t="s">
        <v>13</v>
      </c>
      <c r="D958" s="5"/>
      <c r="E958" s="5"/>
      <c r="F958" s="5"/>
      <c r="G958" s="5"/>
      <c r="H958" s="5"/>
      <c r="I958" s="5"/>
      <c r="J958" s="5"/>
      <c r="K958" s="5"/>
      <c r="L958" s="46"/>
      <c r="M958" s="1633">
        <v>0.25</v>
      </c>
      <c r="N958" s="1556"/>
      <c r="O958" s="1556"/>
      <c r="P958" s="1556"/>
      <c r="Q958" s="1556"/>
      <c r="R958" s="1556"/>
      <c r="S958" s="1557"/>
      <c r="U958" s="66" t="s">
        <v>13</v>
      </c>
      <c r="V958" s="5"/>
      <c r="W958" s="5"/>
      <c r="X958" s="5"/>
      <c r="Y958" s="5"/>
      <c r="Z958" s="5"/>
      <c r="AA958" s="5"/>
      <c r="AB958" s="5"/>
      <c r="AC958" s="5"/>
      <c r="AD958" s="46"/>
      <c r="AE958" s="1555"/>
      <c r="AF958" s="1556"/>
      <c r="AG958" s="1556"/>
      <c r="AH958" s="1556"/>
      <c r="AI958" s="1556"/>
      <c r="AJ958" s="1556"/>
      <c r="AK958" s="1557"/>
      <c r="AZ958" s="34"/>
      <c r="BA958" s="34"/>
      <c r="BB958" s="34"/>
      <c r="BC958" s="34"/>
    </row>
    <row r="959" spans="1:55" ht="12.95" customHeight="1">
      <c r="C959" s="66" t="s">
        <v>14</v>
      </c>
      <c r="D959" s="5"/>
      <c r="E959" s="5"/>
      <c r="F959" s="5"/>
      <c r="G959" s="5"/>
      <c r="H959" s="5"/>
      <c r="I959" s="5"/>
      <c r="J959" s="5"/>
      <c r="K959" s="5"/>
      <c r="L959" s="46"/>
      <c r="M959" s="1565">
        <v>49</v>
      </c>
      <c r="N959" s="1566"/>
      <c r="O959" s="1566"/>
      <c r="P959" s="1566"/>
      <c r="Q959" s="1566"/>
      <c r="R959" s="1566"/>
      <c r="S959" s="1567"/>
      <c r="U959" s="66" t="s">
        <v>14</v>
      </c>
      <c r="V959" s="5"/>
      <c r="W959" s="5"/>
      <c r="X959" s="5"/>
      <c r="Y959" s="5"/>
      <c r="Z959" s="5"/>
      <c r="AA959" s="5"/>
      <c r="AB959" s="5"/>
      <c r="AC959" s="5"/>
      <c r="AD959" s="46"/>
      <c r="AE959" s="1565"/>
      <c r="AF959" s="1566"/>
      <c r="AG959" s="1566"/>
      <c r="AH959" s="1566"/>
      <c r="AI959" s="1566"/>
      <c r="AJ959" s="1566"/>
      <c r="AK959" s="1567"/>
      <c r="AV959" s="2"/>
      <c r="AW959" s="2"/>
      <c r="AX959" s="2"/>
      <c r="AY959" s="2"/>
      <c r="AZ959" s="34"/>
      <c r="BA959" s="34"/>
      <c r="BB959" s="34"/>
      <c r="BC959" s="34"/>
    </row>
    <row r="960" spans="1:55" ht="12.95" customHeight="1">
      <c r="C960" s="66" t="s">
        <v>15</v>
      </c>
      <c r="D960" s="5"/>
      <c r="E960" s="5"/>
      <c r="F960" s="5"/>
      <c r="G960" s="5"/>
      <c r="H960" s="5"/>
      <c r="I960" s="5"/>
      <c r="J960" s="5"/>
      <c r="K960" s="5"/>
      <c r="L960" s="46"/>
      <c r="M960" s="1552">
        <f>SUM('Subsidy Contract Calculation'!J7,'Subsidy Contract Calculation'!J9,'Subsidy Contract Calculation'!J13)*12</f>
        <v>1154796</v>
      </c>
      <c r="N960" s="1553"/>
      <c r="O960" s="1553"/>
      <c r="P960" s="1553"/>
      <c r="Q960" s="1553"/>
      <c r="R960" s="1553"/>
      <c r="S960" s="1554"/>
      <c r="U960" s="66" t="s">
        <v>15</v>
      </c>
      <c r="V960" s="5"/>
      <c r="W960" s="5"/>
      <c r="X960" s="5"/>
      <c r="Y960" s="5"/>
      <c r="Z960" s="5"/>
      <c r="AA960" s="5"/>
      <c r="AB960" s="5"/>
      <c r="AC960" s="5"/>
      <c r="AD960" s="46"/>
      <c r="AE960" s="1552"/>
      <c r="AF960" s="1553"/>
      <c r="AG960" s="1553"/>
      <c r="AH960" s="1553"/>
      <c r="AI960" s="1553"/>
      <c r="AJ960" s="1553"/>
      <c r="AK960" s="1554"/>
      <c r="AV960" s="2"/>
      <c r="AW960" s="2"/>
      <c r="AX960" s="2"/>
      <c r="AY960" s="2"/>
      <c r="AZ960" s="34"/>
      <c r="BA960" s="34"/>
      <c r="BB960" s="34"/>
      <c r="BC960" s="34"/>
    </row>
    <row r="961" spans="1:64" ht="12.95" customHeight="1">
      <c r="C961" s="66" t="s">
        <v>16</v>
      </c>
      <c r="D961" s="5"/>
      <c r="E961" s="5"/>
      <c r="F961" s="5"/>
      <c r="G961" s="5"/>
      <c r="H961" s="5"/>
      <c r="I961" s="5"/>
      <c r="J961" s="5"/>
      <c r="K961" s="5"/>
      <c r="L961" s="46"/>
      <c r="M961" s="1552">
        <f>M960*M962</f>
        <v>23095920</v>
      </c>
      <c r="N961" s="1553"/>
      <c r="O961" s="1553"/>
      <c r="P961" s="1553"/>
      <c r="Q961" s="1553"/>
      <c r="R961" s="1553"/>
      <c r="S961" s="1554"/>
      <c r="U961" s="66" t="s">
        <v>16</v>
      </c>
      <c r="V961" s="5"/>
      <c r="W961" s="5"/>
      <c r="X961" s="5"/>
      <c r="Y961" s="5"/>
      <c r="Z961" s="5"/>
      <c r="AA961" s="5"/>
      <c r="AB961" s="5"/>
      <c r="AC961" s="5"/>
      <c r="AD961" s="46"/>
      <c r="AE961" s="1552"/>
      <c r="AF961" s="1553"/>
      <c r="AG961" s="1553"/>
      <c r="AH961" s="1553"/>
      <c r="AI961" s="1553"/>
      <c r="AJ961" s="1553"/>
      <c r="AK961" s="1554"/>
      <c r="AV961" s="2"/>
      <c r="AW961" s="2"/>
      <c r="AX961" s="2"/>
      <c r="AY961" s="2"/>
      <c r="AZ961" s="34"/>
      <c r="BB961" s="34"/>
      <c r="BC961" s="34"/>
    </row>
    <row r="962" spans="1:64" ht="12.95" customHeight="1">
      <c r="C962" s="121" t="s">
        <v>1661</v>
      </c>
      <c r="D962" s="5"/>
      <c r="E962" s="5"/>
      <c r="F962" s="5"/>
      <c r="G962" s="5"/>
      <c r="H962" s="5"/>
      <c r="I962" s="5"/>
      <c r="J962" s="5"/>
      <c r="K962" s="5"/>
      <c r="L962" s="46"/>
      <c r="M962" s="1606">
        <v>20</v>
      </c>
      <c r="N962" s="1607"/>
      <c r="O962" s="1607"/>
      <c r="P962" s="1607"/>
      <c r="Q962" s="1607"/>
      <c r="R962" s="1607"/>
      <c r="S962" s="1608"/>
      <c r="U962" s="121" t="s">
        <v>1661</v>
      </c>
      <c r="V962" s="5"/>
      <c r="W962" s="5"/>
      <c r="X962" s="5"/>
      <c r="Y962" s="5"/>
      <c r="Z962" s="5"/>
      <c r="AA962" s="5"/>
      <c r="AB962" s="5"/>
      <c r="AC962" s="5"/>
      <c r="AD962" s="46"/>
      <c r="AE962" s="1606"/>
      <c r="AF962" s="1607"/>
      <c r="AG962" s="1607"/>
      <c r="AH962" s="1607"/>
      <c r="AI962" s="1607"/>
      <c r="AJ962" s="1607"/>
      <c r="AK962" s="1608"/>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32"/>
      <c r="N967" s="1533"/>
      <c r="O967" s="1533"/>
      <c r="P967" s="1533"/>
      <c r="Q967" s="1533"/>
      <c r="R967" s="1533"/>
      <c r="S967" s="1534"/>
      <c r="T967" s="66" t="s">
        <v>790</v>
      </c>
      <c r="U967" s="5"/>
      <c r="V967" s="5"/>
      <c r="W967" s="5"/>
      <c r="X967" s="5"/>
      <c r="Y967" s="5"/>
      <c r="Z967" s="46"/>
      <c r="AA967" s="1532"/>
      <c r="AB967" s="1533"/>
      <c r="AC967" s="1533"/>
      <c r="AD967" s="1533"/>
      <c r="AE967" s="1533"/>
      <c r="AF967" s="1533"/>
      <c r="AG967" s="1534"/>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32"/>
      <c r="N968" s="1533"/>
      <c r="O968" s="1533"/>
      <c r="P968" s="1533"/>
      <c r="Q968" s="1533"/>
      <c r="R968" s="1533"/>
      <c r="S968" s="1534"/>
      <c r="T968" s="66" t="s">
        <v>789</v>
      </c>
      <c r="U968" s="5"/>
      <c r="V968" s="5"/>
      <c r="W968" s="5"/>
      <c r="X968" s="5"/>
      <c r="Y968" s="5"/>
      <c r="Z968" s="46"/>
      <c r="AA968" s="1532"/>
      <c r="AB968" s="1533"/>
      <c r="AC968" s="1533"/>
      <c r="AD968" s="1533"/>
      <c r="AE968" s="1533"/>
      <c r="AF968" s="1533"/>
      <c r="AG968" s="153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34" t="s">
        <v>591</v>
      </c>
      <c r="N969" s="1635"/>
      <c r="O969" s="1635"/>
      <c r="P969" s="1635"/>
      <c r="Q969" s="1635"/>
      <c r="R969" s="1635"/>
      <c r="S969" s="1636"/>
      <c r="T969" s="45" t="s">
        <v>337</v>
      </c>
      <c r="U969" s="5"/>
      <c r="V969" s="5"/>
      <c r="W969" s="5"/>
      <c r="X969" s="5"/>
      <c r="Y969" s="5"/>
      <c r="Z969" s="46"/>
      <c r="AA969" s="1532"/>
      <c r="AB969" s="1533"/>
      <c r="AC969" s="1533"/>
      <c r="AD969" s="1533"/>
      <c r="AE969" s="1533"/>
      <c r="AF969" s="1533"/>
      <c r="AG969" s="153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32"/>
      <c r="N970" s="1533"/>
      <c r="O970" s="1533"/>
      <c r="P970" s="1533"/>
      <c r="Q970" s="1533"/>
      <c r="R970" s="1533"/>
      <c r="S970" s="1534"/>
      <c r="T970" s="45" t="s">
        <v>338</v>
      </c>
      <c r="U970" s="5"/>
      <c r="V970" s="5"/>
      <c r="W970" s="5"/>
      <c r="X970" s="5"/>
      <c r="Y970" s="5"/>
      <c r="Z970" s="46"/>
      <c r="AA970" s="1532"/>
      <c r="AB970" s="1533"/>
      <c r="AC970" s="1533"/>
      <c r="AD970" s="1533"/>
      <c r="AE970" s="1533"/>
      <c r="AF970" s="1533"/>
      <c r="AG970" s="153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32"/>
      <c r="N971" s="1533"/>
      <c r="O971" s="1533"/>
      <c r="P971" s="1533"/>
      <c r="Q971" s="1533"/>
      <c r="R971" s="1533"/>
      <c r="S971" s="1534"/>
      <c r="T971" s="45" t="s">
        <v>376</v>
      </c>
      <c r="U971" s="5"/>
      <c r="V971" s="5"/>
      <c r="W971" s="5"/>
      <c r="X971" s="5"/>
      <c r="Y971" s="5"/>
      <c r="Z971" s="46"/>
      <c r="AA971" s="1532"/>
      <c r="AB971" s="1533"/>
      <c r="AC971" s="1533"/>
      <c r="AD971" s="1533"/>
      <c r="AE971" s="1533"/>
      <c r="AF971" s="1533"/>
      <c r="AG971" s="1534"/>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8" t="s">
        <v>307</v>
      </c>
      <c r="N972" s="1559"/>
      <c r="O972" s="1559"/>
      <c r="P972" s="1559"/>
      <c r="Q972" s="1559"/>
      <c r="R972" s="1559"/>
      <c r="S972" s="1560"/>
      <c r="T972" s="1562"/>
      <c r="U972" s="1563"/>
      <c r="V972" s="1563"/>
      <c r="W972" s="1563"/>
      <c r="X972" s="1563"/>
      <c r="Y972" s="1563"/>
      <c r="Z972" s="1564"/>
      <c r="AA972" s="1532"/>
      <c r="AB972" s="1533"/>
      <c r="AC972" s="1533"/>
      <c r="AD972" s="1533"/>
      <c r="AE972" s="1533"/>
      <c r="AF972" s="1533"/>
      <c r="AG972" s="153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32"/>
      <c r="N973" s="1533"/>
      <c r="O973" s="1533"/>
      <c r="P973" s="1533"/>
      <c r="Q973" s="1533"/>
      <c r="R973" s="1533"/>
      <c r="S973" s="1534"/>
      <c r="T973" s="1562"/>
      <c r="U973" s="1563"/>
      <c r="V973" s="1563"/>
      <c r="W973" s="1563"/>
      <c r="X973" s="1563"/>
      <c r="Y973" s="1563"/>
      <c r="Z973" s="1564"/>
      <c r="AA973" s="1532"/>
      <c r="AB973" s="1533"/>
      <c r="AC973" s="1533"/>
      <c r="AD973" s="1533"/>
      <c r="AE973" s="1533"/>
      <c r="AF973" s="1533"/>
      <c r="AG973" s="1534"/>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16" t="s">
        <v>669</v>
      </c>
      <c r="P974" s="1517"/>
      <c r="Q974" s="92"/>
      <c r="R974" s="92"/>
      <c r="S974" s="93"/>
      <c r="T974" s="41" t="s">
        <v>170</v>
      </c>
      <c r="U974" s="42"/>
      <c r="V974" s="42"/>
      <c r="W974" s="1568" t="s">
        <v>334</v>
      </c>
      <c r="X974" s="1569"/>
      <c r="Y974" s="1569"/>
      <c r="Z974" s="1569"/>
      <c r="AA974" s="1569"/>
      <c r="AB974" s="1569"/>
      <c r="AC974" s="1569"/>
      <c r="AD974" s="1569"/>
      <c r="AE974" s="1569"/>
      <c r="AF974" s="1569"/>
      <c r="AG974" s="1570"/>
      <c r="AU974" s="68"/>
      <c r="AV974" s="95"/>
      <c r="AW974" s="95"/>
      <c r="AX974" s="95"/>
      <c r="AY974" s="95"/>
      <c r="AZ974" s="34"/>
      <c r="BB974" s="34"/>
      <c r="BC974" s="34"/>
      <c r="BD974" s="34"/>
      <c r="BE974" s="34"/>
      <c r="BF974" s="34"/>
      <c r="BG974" s="34"/>
      <c r="BH974" s="34"/>
      <c r="BI974" s="34"/>
      <c r="BJ974" s="34"/>
      <c r="BK974" s="34"/>
      <c r="BL974" s="34"/>
    </row>
    <row r="975" spans="1:64" ht="12.95" customHeight="1">
      <c r="F975" s="1571" t="s">
        <v>33</v>
      </c>
      <c r="G975" s="1421"/>
      <c r="H975" s="1421"/>
      <c r="I975" s="1421"/>
      <c r="J975" s="1421"/>
      <c r="K975" s="1421"/>
      <c r="L975" s="1421"/>
      <c r="M975" s="1532"/>
      <c r="N975" s="1533"/>
      <c r="O975" s="1533"/>
      <c r="P975" s="1533"/>
      <c r="Q975" s="1533"/>
      <c r="R975" s="1533"/>
      <c r="S975" s="1534"/>
      <c r="T975" s="47"/>
      <c r="U975" s="48"/>
      <c r="V975" s="48"/>
      <c r="W975" s="48"/>
      <c r="X975" s="48"/>
      <c r="Y975" s="48"/>
      <c r="Z975" s="124" t="s">
        <v>134</v>
      </c>
      <c r="AA975" s="1600"/>
      <c r="AB975" s="1601"/>
      <c r="AC975" s="1601"/>
      <c r="AD975" s="1601"/>
      <c r="AE975" s="1601"/>
      <c r="AF975" s="1601"/>
      <c r="AG975" s="160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0"/>
      <c r="BH976" s="1620"/>
      <c r="BI976" s="1620"/>
      <c r="BJ976" s="1620"/>
      <c r="BK976" s="1620"/>
      <c r="BL976" s="1620"/>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15" t="s">
        <v>548</v>
      </c>
      <c r="B979" s="1415"/>
      <c r="C979" s="1415"/>
      <c r="D979" s="1415"/>
      <c r="E979" s="1415"/>
      <c r="F979" s="1415"/>
      <c r="G979" s="1415"/>
      <c r="H979" s="1415"/>
      <c r="I979" s="1415"/>
      <c r="J979" s="1415"/>
      <c r="K979" s="1415"/>
      <c r="L979" s="1415"/>
      <c r="M979" s="1415"/>
      <c r="N979" s="1415"/>
      <c r="O979" s="1415"/>
      <c r="P979" s="1415"/>
      <c r="Q979" s="1415"/>
      <c r="R979" s="1415"/>
      <c r="S979" s="1415"/>
      <c r="T979" s="1415"/>
      <c r="U979" s="1415"/>
      <c r="V979" s="1415"/>
      <c r="W979" s="1415"/>
      <c r="X979" s="1415"/>
      <c r="Y979" s="1415"/>
      <c r="Z979" s="1415"/>
      <c r="AA979" s="1415"/>
      <c r="AB979" s="1415"/>
      <c r="AC979" s="1415"/>
      <c r="AD979" s="1415"/>
      <c r="AE979" s="1415"/>
      <c r="AF979" s="1415"/>
      <c r="AG979" s="1415"/>
      <c r="AH979" s="1415"/>
      <c r="AI979" s="1415"/>
      <c r="AJ979" s="1415"/>
      <c r="AK979" s="1415"/>
      <c r="AL979" s="1415"/>
      <c r="AM979" s="1415"/>
      <c r="AN979" s="1415"/>
      <c r="AO979" s="1415"/>
      <c r="AP979" s="1415"/>
      <c r="AQ979" s="1415"/>
      <c r="AR979" s="1415"/>
      <c r="AS979" s="1415"/>
      <c r="AT979" s="1415"/>
      <c r="AU979" s="68"/>
      <c r="AV979" s="68"/>
      <c r="AW979" s="68"/>
      <c r="AX979" s="68"/>
      <c r="AY979" s="68"/>
      <c r="AZ979" s="14"/>
      <c r="BA979" s="14"/>
      <c r="BB979" s="912"/>
      <c r="BC979" s="912"/>
    </row>
    <row r="980" spans="1:64" ht="12.95" customHeight="1">
      <c r="A980" s="1415"/>
      <c r="B980" s="1415"/>
      <c r="C980" s="1415"/>
      <c r="D980" s="1415"/>
      <c r="E980" s="1415"/>
      <c r="F980" s="1415"/>
      <c r="G980" s="1415"/>
      <c r="H980" s="1415"/>
      <c r="I980" s="1415"/>
      <c r="J980" s="1415"/>
      <c r="K980" s="1415"/>
      <c r="L980" s="1415"/>
      <c r="M980" s="1415"/>
      <c r="N980" s="1415"/>
      <c r="O980" s="1415"/>
      <c r="P980" s="1415"/>
      <c r="Q980" s="1415"/>
      <c r="R980" s="1415"/>
      <c r="S980" s="1415"/>
      <c r="T980" s="1415"/>
      <c r="U980" s="1415"/>
      <c r="V980" s="1415"/>
      <c r="W980" s="1415"/>
      <c r="X980" s="1415"/>
      <c r="Y980" s="1415"/>
      <c r="Z980" s="1415"/>
      <c r="AA980" s="1415"/>
      <c r="AB980" s="1415"/>
      <c r="AC980" s="1415"/>
      <c r="AD980" s="1415"/>
      <c r="AE980" s="1415"/>
      <c r="AF980" s="1415"/>
      <c r="AG980" s="1415"/>
      <c r="AH980" s="1415"/>
      <c r="AI980" s="1415"/>
      <c r="AJ980" s="1415"/>
      <c r="AK980" s="1415"/>
      <c r="AL980" s="1415"/>
      <c r="AM980" s="1415"/>
      <c r="AN980" s="1415"/>
      <c r="AO980" s="1415"/>
      <c r="AP980" s="1415"/>
      <c r="AQ980" s="1415"/>
      <c r="AR980" s="1415"/>
      <c r="AS980" s="1415"/>
      <c r="AT980" s="1415"/>
      <c r="AU980" s="68"/>
      <c r="AV980" s="68"/>
      <c r="AW980" s="68"/>
      <c r="AX980" s="68"/>
      <c r="AY980" s="68"/>
      <c r="AZ980" s="30"/>
      <c r="BA980" s="14"/>
      <c r="BB980" s="14"/>
      <c r="BC980" s="14"/>
    </row>
    <row r="981" spans="1:64" ht="12.95" customHeight="1">
      <c r="A981" s="1415"/>
      <c r="B981" s="1415"/>
      <c r="C981" s="1415"/>
      <c r="D981" s="1415"/>
      <c r="E981" s="1415"/>
      <c r="F981" s="1415"/>
      <c r="G981" s="1415"/>
      <c r="H981" s="1415"/>
      <c r="I981" s="1415"/>
      <c r="J981" s="1415"/>
      <c r="K981" s="1415"/>
      <c r="L981" s="1415"/>
      <c r="M981" s="1415"/>
      <c r="N981" s="1415"/>
      <c r="O981" s="1415"/>
      <c r="P981" s="1415"/>
      <c r="Q981" s="1415"/>
      <c r="R981" s="1415"/>
      <c r="S981" s="1415"/>
      <c r="T981" s="1415"/>
      <c r="U981" s="1415"/>
      <c r="V981" s="1415"/>
      <c r="W981" s="1415"/>
      <c r="X981" s="1415"/>
      <c r="Y981" s="1415"/>
      <c r="Z981" s="1415"/>
      <c r="AA981" s="1415"/>
      <c r="AB981" s="1415"/>
      <c r="AC981" s="1415"/>
      <c r="AD981" s="1415"/>
      <c r="AE981" s="1415"/>
      <c r="AF981" s="1415"/>
      <c r="AG981" s="1415"/>
      <c r="AH981" s="1415"/>
      <c r="AI981" s="1415"/>
      <c r="AJ981" s="1415"/>
      <c r="AK981" s="1415"/>
      <c r="AL981" s="1415"/>
      <c r="AM981" s="1415"/>
      <c r="AN981" s="1415"/>
      <c r="AO981" s="1415"/>
      <c r="AP981" s="1415"/>
      <c r="AQ981" s="1415"/>
      <c r="AR981" s="1415"/>
      <c r="AS981" s="1415"/>
      <c r="AT981" s="1415"/>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638</v>
      </c>
      <c r="E985" s="1550"/>
      <c r="F985" s="1550"/>
      <c r="G985" s="1550"/>
      <c r="H985" s="1550"/>
      <c r="I985" s="1550"/>
      <c r="J985" s="1550"/>
      <c r="K985" s="1550"/>
      <c r="L985" s="1550"/>
      <c r="M985" s="1550"/>
      <c r="N985" s="1550"/>
      <c r="O985" s="1550"/>
      <c r="P985" s="1550"/>
      <c r="Q985" s="1551"/>
      <c r="R985" s="1549" t="s">
        <v>639</v>
      </c>
      <c r="S985" s="1550"/>
      <c r="T985" s="1550"/>
      <c r="U985" s="1550"/>
      <c r="V985" s="1550"/>
      <c r="W985" s="1550"/>
      <c r="X985" s="1550"/>
      <c r="Y985" s="1550"/>
      <c r="Z985" s="1550"/>
      <c r="AA985" s="1551"/>
      <c r="AB985" s="1549" t="s">
        <v>640</v>
      </c>
      <c r="AC985" s="1550"/>
      <c r="AD985" s="1550"/>
      <c r="AE985" s="1550"/>
      <c r="AF985" s="1550"/>
      <c r="AG985" s="1550"/>
      <c r="AH985" s="1550"/>
      <c r="AI985" s="1551"/>
      <c r="AJ985" s="1549" t="s">
        <v>641</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91" t="s">
        <v>633</v>
      </c>
      <c r="E986" s="1392"/>
      <c r="F986" s="1392"/>
      <c r="G986" s="1392"/>
      <c r="H986" s="1392"/>
      <c r="I986" s="1392"/>
      <c r="J986" s="1392"/>
      <c r="K986" s="1392"/>
      <c r="L986" s="1392"/>
      <c r="M986" s="1392"/>
      <c r="N986" s="1392"/>
      <c r="O986" s="1392"/>
      <c r="P986" s="1392"/>
      <c r="Q986" s="1393"/>
      <c r="R986" s="1515">
        <f>IF(ISNA(IF($CU$122="4%",(INDEX($CS$160:$CW$217,MATCH($DG$122,$CR$160:$CR$217,0),MATCH(D986,$CS$159:$CW$159,0))),(INDEX($CZ$160:$DD$217,MATCH($DG$122,$CY$160:$CY$217,0),MATCH(D986,$CZ$159:$DD$159,0))))),0,IF($CU$122="4%",(INDEX($CS$160:$CW$217,MATCH($DG$122,$CR$160:$CR$217,0),MATCH(D986,$CS$159:$CW$159,0))),(INDEX($CZ$160:$DD$217,MATCH($DG$122,$CY$160:$CY$217,0),MATCH(D986,$CZ$159:$DD$159,0)))))</f>
        <v>532060</v>
      </c>
      <c r="S986" s="1515"/>
      <c r="T986" s="1515"/>
      <c r="U986" s="1515"/>
      <c r="V986" s="1515"/>
      <c r="W986" s="1515"/>
      <c r="X986" s="1515"/>
      <c r="Y986" s="1515"/>
      <c r="Z986" s="1515"/>
      <c r="AA986" s="1515"/>
      <c r="AB986" s="1344">
        <f>CP802</f>
        <v>63</v>
      </c>
      <c r="AC986" s="1345"/>
      <c r="AD986" s="1345"/>
      <c r="AE986" s="1345"/>
      <c r="AF986" s="1345"/>
      <c r="AG986" s="1345"/>
      <c r="AH986" s="1345"/>
      <c r="AI986" s="1346"/>
      <c r="AJ986" s="1487">
        <f>IF(ISERROR((R986*AB986)),0,(R986*AB986))</f>
        <v>33519780</v>
      </c>
      <c r="AK986" s="1488"/>
      <c r="AL986" s="1488"/>
      <c r="AM986" s="1488"/>
      <c r="AN986" s="1488"/>
      <c r="AO986" s="1488"/>
      <c r="AP986" s="1488"/>
      <c r="AQ986" s="1489"/>
      <c r="AR986" s="68"/>
      <c r="AS986" s="68"/>
      <c r="AT986" s="68"/>
      <c r="AU986" s="68"/>
      <c r="AV986" s="68"/>
      <c r="AW986" s="68"/>
      <c r="AX986" s="68"/>
      <c r="AY986" s="68"/>
      <c r="AZ986" s="30"/>
      <c r="BB986" s="14"/>
      <c r="BC986" s="14"/>
    </row>
    <row r="987" spans="1:64" ht="12.95" customHeight="1">
      <c r="A987" s="14"/>
      <c r="B987" s="73"/>
      <c r="C987" s="83"/>
      <c r="D987" s="1391" t="s">
        <v>325</v>
      </c>
      <c r="E987" s="1392"/>
      <c r="F987" s="1392"/>
      <c r="G987" s="1392"/>
      <c r="H987" s="1392"/>
      <c r="I987" s="1392"/>
      <c r="J987" s="1392"/>
      <c r="K987" s="1392"/>
      <c r="L987" s="1392"/>
      <c r="M987" s="1392"/>
      <c r="N987" s="1392"/>
      <c r="O987" s="1392"/>
      <c r="P987" s="1392"/>
      <c r="Q987" s="1393"/>
      <c r="R987" s="1515">
        <f>IF(ISNA(IF($CU$122="4%",(INDEX($CS$160:$CW$217,MATCH($DG$122,$CR$160:$CR$217,0),MATCH(D987,$CS$159:$CW$159,0))),(INDEX($CZ$160:$DD$217,MATCH($DG$122,$CY$160:$CY$217,0),MATCH(D987,$CZ$159:$DD$159,0))))),0,IF($CU$122="4%",(INDEX($CS$160:$CW$217,MATCH($DG$122,$CR$160:$CR$217,0),MATCH(D987,$CS$159:$CW$159,0))),(INDEX($CZ$160:$DD$217,MATCH($DG$122,$CY$160:$CY$217,0),MATCH(D987,$CZ$159:$DD$159,0)))))</f>
        <v>613460</v>
      </c>
      <c r="S987" s="1515"/>
      <c r="T987" s="1515"/>
      <c r="U987" s="1515"/>
      <c r="V987" s="1515"/>
      <c r="W987" s="1515"/>
      <c r="X987" s="1515"/>
      <c r="Y987" s="1515"/>
      <c r="Z987" s="1515"/>
      <c r="AA987" s="1515"/>
      <c r="AB987" s="1344">
        <f>CU802</f>
        <v>25</v>
      </c>
      <c r="AC987" s="1345"/>
      <c r="AD987" s="1345"/>
      <c r="AE987" s="1345"/>
      <c r="AF987" s="1345"/>
      <c r="AG987" s="1345"/>
      <c r="AH987" s="1345"/>
      <c r="AI987" s="1346"/>
      <c r="AJ987" s="1487">
        <f>IF(ISERROR((R987*AB987)),0,(R987*AB987))</f>
        <v>15336500</v>
      </c>
      <c r="AK987" s="1488"/>
      <c r="AL987" s="1488"/>
      <c r="AM987" s="1488"/>
      <c r="AN987" s="1488"/>
      <c r="AO987" s="1488"/>
      <c r="AP987" s="1488"/>
      <c r="AQ987" s="1489"/>
      <c r="AR987" s="68"/>
      <c r="AS987" s="68"/>
      <c r="AT987" s="68"/>
      <c r="AU987" s="68"/>
      <c r="AV987" s="68"/>
      <c r="AW987" s="68"/>
      <c r="AX987" s="68"/>
      <c r="AY987" s="68"/>
      <c r="AZ987" s="30"/>
      <c r="BB987" s="14"/>
      <c r="BC987" s="14"/>
    </row>
    <row r="988" spans="1:64" ht="12.95" customHeight="1">
      <c r="A988" s="14"/>
      <c r="B988" s="73"/>
      <c r="C988" s="83"/>
      <c r="D988" s="1391" t="s">
        <v>163</v>
      </c>
      <c r="E988" s="1392"/>
      <c r="F988" s="1392"/>
      <c r="G988" s="1392"/>
      <c r="H988" s="1392"/>
      <c r="I988" s="1392"/>
      <c r="J988" s="1392"/>
      <c r="K988" s="1392"/>
      <c r="L988" s="1392"/>
      <c r="M988" s="1392"/>
      <c r="N988" s="1392"/>
      <c r="O988" s="1392"/>
      <c r="P988" s="1392"/>
      <c r="Q988" s="1393"/>
      <c r="R988" s="1515">
        <f>IF(ISNA(IF($CU$122="4%",(INDEX($CS$160:$CW$217,MATCH($DG$122,$CR$160:$CR$217,0),MATCH(D988,$CS$159:$CW$159,0))),(INDEX($CZ$160:$DD$217,MATCH($DG$122,$CY$160:$CY$217,0),MATCH(D988,$CZ$159:$DD$159,0))))),0,IF($CU$122="4%",(INDEX($CS$160:$CW$217,MATCH($DG$122,$CR$160:$CR$217,0),MATCH(D988,$CS$159:$CW$159,0))),(INDEX($CZ$160:$DD$217,MATCH($DG$122,$CY$160:$CY$217,0),MATCH(D988,$CZ$159:$DD$159,0)))))</f>
        <v>740000</v>
      </c>
      <c r="S988" s="1515"/>
      <c r="T988" s="1515"/>
      <c r="U988" s="1515"/>
      <c r="V988" s="1515"/>
      <c r="W988" s="1515"/>
      <c r="X988" s="1515"/>
      <c r="Y988" s="1515"/>
      <c r="Z988" s="1515"/>
      <c r="AA988" s="1515"/>
      <c r="AB988" s="1344">
        <f>CZ802</f>
        <v>54</v>
      </c>
      <c r="AC988" s="1345"/>
      <c r="AD988" s="1345"/>
      <c r="AE988" s="1345"/>
      <c r="AF988" s="1345"/>
      <c r="AG988" s="1345"/>
      <c r="AH988" s="1345"/>
      <c r="AI988" s="1346"/>
      <c r="AJ988" s="1487">
        <f>IF(ISERROR((R988*AB988)),0,(R988*AB988))</f>
        <v>39960000</v>
      </c>
      <c r="AK988" s="1488"/>
      <c r="AL988" s="1488"/>
      <c r="AM988" s="1488"/>
      <c r="AN988" s="1488"/>
      <c r="AO988" s="1488"/>
      <c r="AP988" s="1488"/>
      <c r="AQ988" s="1489"/>
      <c r="AR988" s="68"/>
      <c r="AS988" s="68"/>
      <c r="AT988" s="68"/>
      <c r="AU988" s="68"/>
      <c r="AV988" s="68"/>
      <c r="AW988" s="68"/>
      <c r="AX988" s="68"/>
      <c r="AY988" s="68"/>
      <c r="AZ988" s="30"/>
      <c r="BB988" s="14"/>
      <c r="BC988" s="14"/>
    </row>
    <row r="989" spans="1:64" ht="12.95" customHeight="1">
      <c r="A989" s="14"/>
      <c r="B989" s="73"/>
      <c r="C989" s="83"/>
      <c r="D989" s="1391" t="s">
        <v>164</v>
      </c>
      <c r="E989" s="1392"/>
      <c r="F989" s="1392"/>
      <c r="G989" s="1392"/>
      <c r="H989" s="1392"/>
      <c r="I989" s="1392"/>
      <c r="J989" s="1392"/>
      <c r="K989" s="1392"/>
      <c r="L989" s="1392"/>
      <c r="M989" s="1392"/>
      <c r="N989" s="1392"/>
      <c r="O989" s="1392"/>
      <c r="P989" s="1392"/>
      <c r="Q989" s="1393"/>
      <c r="R989" s="1515">
        <f>IF(ISNA(IF($CU$122="4%",(INDEX($CS$160:$CW$217,MATCH($DG$122,$CR$160:$CR$217,0),MATCH(D989,$CS$159:$CW$159,0))),(INDEX($CZ$160:$DD$217,MATCH($DG$122,$CY$160:$CY$217,0),MATCH(D989,$CZ$159:$DD$159,0))))),0,IF($CU$122="4%",(INDEX($CS$160:$CW$217,MATCH($DG$122,$CR$160:$CR$217,0),MATCH(D989,$CS$159:$CW$159,0))),(INDEX($CZ$160:$DD$217,MATCH($DG$122,$CY$160:$CY$217,0),MATCH(D989,$CZ$159:$DD$159,0)))))</f>
        <v>947200</v>
      </c>
      <c r="S989" s="1515"/>
      <c r="T989" s="1515"/>
      <c r="U989" s="1515"/>
      <c r="V989" s="1515"/>
      <c r="W989" s="1515"/>
      <c r="X989" s="1515"/>
      <c r="Y989" s="1515"/>
      <c r="Z989" s="1515"/>
      <c r="AA989" s="1515"/>
      <c r="AB989" s="1344">
        <f>DE802</f>
        <v>53</v>
      </c>
      <c r="AC989" s="1345"/>
      <c r="AD989" s="1345"/>
      <c r="AE989" s="1345"/>
      <c r="AF989" s="1345"/>
      <c r="AG989" s="1345"/>
      <c r="AH989" s="1345"/>
      <c r="AI989" s="1346"/>
      <c r="AJ989" s="1487">
        <f>IF(ISERROR((R989*AB989)),0,(R989*AB989))</f>
        <v>50201600</v>
      </c>
      <c r="AK989" s="1488"/>
      <c r="AL989" s="1488"/>
      <c r="AM989" s="1488"/>
      <c r="AN989" s="1488"/>
      <c r="AO989" s="1488"/>
      <c r="AP989" s="1488"/>
      <c r="AQ989" s="1489"/>
      <c r="AR989" s="68"/>
      <c r="AS989" s="68"/>
      <c r="AT989" s="68"/>
      <c r="AU989" s="68"/>
      <c r="AV989" s="68"/>
      <c r="AW989" s="68"/>
      <c r="AX989" s="68"/>
      <c r="AY989" s="68"/>
      <c r="AZ989" s="30"/>
      <c r="BA989" s="34"/>
      <c r="BB989" s="14"/>
      <c r="BC989" s="14"/>
    </row>
    <row r="990" spans="1:64" ht="12.95" customHeight="1">
      <c r="A990" s="14"/>
      <c r="B990" s="47"/>
      <c r="C990" s="78"/>
      <c r="D990" s="1391" t="s">
        <v>460</v>
      </c>
      <c r="E990" s="1392"/>
      <c r="F990" s="1392"/>
      <c r="G990" s="1392"/>
      <c r="H990" s="1392"/>
      <c r="I990" s="1392"/>
      <c r="J990" s="1392"/>
      <c r="K990" s="1392"/>
      <c r="L990" s="1392"/>
      <c r="M990" s="1392"/>
      <c r="N990" s="1392"/>
      <c r="O990" s="1392"/>
      <c r="P990" s="1392"/>
      <c r="Q990" s="1393"/>
      <c r="R990" s="1515">
        <f>IF(ISNA(IF($CU$122="4%",(INDEX($CS$160:$CW$217,MATCH($DG$122,$CR$160:$CR$217,0),MATCH(D990,$CS$159:$CW$159,0))),(INDEX($CZ$160:$DD$217,MATCH($DG$122,$CY$160:$CY$217,0),MATCH(D990,$CZ$159:$DD$159,0))))),0,IF($CU$122="4%",(INDEX($CS$160:$CW$217,MATCH($DG$122,$CR$160:$CR$217,0),MATCH(D990,$CS$159:$CW$159,0))),(INDEX($CZ$160:$DD$217,MATCH($DG$122,$CY$160:$CY$217,0),MATCH(D990,$CZ$159:$DD$159,0)))))</f>
        <v>1055240</v>
      </c>
      <c r="S990" s="1515"/>
      <c r="T990" s="1515"/>
      <c r="U990" s="1515"/>
      <c r="V990" s="1515"/>
      <c r="W990" s="1515"/>
      <c r="X990" s="1515"/>
      <c r="Y990" s="1515"/>
      <c r="Z990" s="1515"/>
      <c r="AA990" s="1515"/>
      <c r="AB990" s="1344">
        <f>DO802+DJ802</f>
        <v>0</v>
      </c>
      <c r="AC990" s="1345"/>
      <c r="AD990" s="1345"/>
      <c r="AE990" s="1345"/>
      <c r="AF990" s="1345"/>
      <c r="AG990" s="1345"/>
      <c r="AH990" s="1345"/>
      <c r="AI990" s="1346"/>
      <c r="AJ990" s="1487">
        <f>IF(ISERROR((R990*AB990)),0,(R990*AB990))</f>
        <v>0</v>
      </c>
      <c r="AK990" s="1488"/>
      <c r="AL990" s="1488"/>
      <c r="AM990" s="1488"/>
      <c r="AN990" s="1488"/>
      <c r="AO990" s="1488"/>
      <c r="AP990" s="1488"/>
      <c r="AQ990" s="1489"/>
      <c r="AR990" s="68"/>
      <c r="AS990" s="68"/>
      <c r="AT990" s="68"/>
      <c r="AU990" s="68"/>
      <c r="AV990" s="68"/>
      <c r="AW990" s="68"/>
      <c r="AX990" s="68"/>
      <c r="AY990" s="68"/>
      <c r="AZ990" s="30"/>
      <c r="BB990" s="14"/>
      <c r="BC990" s="14"/>
    </row>
    <row r="991" spans="1:64" ht="12.95" customHeight="1">
      <c r="A991" s="14"/>
      <c r="B991" s="1645" t="s">
        <v>791</v>
      </c>
      <c r="C991" s="1646"/>
      <c r="D991" s="1646"/>
      <c r="E991" s="1646"/>
      <c r="F991" s="1646"/>
      <c r="G991" s="1646"/>
      <c r="H991" s="1646"/>
      <c r="I991" s="1646"/>
      <c r="J991" s="1646"/>
      <c r="K991" s="1646"/>
      <c r="L991" s="1646"/>
      <c r="M991" s="1646"/>
      <c r="N991" s="1646"/>
      <c r="O991" s="1646"/>
      <c r="P991" s="1646"/>
      <c r="Q991" s="1646"/>
      <c r="R991" s="1646"/>
      <c r="S991" s="1646"/>
      <c r="T991" s="1646"/>
      <c r="U991" s="1646"/>
      <c r="V991" s="1646"/>
      <c r="W991" s="1646"/>
      <c r="X991" s="1646"/>
      <c r="Y991" s="1646"/>
      <c r="Z991" s="1646"/>
      <c r="AA991" s="1647"/>
      <c r="AB991" s="1344">
        <f>SUM(AB986:AI990)</f>
        <v>195</v>
      </c>
      <c r="AC991" s="1345"/>
      <c r="AD991" s="1345"/>
      <c r="AE991" s="1345"/>
      <c r="AF991" s="1345"/>
      <c r="AG991" s="1345"/>
      <c r="AH991" s="1345"/>
      <c r="AI991" s="1346"/>
      <c r="AJ991" s="1487"/>
      <c r="AK991" s="1488"/>
      <c r="AL991" s="1488"/>
      <c r="AM991" s="1488"/>
      <c r="AN991" s="1488"/>
      <c r="AO991" s="1488"/>
      <c r="AP991" s="1488"/>
      <c r="AQ991" s="1489"/>
      <c r="AR991" s="68"/>
      <c r="AS991" s="68"/>
      <c r="AT991" s="68"/>
      <c r="AU991" s="68"/>
      <c r="AV991" s="68"/>
      <c r="AW991" s="68"/>
      <c r="AX991" s="68"/>
      <c r="AY991" s="68"/>
      <c r="AZ991" s="34"/>
      <c r="BA991" s="34"/>
      <c r="BB991" s="14"/>
      <c r="BC991" s="14"/>
    </row>
    <row r="992" spans="1:64" ht="12.95" customHeight="1">
      <c r="A992" s="14"/>
      <c r="B992" s="1583" t="s">
        <v>512</v>
      </c>
      <c r="C992" s="1584"/>
      <c r="D992" s="1584"/>
      <c r="E992" s="1584"/>
      <c r="F992" s="1584"/>
      <c r="G992" s="1584"/>
      <c r="H992" s="1584"/>
      <c r="I992" s="1584"/>
      <c r="J992" s="1584"/>
      <c r="K992" s="1584"/>
      <c r="L992" s="1584"/>
      <c r="M992" s="1584"/>
      <c r="N992" s="1584"/>
      <c r="O992" s="1584"/>
      <c r="P992" s="1584"/>
      <c r="Q992" s="1584"/>
      <c r="R992" s="1584"/>
      <c r="S992" s="1584"/>
      <c r="T992" s="1584"/>
      <c r="U992" s="1584"/>
      <c r="V992" s="1584"/>
      <c r="W992" s="1584"/>
      <c r="X992" s="1584"/>
      <c r="Y992" s="1584"/>
      <c r="Z992" s="1584"/>
      <c r="AA992" s="1584"/>
      <c r="AB992" s="1584"/>
      <c r="AC992" s="1584"/>
      <c r="AD992" s="1584"/>
      <c r="AE992" s="1584"/>
      <c r="AF992" s="1584"/>
      <c r="AG992" s="1584"/>
      <c r="AH992" s="1584"/>
      <c r="AI992" s="1585"/>
      <c r="AJ992" s="1487">
        <f>SUM(AJ986:AQ990)</f>
        <v>139017880</v>
      </c>
      <c r="AK992" s="1488"/>
      <c r="AL992" s="1488"/>
      <c r="AM992" s="1488"/>
      <c r="AN992" s="1488"/>
      <c r="AO992" s="1488"/>
      <c r="AP992" s="1488"/>
      <c r="AQ992" s="1489"/>
      <c r="AR992" s="68"/>
      <c r="AS992" s="68"/>
      <c r="AT992" s="68"/>
      <c r="AU992" s="68"/>
      <c r="AV992" s="68"/>
      <c r="AW992" s="68"/>
      <c r="AX992" s="68"/>
      <c r="AY992" s="68"/>
      <c r="AZ992" s="34"/>
      <c r="BB992" s="34"/>
      <c r="BC992" s="34"/>
    </row>
    <row r="993" spans="1:55" ht="12.95" customHeight="1">
      <c r="A993" s="14"/>
      <c r="B993" s="1490"/>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c r="W993" s="1491"/>
      <c r="X993" s="1491"/>
      <c r="Y993" s="1491"/>
      <c r="Z993" s="1491"/>
      <c r="AA993" s="1491"/>
      <c r="AB993" s="1491"/>
      <c r="AC993" s="1491"/>
      <c r="AD993" s="1491"/>
      <c r="AE993" s="1492"/>
      <c r="AF993" s="1496" t="s">
        <v>666</v>
      </c>
      <c r="AG993" s="1497"/>
      <c r="AH993" s="1497"/>
      <c r="AI993" s="1498"/>
      <c r="AJ993" s="1490"/>
      <c r="AK993" s="1491"/>
      <c r="AL993" s="1491"/>
      <c r="AM993" s="1491"/>
      <c r="AN993" s="1491"/>
      <c r="AO993" s="1491"/>
      <c r="AP993" s="1491"/>
      <c r="AQ993" s="1492"/>
      <c r="AR993" s="68"/>
      <c r="AS993" s="68"/>
      <c r="AT993" s="68"/>
      <c r="AU993" s="68"/>
      <c r="AV993" s="68"/>
      <c r="AW993" s="68"/>
      <c r="AX993" s="68"/>
      <c r="AY993" s="68"/>
      <c r="AZ993" s="34"/>
      <c r="BA993" s="34"/>
      <c r="BB993" s="34"/>
      <c r="BC993" s="34"/>
    </row>
    <row r="994" spans="1:55" ht="12.95" customHeight="1">
      <c r="A994" s="14"/>
      <c r="B994" s="73"/>
      <c r="C994" s="927" t="s">
        <v>668</v>
      </c>
      <c r="D994" s="1503" t="s">
        <v>1220</v>
      </c>
      <c r="E994" s="1504"/>
      <c r="F994" s="1504"/>
      <c r="G994" s="1504"/>
      <c r="H994" s="1504"/>
      <c r="I994" s="1504"/>
      <c r="J994" s="1504"/>
      <c r="K994" s="1504"/>
      <c r="L994" s="1504"/>
      <c r="M994" s="1504"/>
      <c r="N994" s="1504"/>
      <c r="O994" s="1504"/>
      <c r="P994" s="1504"/>
      <c r="Q994" s="1504"/>
      <c r="R994" s="1504"/>
      <c r="S994" s="1504"/>
      <c r="T994" s="1504"/>
      <c r="U994" s="1504"/>
      <c r="V994" s="1504"/>
      <c r="W994" s="1504"/>
      <c r="X994" s="1504"/>
      <c r="Y994" s="1504"/>
      <c r="Z994" s="1504"/>
      <c r="AA994" s="1504"/>
      <c r="AB994" s="1504"/>
      <c r="AC994" s="1504"/>
      <c r="AD994" s="1504"/>
      <c r="AE994" s="1505"/>
      <c r="AF994" s="79"/>
      <c r="AG994" s="1499" t="s">
        <v>545</v>
      </c>
      <c r="AH994" s="1500"/>
      <c r="AI994" s="87"/>
      <c r="AJ994" s="1347">
        <f>ROUND(IF(AND(AG994="yes",D1000&gt;0),AJ992*0.2,0),0)</f>
        <v>27803576</v>
      </c>
      <c r="AK994" s="1348"/>
      <c r="AL994" s="1348"/>
      <c r="AM994" s="1348"/>
      <c r="AN994" s="1348"/>
      <c r="AO994" s="1348"/>
      <c r="AP994" s="1348"/>
      <c r="AQ994" s="1349"/>
      <c r="AR994" s="68"/>
      <c r="AS994" s="68"/>
      <c r="AT994" s="68"/>
      <c r="AU994" s="68"/>
      <c r="AV994" s="68"/>
      <c r="AW994" s="68"/>
      <c r="AX994" s="68"/>
      <c r="AY994" s="68"/>
      <c r="AZ994" s="34"/>
      <c r="BA994" s="34"/>
      <c r="BB994" s="34"/>
      <c r="BC994" s="34"/>
    </row>
    <row r="995" spans="1:55" ht="12.95" customHeight="1">
      <c r="A995" s="14"/>
      <c r="B995" s="257"/>
      <c r="C995" s="256"/>
      <c r="D995" s="1541" t="s">
        <v>2236</v>
      </c>
      <c r="E995" s="1542"/>
      <c r="F995" s="1542"/>
      <c r="G995" s="1542"/>
      <c r="H995" s="1542"/>
      <c r="I995" s="1542"/>
      <c r="J995" s="1542"/>
      <c r="K995" s="1542"/>
      <c r="L995" s="1542"/>
      <c r="M995" s="1542"/>
      <c r="N995" s="1542"/>
      <c r="O995" s="1542"/>
      <c r="P995" s="1542"/>
      <c r="Q995" s="1542"/>
      <c r="R995" s="1542"/>
      <c r="S995" s="1542"/>
      <c r="T995" s="1542"/>
      <c r="U995" s="1542"/>
      <c r="V995" s="1542"/>
      <c r="W995" s="1542"/>
      <c r="X995" s="1542"/>
      <c r="Y995" s="1542"/>
      <c r="Z995" s="1542"/>
      <c r="AA995" s="1542"/>
      <c r="AB995" s="1542"/>
      <c r="AC995" s="1542"/>
      <c r="AD995" s="1542"/>
      <c r="AE995" s="1543"/>
      <c r="AF995" s="73"/>
      <c r="AG995" s="14"/>
      <c r="AH995" s="14"/>
      <c r="AI995" s="83"/>
      <c r="AJ995" s="1350"/>
      <c r="AK995" s="1351"/>
      <c r="AL995" s="1351"/>
      <c r="AM995" s="1351"/>
      <c r="AN995" s="1351"/>
      <c r="AO995" s="1351"/>
      <c r="AP995" s="1351"/>
      <c r="AQ995" s="1352"/>
      <c r="AR995" s="68"/>
      <c r="AS995" s="68"/>
      <c r="AT995" s="68"/>
      <c r="AU995" s="68"/>
      <c r="AV995" s="68"/>
      <c r="AW995" s="68"/>
      <c r="AX995" s="68"/>
      <c r="AY995" s="68"/>
      <c r="AZ995" s="34"/>
      <c r="BA995" s="34"/>
      <c r="BB995" s="34"/>
      <c r="BC995" s="34"/>
    </row>
    <row r="996" spans="1:55" ht="12.95" customHeight="1">
      <c r="A996" s="14"/>
      <c r="B996" s="257"/>
      <c r="C996" s="256"/>
      <c r="D996" s="1541"/>
      <c r="E996" s="1542"/>
      <c r="F996" s="1542"/>
      <c r="G996" s="1542"/>
      <c r="H996" s="1542"/>
      <c r="I996" s="1542"/>
      <c r="J996" s="1542"/>
      <c r="K996" s="1542"/>
      <c r="L996" s="1542"/>
      <c r="M996" s="1542"/>
      <c r="N996" s="1542"/>
      <c r="O996" s="1542"/>
      <c r="P996" s="1542"/>
      <c r="Q996" s="1542"/>
      <c r="R996" s="1542"/>
      <c r="S996" s="1542"/>
      <c r="T996" s="1542"/>
      <c r="U996" s="1542"/>
      <c r="V996" s="1542"/>
      <c r="W996" s="1542"/>
      <c r="X996" s="1542"/>
      <c r="Y996" s="1542"/>
      <c r="Z996" s="1542"/>
      <c r="AA996" s="1542"/>
      <c r="AB996" s="1542"/>
      <c r="AC996" s="1542"/>
      <c r="AD996" s="1542"/>
      <c r="AE996" s="1543"/>
      <c r="AF996" s="73"/>
      <c r="AG996" s="14"/>
      <c r="AH996" s="14"/>
      <c r="AI996" s="83"/>
      <c r="AJ996" s="1350"/>
      <c r="AK996" s="1351"/>
      <c r="AL996" s="1351"/>
      <c r="AM996" s="1351"/>
      <c r="AN996" s="1351"/>
      <c r="AO996" s="1351"/>
      <c r="AP996" s="1351"/>
      <c r="AQ996" s="1352"/>
      <c r="AR996" s="68"/>
      <c r="AS996" s="68"/>
      <c r="AT996" s="68"/>
      <c r="AU996" s="68"/>
      <c r="AV996" s="68"/>
      <c r="AW996" s="68"/>
      <c r="AX996" s="68"/>
      <c r="AY996" s="68"/>
      <c r="AZ996" s="34"/>
      <c r="BA996" s="34"/>
      <c r="BB996" s="34"/>
      <c r="BC996" s="34"/>
    </row>
    <row r="997" spans="1:55" ht="12.95" customHeight="1">
      <c r="A997" s="14"/>
      <c r="B997" s="257"/>
      <c r="C997" s="256"/>
      <c r="D997" s="1541"/>
      <c r="E997" s="1542"/>
      <c r="F997" s="1542"/>
      <c r="G997" s="1542"/>
      <c r="H997" s="1542"/>
      <c r="I997" s="1542"/>
      <c r="J997" s="1542"/>
      <c r="K997" s="1542"/>
      <c r="L997" s="1542"/>
      <c r="M997" s="1542"/>
      <c r="N997" s="1542"/>
      <c r="O997" s="1542"/>
      <c r="P997" s="1542"/>
      <c r="Q997" s="1542"/>
      <c r="R997" s="1542"/>
      <c r="S997" s="1542"/>
      <c r="T997" s="1542"/>
      <c r="U997" s="1542"/>
      <c r="V997" s="1542"/>
      <c r="W997" s="1542"/>
      <c r="X997" s="1542"/>
      <c r="Y997" s="1542"/>
      <c r="Z997" s="1542"/>
      <c r="AA997" s="1542"/>
      <c r="AB997" s="1542"/>
      <c r="AC997" s="1542"/>
      <c r="AD997" s="1542"/>
      <c r="AE997" s="1543"/>
      <c r="AF997" s="73"/>
      <c r="AG997" s="14"/>
      <c r="AH997" s="14"/>
      <c r="AI997" s="83"/>
      <c r="AJ997" s="1350"/>
      <c r="AK997" s="1351"/>
      <c r="AL997" s="1351"/>
      <c r="AM997" s="1351"/>
      <c r="AN997" s="1351"/>
      <c r="AO997" s="1351"/>
      <c r="AP997" s="1351"/>
      <c r="AQ997" s="1352"/>
      <c r="AR997" s="68"/>
      <c r="AS997" s="68"/>
      <c r="AT997" s="68"/>
      <c r="AU997" s="68"/>
      <c r="AV997" s="68"/>
      <c r="AW997" s="68"/>
      <c r="AX997" s="68"/>
      <c r="AY997" s="68"/>
      <c r="AZ997" s="34"/>
      <c r="BA997" s="34"/>
      <c r="BB997" s="34"/>
      <c r="BC997" s="34"/>
    </row>
    <row r="998" spans="1:55" ht="12.95" customHeight="1">
      <c r="A998" s="14"/>
      <c r="B998" s="257"/>
      <c r="C998" s="256"/>
      <c r="D998" s="1541"/>
      <c r="E998" s="1542"/>
      <c r="F998" s="1542"/>
      <c r="G998" s="1542"/>
      <c r="H998" s="1542"/>
      <c r="I998" s="1542"/>
      <c r="J998" s="1542"/>
      <c r="K998" s="1542"/>
      <c r="L998" s="1542"/>
      <c r="M998" s="1542"/>
      <c r="N998" s="1542"/>
      <c r="O998" s="1542"/>
      <c r="P998" s="1542"/>
      <c r="Q998" s="1542"/>
      <c r="R998" s="1542"/>
      <c r="S998" s="1542"/>
      <c r="T998" s="1542"/>
      <c r="U998" s="1542"/>
      <c r="V998" s="1542"/>
      <c r="W998" s="1542"/>
      <c r="X998" s="1542"/>
      <c r="Y998" s="1542"/>
      <c r="Z998" s="1542"/>
      <c r="AA998" s="1542"/>
      <c r="AB998" s="1542"/>
      <c r="AC998" s="1542"/>
      <c r="AD998" s="1542"/>
      <c r="AE998" s="1543"/>
      <c r="AF998" s="73"/>
      <c r="AG998" s="14"/>
      <c r="AH998" s="14"/>
      <c r="AI998" s="83"/>
      <c r="AJ998" s="1350"/>
      <c r="AK998" s="1351"/>
      <c r="AL998" s="1351"/>
      <c r="AM998" s="1351"/>
      <c r="AN998" s="1351"/>
      <c r="AO998" s="1351"/>
      <c r="AP998" s="1351"/>
      <c r="AQ998" s="1352"/>
      <c r="AR998" s="68"/>
      <c r="AS998" s="68"/>
      <c r="AT998" s="68"/>
      <c r="AU998" s="68"/>
      <c r="AV998" s="68"/>
      <c r="AW998" s="68"/>
      <c r="AX998" s="68"/>
      <c r="AY998" s="68"/>
      <c r="AZ998" s="34"/>
      <c r="BA998" s="34"/>
      <c r="BB998" s="34"/>
      <c r="BC998" s="34"/>
    </row>
    <row r="999" spans="1:55" ht="12.95" customHeight="1">
      <c r="A999" s="14"/>
      <c r="B999" s="257"/>
      <c r="C999" s="256"/>
      <c r="D999" s="1544" t="s">
        <v>2206</v>
      </c>
      <c r="E999" s="1545"/>
      <c r="F999" s="1545"/>
      <c r="G999" s="1545"/>
      <c r="H999" s="1545"/>
      <c r="I999" s="1545"/>
      <c r="J999" s="1545"/>
      <c r="K999" s="1545"/>
      <c r="L999" s="1545"/>
      <c r="M999" s="1545"/>
      <c r="N999" s="1545"/>
      <c r="O999" s="1545"/>
      <c r="P999" s="1545"/>
      <c r="Q999" s="1545"/>
      <c r="R999" s="1545"/>
      <c r="S999" s="1545"/>
      <c r="T999" s="1545"/>
      <c r="U999" s="1545"/>
      <c r="V999" s="1545"/>
      <c r="W999" s="1545"/>
      <c r="X999" s="1545"/>
      <c r="Y999" s="1545"/>
      <c r="Z999" s="1545"/>
      <c r="AA999" s="1545"/>
      <c r="AB999" s="1545"/>
      <c r="AC999" s="1545"/>
      <c r="AD999" s="1545"/>
      <c r="AE999" s="1546"/>
      <c r="AF999" s="73"/>
      <c r="AG999" s="14"/>
      <c r="AH999" s="14"/>
      <c r="AI999" s="83"/>
      <c r="AJ999" s="1350"/>
      <c r="AK999" s="1351"/>
      <c r="AL999" s="1351"/>
      <c r="AM999" s="1351"/>
      <c r="AN999" s="1351"/>
      <c r="AO999" s="1351"/>
      <c r="AP999" s="1351"/>
      <c r="AQ999" s="1352"/>
      <c r="AR999" s="68"/>
      <c r="AS999" s="68"/>
      <c r="AT999" s="68"/>
      <c r="AU999" s="68"/>
      <c r="AV999" s="68"/>
      <c r="AW999" s="68"/>
      <c r="AX999" s="68"/>
      <c r="AY999" s="68"/>
      <c r="AZ999" s="34"/>
      <c r="BA999" s="34"/>
      <c r="BB999" s="34"/>
      <c r="BC999" s="34"/>
    </row>
    <row r="1000" spans="1:55" ht="12.95" customHeight="1">
      <c r="A1000" s="14"/>
      <c r="B1000" s="257"/>
      <c r="C1000" s="256"/>
      <c r="D1000" s="1572" t="s">
        <v>2713</v>
      </c>
      <c r="E1000" s="1573"/>
      <c r="F1000" s="1573"/>
      <c r="G1000" s="1573"/>
      <c r="H1000" s="1573"/>
      <c r="I1000" s="1573"/>
      <c r="J1000" s="1573"/>
      <c r="K1000" s="1573"/>
      <c r="L1000" s="1573"/>
      <c r="M1000" s="1573"/>
      <c r="N1000" s="1573"/>
      <c r="O1000" s="1573"/>
      <c r="P1000" s="1573"/>
      <c r="Q1000" s="1573"/>
      <c r="R1000" s="1573"/>
      <c r="S1000" s="1573"/>
      <c r="T1000" s="1573"/>
      <c r="U1000" s="1573"/>
      <c r="V1000" s="1573"/>
      <c r="W1000" s="1573"/>
      <c r="X1000" s="1573"/>
      <c r="Y1000" s="1573"/>
      <c r="Z1000" s="1573"/>
      <c r="AA1000" s="1573"/>
      <c r="AB1000" s="1573"/>
      <c r="AC1000" s="1573"/>
      <c r="AD1000" s="1573"/>
      <c r="AE1000" s="1574"/>
      <c r="AF1000" s="77"/>
      <c r="AG1000" s="7"/>
      <c r="AH1000" s="7"/>
      <c r="AI1000" s="78"/>
      <c r="AJ1000" s="1353"/>
      <c r="AK1000" s="1354"/>
      <c r="AL1000" s="1354"/>
      <c r="AM1000" s="1354"/>
      <c r="AN1000" s="1354"/>
      <c r="AO1000" s="1354"/>
      <c r="AP1000" s="1354"/>
      <c r="AQ1000" s="1355"/>
      <c r="AR1000" s="68"/>
      <c r="AS1000" s="68"/>
      <c r="AT1000" s="68"/>
      <c r="AU1000" s="68"/>
      <c r="AV1000" s="68"/>
      <c r="AW1000" s="68"/>
      <c r="AX1000" s="68"/>
      <c r="AY1000" s="68"/>
      <c r="AZ1000" s="34"/>
      <c r="BA1000" s="34"/>
      <c r="BB1000" s="34"/>
      <c r="BC1000" s="34"/>
    </row>
    <row r="1001" spans="1:55" ht="12.95" customHeight="1">
      <c r="A1001" s="14"/>
      <c r="B1001" s="255"/>
      <c r="C1001" s="318"/>
      <c r="D1001" s="1493" t="s">
        <v>1286</v>
      </c>
      <c r="E1001" s="1494"/>
      <c r="F1001" s="1494"/>
      <c r="G1001" s="1494"/>
      <c r="H1001" s="1494"/>
      <c r="I1001" s="1494"/>
      <c r="J1001" s="1494"/>
      <c r="K1001" s="1494"/>
      <c r="L1001" s="1494"/>
      <c r="M1001" s="1494"/>
      <c r="N1001" s="1494"/>
      <c r="O1001" s="1494"/>
      <c r="P1001" s="1494"/>
      <c r="Q1001" s="1494"/>
      <c r="R1001" s="1494"/>
      <c r="S1001" s="1494"/>
      <c r="T1001" s="1494"/>
      <c r="U1001" s="1494"/>
      <c r="V1001" s="1494"/>
      <c r="W1001" s="1494"/>
      <c r="X1001" s="1494"/>
      <c r="Y1001" s="1494"/>
      <c r="Z1001" s="1494"/>
      <c r="AA1001" s="1494"/>
      <c r="AB1001" s="1494"/>
      <c r="AC1001" s="1494"/>
      <c r="AD1001" s="1494"/>
      <c r="AE1001" s="1495"/>
      <c r="AF1001" s="79"/>
      <c r="AG1001" s="1501" t="s">
        <v>669</v>
      </c>
      <c r="AH1001" s="1502"/>
      <c r="AI1001" s="87"/>
      <c r="AJ1001" s="1347">
        <f>ROUND(IF(AG1001="yes",AJ992*0.05,0),0)</f>
        <v>0</v>
      </c>
      <c r="AK1001" s="1348"/>
      <c r="AL1001" s="1348"/>
      <c r="AM1001" s="1348"/>
      <c r="AN1001" s="1348"/>
      <c r="AO1001" s="1348"/>
      <c r="AP1001" s="1348"/>
      <c r="AQ1001" s="1349"/>
      <c r="AR1001" s="68"/>
      <c r="AS1001" s="68"/>
      <c r="AT1001" s="68"/>
      <c r="AU1001" s="68"/>
      <c r="AV1001" s="68"/>
      <c r="AW1001" s="68"/>
      <c r="AX1001" s="68"/>
      <c r="AY1001" s="68"/>
      <c r="AZ1001" s="34"/>
      <c r="BA1001" s="34"/>
      <c r="BB1001" s="34"/>
      <c r="BC1001" s="34"/>
    </row>
    <row r="1002" spans="1:55" ht="12.95" customHeight="1">
      <c r="A1002" s="14"/>
      <c r="B1002" s="257"/>
      <c r="C1002" s="82"/>
      <c r="D1002" s="1541" t="s">
        <v>1284</v>
      </c>
      <c r="E1002" s="1542"/>
      <c r="F1002" s="1542"/>
      <c r="G1002" s="1542"/>
      <c r="H1002" s="1542"/>
      <c r="I1002" s="1542"/>
      <c r="J1002" s="1542"/>
      <c r="K1002" s="1542"/>
      <c r="L1002" s="1542"/>
      <c r="M1002" s="1542"/>
      <c r="N1002" s="1542"/>
      <c r="O1002" s="1542"/>
      <c r="P1002" s="1542"/>
      <c r="Q1002" s="1542"/>
      <c r="R1002" s="1542"/>
      <c r="S1002" s="1542"/>
      <c r="T1002" s="1542"/>
      <c r="U1002" s="1542"/>
      <c r="V1002" s="1542"/>
      <c r="W1002" s="1542"/>
      <c r="X1002" s="1542"/>
      <c r="Y1002" s="1542"/>
      <c r="Z1002" s="1542"/>
      <c r="AA1002" s="1542"/>
      <c r="AB1002" s="1542"/>
      <c r="AC1002" s="1542"/>
      <c r="AD1002" s="1542"/>
      <c r="AE1002" s="1543"/>
      <c r="AF1002" s="73"/>
      <c r="AG1002" s="14"/>
      <c r="AH1002" s="14"/>
      <c r="AI1002" s="83"/>
      <c r="AJ1002" s="1350"/>
      <c r="AK1002" s="1351"/>
      <c r="AL1002" s="1351"/>
      <c r="AM1002" s="1351"/>
      <c r="AN1002" s="1351"/>
      <c r="AO1002" s="1351"/>
      <c r="AP1002" s="1351"/>
      <c r="AQ1002" s="1352"/>
      <c r="AR1002" s="68"/>
      <c r="AS1002" s="68"/>
      <c r="AT1002" s="68"/>
      <c r="AU1002" s="68"/>
      <c r="AV1002" s="68"/>
      <c r="AW1002" s="68"/>
      <c r="AX1002" s="68"/>
      <c r="AY1002" s="34"/>
      <c r="AZ1002" s="34"/>
      <c r="BB1002" s="34"/>
    </row>
    <row r="1003" spans="1:55" ht="12.95" customHeight="1">
      <c r="A1003" s="14"/>
      <c r="B1003" s="257"/>
      <c r="C1003" s="82"/>
      <c r="D1003" s="1541"/>
      <c r="E1003" s="1542"/>
      <c r="F1003" s="1542"/>
      <c r="G1003" s="1542"/>
      <c r="H1003" s="1542"/>
      <c r="I1003" s="1542"/>
      <c r="J1003" s="1542"/>
      <c r="K1003" s="1542"/>
      <c r="L1003" s="1542"/>
      <c r="M1003" s="1542"/>
      <c r="N1003" s="1542"/>
      <c r="O1003" s="1542"/>
      <c r="P1003" s="1542"/>
      <c r="Q1003" s="1542"/>
      <c r="R1003" s="1542"/>
      <c r="S1003" s="1542"/>
      <c r="T1003" s="1542"/>
      <c r="U1003" s="1542"/>
      <c r="V1003" s="1542"/>
      <c r="W1003" s="1542"/>
      <c r="X1003" s="1542"/>
      <c r="Y1003" s="1542"/>
      <c r="Z1003" s="1542"/>
      <c r="AA1003" s="1542"/>
      <c r="AB1003" s="1542"/>
      <c r="AC1003" s="1542"/>
      <c r="AD1003" s="1542"/>
      <c r="AE1003" s="1543"/>
      <c r="AF1003" s="73"/>
      <c r="AG1003" s="14"/>
      <c r="AH1003" s="14"/>
      <c r="AI1003" s="83"/>
      <c r="AJ1003" s="1350"/>
      <c r="AK1003" s="1351"/>
      <c r="AL1003" s="1351"/>
      <c r="AM1003" s="1351"/>
      <c r="AN1003" s="1351"/>
      <c r="AO1003" s="1351"/>
      <c r="AP1003" s="1351"/>
      <c r="AQ1003" s="1352"/>
      <c r="AR1003" s="68"/>
      <c r="AS1003" s="68"/>
      <c r="AT1003" s="68"/>
      <c r="AU1003" s="68"/>
      <c r="AV1003" s="68"/>
      <c r="AW1003" s="68"/>
      <c r="AX1003" s="68"/>
      <c r="AY1003" s="914">
        <f>G753+O797</f>
        <v>193</v>
      </c>
      <c r="AZ1003" s="34"/>
      <c r="BB1003" s="34"/>
    </row>
    <row r="1004" spans="1:55" ht="12.95" customHeight="1">
      <c r="A1004" s="14"/>
      <c r="B1004" s="257"/>
      <c r="C1004" s="82"/>
      <c r="D1004" s="1541"/>
      <c r="E1004" s="1542"/>
      <c r="F1004" s="1542"/>
      <c r="G1004" s="1542"/>
      <c r="H1004" s="1542"/>
      <c r="I1004" s="1542"/>
      <c r="J1004" s="1542"/>
      <c r="K1004" s="1542"/>
      <c r="L1004" s="1542"/>
      <c r="M1004" s="1542"/>
      <c r="N1004" s="1542"/>
      <c r="O1004" s="1542"/>
      <c r="P1004" s="1542"/>
      <c r="Q1004" s="1542"/>
      <c r="R1004" s="1542"/>
      <c r="S1004" s="1542"/>
      <c r="T1004" s="1542"/>
      <c r="U1004" s="1542"/>
      <c r="V1004" s="1542"/>
      <c r="W1004" s="1542"/>
      <c r="X1004" s="1542"/>
      <c r="Y1004" s="1542"/>
      <c r="Z1004" s="1542"/>
      <c r="AA1004" s="1542"/>
      <c r="AB1004" s="1542"/>
      <c r="AC1004" s="1542"/>
      <c r="AD1004" s="1542"/>
      <c r="AE1004" s="1543"/>
      <c r="AF1004" s="73"/>
      <c r="AG1004" s="14"/>
      <c r="AH1004" s="14"/>
      <c r="AI1004" s="83"/>
      <c r="AJ1004" s="1350"/>
      <c r="AK1004" s="1351"/>
      <c r="AL1004" s="1351"/>
      <c r="AM1004" s="1351"/>
      <c r="AN1004" s="1351"/>
      <c r="AO1004" s="1351"/>
      <c r="AP1004" s="1351"/>
      <c r="AQ1004" s="1352"/>
      <c r="AR1004" s="68"/>
      <c r="AS1004" s="68"/>
      <c r="AT1004" s="68"/>
      <c r="AU1004" s="68"/>
      <c r="AV1004" s="68"/>
      <c r="AW1004" s="68"/>
      <c r="AX1004" s="68"/>
      <c r="AY1004" s="14"/>
      <c r="AZ1004" s="34"/>
      <c r="BB1004" s="34"/>
    </row>
    <row r="1005" spans="1:55" ht="12.95" customHeight="1">
      <c r="A1005" s="14"/>
      <c r="B1005" s="257"/>
      <c r="C1005" s="82"/>
      <c r="D1005" s="1541"/>
      <c r="E1005" s="1542"/>
      <c r="F1005" s="1542"/>
      <c r="G1005" s="1542"/>
      <c r="H1005" s="1542"/>
      <c r="I1005" s="1542"/>
      <c r="J1005" s="1542"/>
      <c r="K1005" s="1542"/>
      <c r="L1005" s="1542"/>
      <c r="M1005" s="1542"/>
      <c r="N1005" s="1542"/>
      <c r="O1005" s="1542"/>
      <c r="P1005" s="1542"/>
      <c r="Q1005" s="1542"/>
      <c r="R1005" s="1542"/>
      <c r="S1005" s="1542"/>
      <c r="T1005" s="1542"/>
      <c r="U1005" s="1542"/>
      <c r="V1005" s="1542"/>
      <c r="W1005" s="1542"/>
      <c r="X1005" s="1542"/>
      <c r="Y1005" s="1542"/>
      <c r="Z1005" s="1542"/>
      <c r="AA1005" s="1542"/>
      <c r="AB1005" s="1542"/>
      <c r="AC1005" s="1542"/>
      <c r="AD1005" s="1542"/>
      <c r="AE1005" s="1543"/>
      <c r="AF1005" s="73"/>
      <c r="AG1005" s="14"/>
      <c r="AH1005" s="14"/>
      <c r="AI1005" s="83"/>
      <c r="AJ1005" s="1350"/>
      <c r="AK1005" s="1351"/>
      <c r="AL1005" s="1351"/>
      <c r="AM1005" s="1351"/>
      <c r="AN1005" s="1351"/>
      <c r="AO1005" s="1351"/>
      <c r="AP1005" s="1351"/>
      <c r="AQ1005" s="1352"/>
      <c r="AR1005" s="68"/>
      <c r="AS1005" s="68"/>
      <c r="AT1005" s="68"/>
      <c r="AU1005" s="68"/>
      <c r="AV1005" s="68"/>
      <c r="AW1005" s="68"/>
      <c r="AX1005" s="68"/>
      <c r="AY1005" s="913">
        <f>ROUNDDOWN(X1048/I1048,2)</f>
        <v>0.47</v>
      </c>
      <c r="AZ1005" s="34"/>
      <c r="BB1005" s="34"/>
    </row>
    <row r="1006" spans="1:55" ht="12.95" customHeight="1">
      <c r="A1006" s="14"/>
      <c r="B1006" s="75"/>
      <c r="C1006" s="76"/>
      <c r="D1006" s="1544"/>
      <c r="E1006" s="1545"/>
      <c r="F1006" s="1545"/>
      <c r="G1006" s="1545"/>
      <c r="H1006" s="1545"/>
      <c r="I1006" s="1545"/>
      <c r="J1006" s="1545"/>
      <c r="K1006" s="1545"/>
      <c r="L1006" s="1545"/>
      <c r="M1006" s="1545"/>
      <c r="N1006" s="1545"/>
      <c r="O1006" s="1545"/>
      <c r="P1006" s="1545"/>
      <c r="Q1006" s="1545"/>
      <c r="R1006" s="1545"/>
      <c r="S1006" s="1545"/>
      <c r="T1006" s="1545"/>
      <c r="U1006" s="1545"/>
      <c r="V1006" s="1545"/>
      <c r="W1006" s="1545"/>
      <c r="X1006" s="1545"/>
      <c r="Y1006" s="1545"/>
      <c r="Z1006" s="1545"/>
      <c r="AA1006" s="1545"/>
      <c r="AB1006" s="1545"/>
      <c r="AC1006" s="1545"/>
      <c r="AD1006" s="1545"/>
      <c r="AE1006" s="1546"/>
      <c r="AF1006" s="77"/>
      <c r="AG1006" s="7"/>
      <c r="AH1006" s="7"/>
      <c r="AI1006" s="78"/>
      <c r="AJ1006" s="1353"/>
      <c r="AK1006" s="1354"/>
      <c r="AL1006" s="1354"/>
      <c r="AM1006" s="1354"/>
      <c r="AN1006" s="1354"/>
      <c r="AO1006" s="1354"/>
      <c r="AP1006" s="1354"/>
      <c r="AQ1006" s="1355"/>
      <c r="AR1006" s="68"/>
      <c r="AS1006" s="68"/>
      <c r="AT1006" s="68"/>
      <c r="AU1006" s="68"/>
      <c r="AV1006" s="68"/>
      <c r="AW1006" s="68"/>
      <c r="AX1006" s="68"/>
      <c r="AY1006" s="913">
        <f>ROUNDDOWN(X1052/I1052,2)</f>
        <v>0.25</v>
      </c>
      <c r="AZ1006" s="34"/>
      <c r="BB1006" s="34"/>
    </row>
    <row r="1007" spans="1:55" ht="12.95" customHeight="1">
      <c r="A1007" s="14"/>
      <c r="B1007" s="255"/>
      <c r="C1007" s="80" t="s">
        <v>672</v>
      </c>
      <c r="D1007" s="1493" t="s">
        <v>1683</v>
      </c>
      <c r="E1007" s="1494"/>
      <c r="F1007" s="1494"/>
      <c r="G1007" s="1494"/>
      <c r="H1007" s="1494"/>
      <c r="I1007" s="1494"/>
      <c r="J1007" s="1494"/>
      <c r="K1007" s="1494"/>
      <c r="L1007" s="1494"/>
      <c r="M1007" s="1494"/>
      <c r="N1007" s="1494"/>
      <c r="O1007" s="1494"/>
      <c r="P1007" s="1494"/>
      <c r="Q1007" s="1494"/>
      <c r="R1007" s="1494"/>
      <c r="S1007" s="1494"/>
      <c r="T1007" s="1494"/>
      <c r="U1007" s="1494"/>
      <c r="V1007" s="1494"/>
      <c r="W1007" s="1494"/>
      <c r="X1007" s="1494"/>
      <c r="Y1007" s="1494"/>
      <c r="Z1007" s="1494"/>
      <c r="AA1007" s="1494"/>
      <c r="AB1007" s="1494"/>
      <c r="AC1007" s="1494"/>
      <c r="AD1007" s="1494"/>
      <c r="AE1007" s="1495"/>
      <c r="AF1007" s="86"/>
      <c r="AG1007" s="1501" t="s">
        <v>545</v>
      </c>
      <c r="AH1007" s="1502"/>
      <c r="AI1007" s="87"/>
      <c r="AJ1007" s="1347">
        <f>ROUND(IF(AG1007="yes",AJ992*0.1,0),0)</f>
        <v>13901788</v>
      </c>
      <c r="AK1007" s="1348"/>
      <c r="AL1007" s="1348"/>
      <c r="AM1007" s="1348"/>
      <c r="AN1007" s="1348"/>
      <c r="AO1007" s="1348"/>
      <c r="AP1007" s="1348"/>
      <c r="AQ1007" s="1349"/>
      <c r="AR1007" s="68"/>
      <c r="AS1007" s="68"/>
      <c r="AT1007" s="68"/>
      <c r="AU1007" s="68"/>
      <c r="AV1007" s="68"/>
      <c r="AW1007" s="68"/>
      <c r="AX1007" s="68"/>
      <c r="BB1007" s="34"/>
    </row>
    <row r="1008" spans="1:55" ht="12.95" customHeight="1">
      <c r="A1008" s="14"/>
      <c r="B1008" s="73"/>
      <c r="C1008" s="74"/>
      <c r="D1008" s="1506" t="s">
        <v>1285</v>
      </c>
      <c r="E1008" s="1507"/>
      <c r="F1008" s="1507"/>
      <c r="G1008" s="1507"/>
      <c r="H1008" s="1507"/>
      <c r="I1008" s="1507"/>
      <c r="J1008" s="1507"/>
      <c r="K1008" s="1507"/>
      <c r="L1008" s="1507"/>
      <c r="M1008" s="1507"/>
      <c r="N1008" s="1507"/>
      <c r="O1008" s="1507"/>
      <c r="P1008" s="1507"/>
      <c r="Q1008" s="1507"/>
      <c r="R1008" s="1507"/>
      <c r="S1008" s="1507"/>
      <c r="T1008" s="1507"/>
      <c r="U1008" s="1507"/>
      <c r="V1008" s="1507"/>
      <c r="W1008" s="1507"/>
      <c r="X1008" s="1507"/>
      <c r="Y1008" s="1507"/>
      <c r="Z1008" s="1507"/>
      <c r="AA1008" s="1507"/>
      <c r="AB1008" s="1507"/>
      <c r="AC1008" s="1507"/>
      <c r="AD1008" s="1507"/>
      <c r="AE1008" s="1508"/>
      <c r="AF1008" s="73"/>
      <c r="AI1008" s="83"/>
      <c r="AJ1008" s="1350"/>
      <c r="AK1008" s="1351"/>
      <c r="AL1008" s="1351"/>
      <c r="AM1008" s="1351"/>
      <c r="AN1008" s="1351"/>
      <c r="AO1008" s="1351"/>
      <c r="AP1008" s="1351"/>
      <c r="AQ1008" s="1352"/>
      <c r="AR1008" s="68"/>
      <c r="AS1008" s="68"/>
      <c r="AT1008" s="68"/>
      <c r="AU1008" s="68"/>
      <c r="AV1008" s="68"/>
      <c r="AW1008" s="68"/>
      <c r="AX1008" s="68"/>
    </row>
    <row r="1009" spans="1:52" ht="12.95" customHeight="1">
      <c r="A1009" s="14"/>
      <c r="B1009" s="73"/>
      <c r="C1009" s="74"/>
      <c r="D1009" s="1506"/>
      <c r="E1009" s="1507"/>
      <c r="F1009" s="1507"/>
      <c r="G1009" s="1507"/>
      <c r="H1009" s="1507"/>
      <c r="I1009" s="1507"/>
      <c r="J1009" s="1507"/>
      <c r="K1009" s="1507"/>
      <c r="L1009" s="1507"/>
      <c r="M1009" s="1507"/>
      <c r="N1009" s="1507"/>
      <c r="O1009" s="1507"/>
      <c r="P1009" s="1507"/>
      <c r="Q1009" s="1507"/>
      <c r="R1009" s="1507"/>
      <c r="S1009" s="1507"/>
      <c r="T1009" s="1507"/>
      <c r="U1009" s="1507"/>
      <c r="V1009" s="1507"/>
      <c r="W1009" s="1507"/>
      <c r="X1009" s="1507"/>
      <c r="Y1009" s="1507"/>
      <c r="Z1009" s="1507"/>
      <c r="AA1009" s="1507"/>
      <c r="AB1009" s="1507"/>
      <c r="AC1009" s="1507"/>
      <c r="AD1009" s="1507"/>
      <c r="AE1009" s="1508"/>
      <c r="AF1009" s="73"/>
      <c r="AG1009" s="14"/>
      <c r="AH1009" s="14"/>
      <c r="AI1009" s="83"/>
      <c r="AJ1009" s="1350"/>
      <c r="AK1009" s="1351"/>
      <c r="AL1009" s="1351"/>
      <c r="AM1009" s="1351"/>
      <c r="AN1009" s="1351"/>
      <c r="AO1009" s="1351"/>
      <c r="AP1009" s="1351"/>
      <c r="AQ1009" s="1352"/>
      <c r="AR1009" s="68"/>
      <c r="AS1009" s="68"/>
      <c r="AT1009" s="68"/>
      <c r="AU1009" s="68"/>
      <c r="AV1009" s="68"/>
      <c r="AW1009" s="68"/>
      <c r="AX1009" s="68"/>
    </row>
    <row r="1010" spans="1:52" ht="12.95" customHeight="1">
      <c r="A1010" s="14"/>
      <c r="B1010" s="85"/>
      <c r="C1010" s="76"/>
      <c r="D1010" s="1509"/>
      <c r="E1010" s="1510"/>
      <c r="F1010" s="1510"/>
      <c r="G1010" s="1510"/>
      <c r="H1010" s="1510"/>
      <c r="I1010" s="1510"/>
      <c r="J1010" s="1510"/>
      <c r="K1010" s="1510"/>
      <c r="L1010" s="1510"/>
      <c r="M1010" s="1510"/>
      <c r="N1010" s="1510"/>
      <c r="O1010" s="1510"/>
      <c r="P1010" s="1510"/>
      <c r="Q1010" s="1510"/>
      <c r="R1010" s="1510"/>
      <c r="S1010" s="1510"/>
      <c r="T1010" s="1510"/>
      <c r="U1010" s="1510"/>
      <c r="V1010" s="1510"/>
      <c r="W1010" s="1510"/>
      <c r="X1010" s="1510"/>
      <c r="Y1010" s="1510"/>
      <c r="Z1010" s="1510"/>
      <c r="AA1010" s="1510"/>
      <c r="AB1010" s="1510"/>
      <c r="AC1010" s="1510"/>
      <c r="AD1010" s="1510"/>
      <c r="AE1010" s="1511"/>
      <c r="AF1010" s="77"/>
      <c r="AG1010" s="7"/>
      <c r="AH1010" s="7"/>
      <c r="AI1010" s="78"/>
      <c r="AJ1010" s="1353"/>
      <c r="AK1010" s="1354"/>
      <c r="AL1010" s="1354"/>
      <c r="AM1010" s="1354"/>
      <c r="AN1010" s="1354"/>
      <c r="AO1010" s="1354"/>
      <c r="AP1010" s="1354"/>
      <c r="AQ1010" s="1355"/>
      <c r="AR1010" s="68"/>
      <c r="AS1010" s="68"/>
      <c r="AT1010" s="68"/>
      <c r="AU1010" s="68"/>
      <c r="AV1010" s="68"/>
      <c r="AW1010" s="68"/>
      <c r="AX1010" s="68"/>
    </row>
    <row r="1011" spans="1:52" ht="12.95" customHeight="1">
      <c r="A1011" s="14"/>
      <c r="B1011" s="79"/>
      <c r="C1011" s="80" t="s">
        <v>212</v>
      </c>
      <c r="D1011" s="1493" t="s">
        <v>1287</v>
      </c>
      <c r="E1011" s="1494"/>
      <c r="F1011" s="1494"/>
      <c r="G1011" s="1494"/>
      <c r="H1011" s="1494"/>
      <c r="I1011" s="1494"/>
      <c r="J1011" s="1494"/>
      <c r="K1011" s="1494"/>
      <c r="L1011" s="1494"/>
      <c r="M1011" s="1494"/>
      <c r="N1011" s="1494"/>
      <c r="O1011" s="1494"/>
      <c r="P1011" s="1494"/>
      <c r="Q1011" s="1494"/>
      <c r="R1011" s="1494"/>
      <c r="S1011" s="1494"/>
      <c r="T1011" s="1494"/>
      <c r="U1011" s="1494"/>
      <c r="V1011" s="1494"/>
      <c r="W1011" s="1494"/>
      <c r="X1011" s="1494"/>
      <c r="Y1011" s="1494"/>
      <c r="Z1011" s="1494"/>
      <c r="AA1011" s="1494"/>
      <c r="AB1011" s="1494"/>
      <c r="AC1011" s="1494"/>
      <c r="AD1011" s="1494"/>
      <c r="AE1011" s="1495"/>
      <c r="AF1011" s="79"/>
      <c r="AG1011" s="1501" t="s">
        <v>669</v>
      </c>
      <c r="AH1011" s="1502"/>
      <c r="AI1011" s="87"/>
      <c r="AJ1011" s="1347">
        <f>ROUND(IF(AG1011="yes",AJ992*0.02,0),0)</f>
        <v>0</v>
      </c>
      <c r="AK1011" s="1348"/>
      <c r="AL1011" s="1348"/>
      <c r="AM1011" s="1348"/>
      <c r="AN1011" s="1348"/>
      <c r="AO1011" s="1348"/>
      <c r="AP1011" s="1348"/>
      <c r="AQ1011" s="1349"/>
      <c r="AR1011" s="68"/>
      <c r="AS1011" s="68"/>
      <c r="AT1011" s="68"/>
      <c r="AU1011" s="68"/>
      <c r="AV1011" s="68"/>
      <c r="AW1011" s="68"/>
      <c r="AX1011" s="68"/>
    </row>
    <row r="1012" spans="1:52" ht="14.25" customHeight="1">
      <c r="A1012" s="14"/>
      <c r="B1012" s="73"/>
      <c r="C1012" s="74"/>
      <c r="D1012" s="1509" t="s">
        <v>1288</v>
      </c>
      <c r="E1012" s="1510"/>
      <c r="F1012" s="1510"/>
      <c r="G1012" s="1510"/>
      <c r="H1012" s="1510"/>
      <c r="I1012" s="1510"/>
      <c r="J1012" s="1510"/>
      <c r="K1012" s="1510"/>
      <c r="L1012" s="1510"/>
      <c r="M1012" s="1510"/>
      <c r="N1012" s="1510"/>
      <c r="O1012" s="1510"/>
      <c r="P1012" s="1510"/>
      <c r="Q1012" s="1510"/>
      <c r="R1012" s="1510"/>
      <c r="S1012" s="1510"/>
      <c r="T1012" s="1510"/>
      <c r="U1012" s="1510"/>
      <c r="V1012" s="1510"/>
      <c r="W1012" s="1510"/>
      <c r="X1012" s="1510"/>
      <c r="Y1012" s="1510"/>
      <c r="Z1012" s="1510"/>
      <c r="AA1012" s="1510"/>
      <c r="AB1012" s="1510"/>
      <c r="AC1012" s="1510"/>
      <c r="AD1012" s="1510"/>
      <c r="AE1012" s="1511"/>
      <c r="AF1012" s="77"/>
      <c r="AG1012" s="7"/>
      <c r="AH1012" s="7"/>
      <c r="AI1012" s="78"/>
      <c r="AJ1012" s="1353"/>
      <c r="AK1012" s="1354"/>
      <c r="AL1012" s="1354"/>
      <c r="AM1012" s="1354"/>
      <c r="AN1012" s="1354"/>
      <c r="AO1012" s="1354"/>
      <c r="AP1012" s="1354"/>
      <c r="AQ1012" s="1355"/>
      <c r="AR1012" s="68"/>
      <c r="AS1012" s="68"/>
      <c r="AT1012" s="68"/>
      <c r="AU1012" s="68"/>
      <c r="AV1012" s="68"/>
      <c r="AW1012" s="68"/>
      <c r="AX1012" s="3" t="s">
        <v>1841</v>
      </c>
      <c r="AZ1012" s="3" t="s">
        <v>2608</v>
      </c>
    </row>
    <row r="1013" spans="1:52" ht="12.95" customHeight="1">
      <c r="A1013" s="14"/>
      <c r="B1013" s="79"/>
      <c r="C1013" s="80" t="s">
        <v>215</v>
      </c>
      <c r="D1013" s="1493" t="s">
        <v>1289</v>
      </c>
      <c r="E1013" s="1494"/>
      <c r="F1013" s="1494"/>
      <c r="G1013" s="1494"/>
      <c r="H1013" s="1494"/>
      <c r="I1013" s="1494"/>
      <c r="J1013" s="1494"/>
      <c r="K1013" s="1494"/>
      <c r="L1013" s="1494"/>
      <c r="M1013" s="1494"/>
      <c r="N1013" s="1494"/>
      <c r="O1013" s="1494"/>
      <c r="P1013" s="1494"/>
      <c r="Q1013" s="1494"/>
      <c r="R1013" s="1494"/>
      <c r="S1013" s="1494"/>
      <c r="T1013" s="1494"/>
      <c r="U1013" s="1494"/>
      <c r="V1013" s="1494"/>
      <c r="W1013" s="1494"/>
      <c r="X1013" s="1494"/>
      <c r="Y1013" s="1494"/>
      <c r="Z1013" s="1494"/>
      <c r="AA1013" s="1494"/>
      <c r="AB1013" s="1494"/>
      <c r="AC1013" s="1494"/>
      <c r="AD1013" s="1494"/>
      <c r="AE1013" s="1495"/>
      <c r="AF1013" s="79"/>
      <c r="AG1013" s="1501" t="s">
        <v>669</v>
      </c>
      <c r="AH1013" s="1502"/>
      <c r="AI1013" s="79"/>
      <c r="AJ1013" s="1347">
        <f>ROUND(IF(AG1013="yes",AJ992*0.02,0),0)</f>
        <v>0</v>
      </c>
      <c r="AK1013" s="1348"/>
      <c r="AL1013" s="1348"/>
      <c r="AM1013" s="1348"/>
      <c r="AN1013" s="1348"/>
      <c r="AO1013" s="1348"/>
      <c r="AP1013" s="1348"/>
      <c r="AQ1013" s="1349"/>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6" t="s">
        <v>1290</v>
      </c>
      <c r="E1014" s="1507"/>
      <c r="F1014" s="1507"/>
      <c r="G1014" s="1507"/>
      <c r="H1014" s="1507"/>
      <c r="I1014" s="1507"/>
      <c r="J1014" s="1507"/>
      <c r="K1014" s="1507"/>
      <c r="L1014" s="1507"/>
      <c r="M1014" s="1507"/>
      <c r="N1014" s="1507"/>
      <c r="O1014" s="1507"/>
      <c r="P1014" s="1507"/>
      <c r="Q1014" s="1507"/>
      <c r="R1014" s="1507"/>
      <c r="S1014" s="1507"/>
      <c r="T1014" s="1507"/>
      <c r="U1014" s="1507"/>
      <c r="V1014" s="1507"/>
      <c r="W1014" s="1507"/>
      <c r="X1014" s="1507"/>
      <c r="Y1014" s="1507"/>
      <c r="Z1014" s="1507"/>
      <c r="AA1014" s="1507"/>
      <c r="AB1014" s="1507"/>
      <c r="AC1014" s="1507"/>
      <c r="AD1014" s="1507"/>
      <c r="AE1014" s="1508"/>
      <c r="AF1014" s="1381" t="str">
        <f>IF(AND(AG1013="yes",T212&lt;&gt;1),"The project may not be eligible for this boost","")</f>
        <v/>
      </c>
      <c r="AG1014" s="1382"/>
      <c r="AH1014" s="1382"/>
      <c r="AI1014" s="1383"/>
      <c r="AJ1014" s="1350"/>
      <c r="AK1014" s="1351"/>
      <c r="AL1014" s="1351"/>
      <c r="AM1014" s="1351"/>
      <c r="AN1014" s="1351"/>
      <c r="AO1014" s="1351"/>
      <c r="AP1014" s="1351"/>
      <c r="AQ1014" s="1352"/>
      <c r="AR1014" s="68"/>
      <c r="AS1014" s="68"/>
      <c r="AT1014" s="68"/>
      <c r="AU1014" s="68"/>
      <c r="AV1014" s="68"/>
      <c r="AW1014" s="68"/>
      <c r="AX1014" s="3">
        <v>2</v>
      </c>
      <c r="AY1014" s="200">
        <f t="shared" ref="AY1014:AY1023" si="57">IF((_xlfn.XLOOKUP(AX1014,$C$1065:$C$1103,$A$1065:$A$1103,"",0,1))="Yes",AZ1014,0)</f>
        <v>0</v>
      </c>
      <c r="AZ1014" s="1255">
        <v>0.15</v>
      </c>
    </row>
    <row r="1015" spans="1:52" ht="12.95" customHeight="1">
      <c r="A1015" s="14"/>
      <c r="B1015" s="75"/>
      <c r="C1015" s="76"/>
      <c r="D1015" s="1509"/>
      <c r="E1015" s="1510"/>
      <c r="F1015" s="1510"/>
      <c r="G1015" s="1510"/>
      <c r="H1015" s="1510"/>
      <c r="I1015" s="1510"/>
      <c r="J1015" s="1510"/>
      <c r="K1015" s="1510"/>
      <c r="L1015" s="1510"/>
      <c r="M1015" s="1510"/>
      <c r="N1015" s="1510"/>
      <c r="O1015" s="1510"/>
      <c r="P1015" s="1510"/>
      <c r="Q1015" s="1510"/>
      <c r="R1015" s="1510"/>
      <c r="S1015" s="1510"/>
      <c r="T1015" s="1510"/>
      <c r="U1015" s="1510"/>
      <c r="V1015" s="1510"/>
      <c r="W1015" s="1510"/>
      <c r="X1015" s="1510"/>
      <c r="Y1015" s="1510"/>
      <c r="Z1015" s="1510"/>
      <c r="AA1015" s="1510"/>
      <c r="AB1015" s="1510"/>
      <c r="AC1015" s="1510"/>
      <c r="AD1015" s="1510"/>
      <c r="AE1015" s="1511"/>
      <c r="AF1015" s="1384"/>
      <c r="AG1015" s="1385"/>
      <c r="AH1015" s="1385"/>
      <c r="AI1015" s="1386"/>
      <c r="AJ1015" s="1353"/>
      <c r="AK1015" s="1354"/>
      <c r="AL1015" s="1354"/>
      <c r="AM1015" s="1354"/>
      <c r="AN1015" s="1354"/>
      <c r="AO1015" s="1354"/>
      <c r="AP1015" s="1354"/>
      <c r="AQ1015" s="1355"/>
      <c r="AR1015" s="68"/>
      <c r="AS1015" s="68"/>
      <c r="AT1015" s="68"/>
      <c r="AU1015" s="68"/>
      <c r="AV1015" s="68"/>
      <c r="AW1015" s="68"/>
      <c r="AX1015" s="3">
        <v>3</v>
      </c>
      <c r="AY1015" s="200">
        <f t="shared" si="57"/>
        <v>0</v>
      </c>
      <c r="AZ1015" s="1255">
        <v>0.05</v>
      </c>
    </row>
    <row r="1016" spans="1:52" ht="12.95" customHeight="1">
      <c r="A1016" s="14"/>
      <c r="B1016" s="79"/>
      <c r="C1016" s="80" t="s">
        <v>218</v>
      </c>
      <c r="D1016" s="1503" t="s">
        <v>2237</v>
      </c>
      <c r="E1016" s="1504"/>
      <c r="F1016" s="1504"/>
      <c r="G1016" s="1504"/>
      <c r="H1016" s="1504"/>
      <c r="I1016" s="1504"/>
      <c r="J1016" s="1504"/>
      <c r="K1016" s="1504"/>
      <c r="L1016" s="1504"/>
      <c r="M1016" s="1504"/>
      <c r="N1016" s="1504"/>
      <c r="O1016" s="1504"/>
      <c r="P1016" s="1504"/>
      <c r="Q1016" s="1504"/>
      <c r="R1016" s="1504"/>
      <c r="S1016" s="1504"/>
      <c r="T1016" s="1504"/>
      <c r="U1016" s="1504"/>
      <c r="V1016" s="1504"/>
      <c r="W1016" s="1504"/>
      <c r="X1016" s="1504"/>
      <c r="Y1016" s="1504"/>
      <c r="Z1016" s="1504"/>
      <c r="AA1016" s="1504"/>
      <c r="AB1016" s="1504"/>
      <c r="AC1016" s="1504"/>
      <c r="AD1016" s="1504"/>
      <c r="AE1016" s="1505"/>
      <c r="AF1016" s="79"/>
      <c r="AG1016" s="1501" t="s">
        <v>669</v>
      </c>
      <c r="AH1016" s="1502"/>
      <c r="AI1016" s="87"/>
      <c r="AJ1016" s="1347">
        <f>IF(AG1016="yes",AJ992*AY1024,0)</f>
        <v>0</v>
      </c>
      <c r="AK1016" s="1348"/>
      <c r="AL1016" s="1348"/>
      <c r="AM1016" s="1348"/>
      <c r="AN1016" s="1348"/>
      <c r="AO1016" s="1348"/>
      <c r="AP1016" s="1348"/>
      <c r="AQ1016" s="1349"/>
      <c r="AR1016" s="68"/>
      <c r="AS1016" s="68"/>
      <c r="AT1016" s="68"/>
      <c r="AU1016" s="68"/>
      <c r="AV1016" s="68"/>
      <c r="AW1016" s="68"/>
      <c r="AX1016" s="3">
        <v>4</v>
      </c>
      <c r="AY1016" s="200">
        <f t="shared" si="57"/>
        <v>0</v>
      </c>
      <c r="AZ1016" s="1255">
        <v>0.02</v>
      </c>
    </row>
    <row r="1017" spans="1:52" ht="12.95" customHeight="1">
      <c r="A1017" s="14"/>
      <c r="B1017" s="73"/>
      <c r="C1017" s="74"/>
      <c r="D1017" s="1506" t="s">
        <v>1291</v>
      </c>
      <c r="E1017" s="1507"/>
      <c r="F1017" s="1507"/>
      <c r="G1017" s="1507"/>
      <c r="H1017" s="1507"/>
      <c r="I1017" s="1507"/>
      <c r="J1017" s="1507"/>
      <c r="K1017" s="1507"/>
      <c r="L1017" s="1507"/>
      <c r="M1017" s="1507"/>
      <c r="N1017" s="1507"/>
      <c r="O1017" s="1507"/>
      <c r="P1017" s="1507"/>
      <c r="Q1017" s="1507"/>
      <c r="R1017" s="1507"/>
      <c r="S1017" s="1507"/>
      <c r="T1017" s="1507"/>
      <c r="U1017" s="1507"/>
      <c r="V1017" s="1507"/>
      <c r="W1017" s="1507"/>
      <c r="X1017" s="1507"/>
      <c r="Y1017" s="1507"/>
      <c r="Z1017" s="1507"/>
      <c r="AA1017" s="1507"/>
      <c r="AB1017" s="1507"/>
      <c r="AC1017" s="1507"/>
      <c r="AD1017" s="1507"/>
      <c r="AE1017" s="1508"/>
      <c r="AF1017" s="1375" t="str">
        <f>IF(AND(AG1016="Yes",AY1024=0),AY1027,"")</f>
        <v/>
      </c>
      <c r="AG1017" s="1376"/>
      <c r="AH1017" s="1376"/>
      <c r="AI1017" s="1377"/>
      <c r="AJ1017" s="1350"/>
      <c r="AK1017" s="1351"/>
      <c r="AL1017" s="1351"/>
      <c r="AM1017" s="1351"/>
      <c r="AN1017" s="1351"/>
      <c r="AO1017" s="1351"/>
      <c r="AP1017" s="1351"/>
      <c r="AQ1017" s="1352"/>
      <c r="AR1017" s="68"/>
      <c r="AS1017" s="68"/>
      <c r="AT1017" s="68"/>
      <c r="AU1017" s="68"/>
      <c r="AV1017" s="68"/>
      <c r="AW1017" s="68"/>
      <c r="AX1017" s="3">
        <v>5</v>
      </c>
      <c r="AY1017" s="200">
        <f t="shared" si="57"/>
        <v>0</v>
      </c>
      <c r="AZ1017" s="1255">
        <v>0.04</v>
      </c>
    </row>
    <row r="1018" spans="1:52" ht="12.95" customHeight="1">
      <c r="A1018" s="14"/>
      <c r="B1018" s="73"/>
      <c r="C1018" s="74"/>
      <c r="D1018" s="1506"/>
      <c r="E1018" s="1507"/>
      <c r="F1018" s="1507"/>
      <c r="G1018" s="1507"/>
      <c r="H1018" s="1507"/>
      <c r="I1018" s="1507"/>
      <c r="J1018" s="1507"/>
      <c r="K1018" s="1507"/>
      <c r="L1018" s="1507"/>
      <c r="M1018" s="1507"/>
      <c r="N1018" s="1507"/>
      <c r="O1018" s="1507"/>
      <c r="P1018" s="1507"/>
      <c r="Q1018" s="1507"/>
      <c r="R1018" s="1507"/>
      <c r="S1018" s="1507"/>
      <c r="T1018" s="1507"/>
      <c r="U1018" s="1507"/>
      <c r="V1018" s="1507"/>
      <c r="W1018" s="1507"/>
      <c r="X1018" s="1507"/>
      <c r="Y1018" s="1507"/>
      <c r="Z1018" s="1507"/>
      <c r="AA1018" s="1507"/>
      <c r="AB1018" s="1507"/>
      <c r="AC1018" s="1507"/>
      <c r="AD1018" s="1507"/>
      <c r="AE1018" s="1508"/>
      <c r="AF1018" s="1375"/>
      <c r="AG1018" s="1376"/>
      <c r="AH1018" s="1376"/>
      <c r="AI1018" s="1377"/>
      <c r="AJ1018" s="1350"/>
      <c r="AK1018" s="1351"/>
      <c r="AL1018" s="1351"/>
      <c r="AM1018" s="1351"/>
      <c r="AN1018" s="1351"/>
      <c r="AO1018" s="1351"/>
      <c r="AP1018" s="1351"/>
      <c r="AQ1018" s="1352"/>
      <c r="AR1018" s="68"/>
      <c r="AS1018" s="68"/>
      <c r="AT1018" s="68"/>
      <c r="AU1018" s="68"/>
      <c r="AV1018" s="68"/>
      <c r="AW1018" s="68"/>
      <c r="AX1018" s="3">
        <v>6</v>
      </c>
      <c r="AY1018" s="200">
        <f t="shared" si="57"/>
        <v>0</v>
      </c>
      <c r="AZ1018" s="1255">
        <v>0.04</v>
      </c>
    </row>
    <row r="1019" spans="1:52" ht="12.95" customHeight="1">
      <c r="A1019" s="14"/>
      <c r="B1019" s="81"/>
      <c r="C1019" s="82"/>
      <c r="D1019" s="1509"/>
      <c r="E1019" s="1510"/>
      <c r="F1019" s="1510"/>
      <c r="G1019" s="1510"/>
      <c r="H1019" s="1510"/>
      <c r="I1019" s="1510"/>
      <c r="J1019" s="1510"/>
      <c r="K1019" s="1510"/>
      <c r="L1019" s="1510"/>
      <c r="M1019" s="1510"/>
      <c r="N1019" s="1510"/>
      <c r="O1019" s="1510"/>
      <c r="P1019" s="1510"/>
      <c r="Q1019" s="1510"/>
      <c r="R1019" s="1510"/>
      <c r="S1019" s="1510"/>
      <c r="T1019" s="1510"/>
      <c r="U1019" s="1510"/>
      <c r="V1019" s="1510"/>
      <c r="W1019" s="1510"/>
      <c r="X1019" s="1510"/>
      <c r="Y1019" s="1510"/>
      <c r="Z1019" s="1510"/>
      <c r="AA1019" s="1510"/>
      <c r="AB1019" s="1510"/>
      <c r="AC1019" s="1510"/>
      <c r="AD1019" s="1510"/>
      <c r="AE1019" s="1511"/>
      <c r="AF1019" s="1378"/>
      <c r="AG1019" s="1379"/>
      <c r="AH1019" s="1379"/>
      <c r="AI1019" s="1380"/>
      <c r="AJ1019" s="1353"/>
      <c r="AK1019" s="1354"/>
      <c r="AL1019" s="1354"/>
      <c r="AM1019" s="1354"/>
      <c r="AN1019" s="1354"/>
      <c r="AO1019" s="1354"/>
      <c r="AP1019" s="1354"/>
      <c r="AQ1019" s="1355"/>
      <c r="AR1019" s="68"/>
      <c r="AS1019" s="68"/>
      <c r="AT1019" s="68"/>
      <c r="AU1019" s="68"/>
      <c r="AV1019" s="68"/>
      <c r="AW1019" s="68"/>
      <c r="AX1019" s="3">
        <v>7</v>
      </c>
      <c r="AY1019" s="200">
        <f t="shared" si="57"/>
        <v>0</v>
      </c>
      <c r="AZ1019" s="1255">
        <v>0.01</v>
      </c>
    </row>
    <row r="1020" spans="1:52" ht="12.95" customHeight="1">
      <c r="A1020" s="14"/>
      <c r="B1020" s="79"/>
      <c r="C1020" s="80" t="s">
        <v>223</v>
      </c>
      <c r="D1020" s="1523" t="s">
        <v>1292</v>
      </c>
      <c r="E1020" s="1524"/>
      <c r="F1020" s="1524"/>
      <c r="G1020" s="1524"/>
      <c r="H1020" s="1524"/>
      <c r="I1020" s="1524"/>
      <c r="J1020" s="1524"/>
      <c r="K1020" s="1524"/>
      <c r="L1020" s="1524"/>
      <c r="M1020" s="1524"/>
      <c r="N1020" s="1524"/>
      <c r="O1020" s="1524"/>
      <c r="P1020" s="1524"/>
      <c r="Q1020" s="1524"/>
      <c r="R1020" s="1524"/>
      <c r="S1020" s="1524"/>
      <c r="T1020" s="1524"/>
      <c r="U1020" s="1524"/>
      <c r="V1020" s="1524"/>
      <c r="W1020" s="1524"/>
      <c r="X1020" s="1524"/>
      <c r="Y1020" s="1524"/>
      <c r="Z1020" s="1524"/>
      <c r="AA1020" s="1524"/>
      <c r="AB1020" s="1524"/>
      <c r="AC1020" s="1524"/>
      <c r="AD1020" s="1524"/>
      <c r="AE1020" s="1525"/>
      <c r="AF1020" s="79"/>
      <c r="AG1020" s="1501" t="s">
        <v>669</v>
      </c>
      <c r="AH1020" s="1502"/>
      <c r="AI1020" s="87"/>
      <c r="AJ1020" s="1347">
        <f>ROUND(IF(AND(AG1020="Yes",J1024&lt;&gt;"N/A",AF1023&lt;&gt;""),MIN(AF1023,(0.15*AJ992)),0),0)</f>
        <v>0</v>
      </c>
      <c r="AK1020" s="1348"/>
      <c r="AL1020" s="1348"/>
      <c r="AM1020" s="1348"/>
      <c r="AN1020" s="1348"/>
      <c r="AO1020" s="1348"/>
      <c r="AP1020" s="1348"/>
      <c r="AQ1020" s="1349"/>
      <c r="AR1020" s="68"/>
      <c r="AS1020" s="68"/>
      <c r="AT1020" s="68"/>
      <c r="AU1020" s="68"/>
      <c r="AV1020" s="68"/>
      <c r="AW1020" s="68"/>
      <c r="AX1020" s="3">
        <v>8</v>
      </c>
      <c r="AY1020" s="200">
        <f t="shared" si="57"/>
        <v>0</v>
      </c>
      <c r="AZ1020" s="1255">
        <v>0.01</v>
      </c>
    </row>
    <row r="1021" spans="1:52" ht="12.95" customHeight="1">
      <c r="A1021" s="14"/>
      <c r="B1021" s="81"/>
      <c r="C1021" s="84"/>
      <c r="D1021" s="1526"/>
      <c r="E1021" s="1527"/>
      <c r="F1021" s="1527"/>
      <c r="G1021" s="1527"/>
      <c r="H1021" s="1527"/>
      <c r="I1021" s="1527"/>
      <c r="J1021" s="1527"/>
      <c r="K1021" s="1527"/>
      <c r="L1021" s="1527"/>
      <c r="M1021" s="1527"/>
      <c r="N1021" s="1527"/>
      <c r="O1021" s="1527"/>
      <c r="P1021" s="1527"/>
      <c r="Q1021" s="1527"/>
      <c r="R1021" s="1527"/>
      <c r="S1021" s="1527"/>
      <c r="T1021" s="1527"/>
      <c r="U1021" s="1527"/>
      <c r="V1021" s="1527"/>
      <c r="W1021" s="1527"/>
      <c r="X1021" s="1527"/>
      <c r="Y1021" s="1527"/>
      <c r="Z1021" s="1527"/>
      <c r="AA1021" s="1527"/>
      <c r="AB1021" s="1527"/>
      <c r="AC1021" s="1527"/>
      <c r="AD1021" s="1527"/>
      <c r="AE1021" s="1528"/>
      <c r="AF1021" s="1512" t="str">
        <f>IF(AG1020="yes","Please Select Type and Enter Amount:","")</f>
        <v/>
      </c>
      <c r="AG1021" s="1513"/>
      <c r="AH1021" s="1513"/>
      <c r="AI1021" s="1514"/>
      <c r="AJ1021" s="1350"/>
      <c r="AK1021" s="1351"/>
      <c r="AL1021" s="1351"/>
      <c r="AM1021" s="1351"/>
      <c r="AN1021" s="1351"/>
      <c r="AO1021" s="1351"/>
      <c r="AP1021" s="1351"/>
      <c r="AQ1021" s="1352"/>
      <c r="AR1021" s="68"/>
      <c r="AS1021" s="68"/>
      <c r="AT1021" s="68"/>
      <c r="AU1021" s="68"/>
      <c r="AV1021" s="68"/>
      <c r="AW1021" s="68"/>
      <c r="AX1021" s="3">
        <v>9</v>
      </c>
      <c r="AY1021" s="200">
        <f t="shared" si="57"/>
        <v>0</v>
      </c>
      <c r="AZ1021" s="1255">
        <v>0.01</v>
      </c>
    </row>
    <row r="1022" spans="1:52" ht="12.95" customHeight="1">
      <c r="A1022" s="14"/>
      <c r="B1022" s="81"/>
      <c r="C1022" s="84"/>
      <c r="D1022" s="1506" t="s">
        <v>1293</v>
      </c>
      <c r="E1022" s="1507"/>
      <c r="F1022" s="1507"/>
      <c r="G1022" s="1507"/>
      <c r="H1022" s="1507"/>
      <c r="I1022" s="1507"/>
      <c r="J1022" s="1507"/>
      <c r="K1022" s="1507"/>
      <c r="L1022" s="1507"/>
      <c r="M1022" s="1507"/>
      <c r="N1022" s="1507"/>
      <c r="O1022" s="1507"/>
      <c r="P1022" s="1507"/>
      <c r="Q1022" s="1507"/>
      <c r="R1022" s="1507"/>
      <c r="S1022" s="1507"/>
      <c r="T1022" s="1507"/>
      <c r="U1022" s="1507"/>
      <c r="V1022" s="1507"/>
      <c r="W1022" s="1507"/>
      <c r="X1022" s="1507"/>
      <c r="Y1022" s="1507"/>
      <c r="Z1022" s="1507"/>
      <c r="AA1022" s="1507"/>
      <c r="AB1022" s="1507"/>
      <c r="AC1022" s="1507"/>
      <c r="AD1022" s="1507"/>
      <c r="AE1022" s="1508"/>
      <c r="AF1022" s="1512"/>
      <c r="AG1022" s="1513"/>
      <c r="AH1022" s="1513"/>
      <c r="AI1022" s="1514"/>
      <c r="AJ1022" s="1350"/>
      <c r="AK1022" s="1351"/>
      <c r="AL1022" s="1351"/>
      <c r="AM1022" s="1351"/>
      <c r="AN1022" s="1351"/>
      <c r="AO1022" s="1351"/>
      <c r="AP1022" s="1351"/>
      <c r="AQ1022" s="1352"/>
      <c r="AR1022" s="68"/>
      <c r="AS1022" s="68"/>
      <c r="AT1022" s="68"/>
      <c r="AU1022" s="68"/>
      <c r="AV1022" s="68"/>
      <c r="AW1022" s="68"/>
      <c r="AX1022" s="3">
        <v>10</v>
      </c>
      <c r="AY1022" s="200">
        <f t="shared" si="57"/>
        <v>0</v>
      </c>
      <c r="AZ1022" s="1255">
        <v>0.02</v>
      </c>
    </row>
    <row r="1023" spans="1:52" ht="12.95" customHeight="1">
      <c r="A1023" s="14"/>
      <c r="B1023" s="81"/>
      <c r="C1023" s="84"/>
      <c r="D1023" s="1506"/>
      <c r="E1023" s="1507"/>
      <c r="F1023" s="1507"/>
      <c r="G1023" s="1507"/>
      <c r="H1023" s="1507"/>
      <c r="I1023" s="1507"/>
      <c r="J1023" s="1507"/>
      <c r="K1023" s="1507"/>
      <c r="L1023" s="1507"/>
      <c r="M1023" s="1507"/>
      <c r="N1023" s="1507"/>
      <c r="O1023" s="1507"/>
      <c r="P1023" s="1507"/>
      <c r="Q1023" s="1507"/>
      <c r="R1023" s="1507"/>
      <c r="S1023" s="1507"/>
      <c r="T1023" s="1507"/>
      <c r="U1023" s="1507"/>
      <c r="V1023" s="1507"/>
      <c r="W1023" s="1507"/>
      <c r="X1023" s="1507"/>
      <c r="Y1023" s="1507"/>
      <c r="Z1023" s="1507"/>
      <c r="AA1023" s="1507"/>
      <c r="AB1023" s="1507"/>
      <c r="AC1023" s="1507"/>
      <c r="AD1023" s="1507"/>
      <c r="AE1023" s="1508"/>
      <c r="AF1023" s="1561"/>
      <c r="AG1023" s="1561"/>
      <c r="AH1023" s="1561"/>
      <c r="AI1023" s="1561"/>
      <c r="AJ1023" s="1350"/>
      <c r="AK1023" s="1351"/>
      <c r="AL1023" s="1351"/>
      <c r="AM1023" s="1351"/>
      <c r="AN1023" s="1351"/>
      <c r="AO1023" s="1351"/>
      <c r="AP1023" s="1351"/>
      <c r="AQ1023" s="1352"/>
      <c r="AR1023" s="68"/>
      <c r="AS1023" s="68"/>
      <c r="AT1023" s="68"/>
      <c r="AU1023" s="68"/>
      <c r="AV1023" s="68"/>
      <c r="AW1023" s="68"/>
      <c r="AX1023" s="3">
        <v>11</v>
      </c>
      <c r="AY1023" s="200">
        <f t="shared" si="57"/>
        <v>0</v>
      </c>
      <c r="AZ1023" s="1255">
        <v>0.02</v>
      </c>
    </row>
    <row r="1024" spans="1:52" ht="12.95" customHeight="1">
      <c r="A1024" s="14"/>
      <c r="B1024" s="81"/>
      <c r="C1024" s="84"/>
      <c r="D1024" s="526" t="s">
        <v>359</v>
      </c>
      <c r="E1024" s="90"/>
      <c r="F1024" s="90"/>
      <c r="G1024" s="104"/>
      <c r="H1024" s="104"/>
      <c r="I1024" s="49"/>
      <c r="J1024" s="1484" t="s">
        <v>591</v>
      </c>
      <c r="K1024" s="1485"/>
      <c r="L1024" s="1485"/>
      <c r="M1024" s="1485"/>
      <c r="N1024" s="1485"/>
      <c r="O1024" s="1485"/>
      <c r="P1024" s="1485"/>
      <c r="Q1024" s="1485"/>
      <c r="R1024" s="1485"/>
      <c r="S1024" s="1485"/>
      <c r="T1024" s="1485"/>
      <c r="U1024" s="1485"/>
      <c r="V1024" s="1485"/>
      <c r="W1024" s="1485"/>
      <c r="X1024" s="1485"/>
      <c r="Y1024" s="1485"/>
      <c r="Z1024" s="1485"/>
      <c r="AA1024" s="1485"/>
      <c r="AB1024" s="1485"/>
      <c r="AC1024" s="1485"/>
      <c r="AD1024" s="1485"/>
      <c r="AE1024" s="1486"/>
      <c r="AF1024" s="1561"/>
      <c r="AG1024" s="1561"/>
      <c r="AH1024" s="1561"/>
      <c r="AI1024" s="1561"/>
      <c r="AJ1024" s="1353"/>
      <c r="AK1024" s="1354"/>
      <c r="AL1024" s="1354"/>
      <c r="AM1024" s="1354"/>
      <c r="AN1024" s="1354"/>
      <c r="AO1024" s="1354"/>
      <c r="AP1024" s="1354"/>
      <c r="AQ1024" s="1355"/>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493" t="s">
        <v>1294</v>
      </c>
      <c r="E1025" s="1494"/>
      <c r="F1025" s="1494"/>
      <c r="G1025" s="1494"/>
      <c r="H1025" s="1494"/>
      <c r="I1025" s="1494"/>
      <c r="J1025" s="1494"/>
      <c r="K1025" s="1494"/>
      <c r="L1025" s="1494"/>
      <c r="M1025" s="1494"/>
      <c r="N1025" s="1494"/>
      <c r="O1025" s="1494"/>
      <c r="P1025" s="1494"/>
      <c r="Q1025" s="1494"/>
      <c r="R1025" s="1494"/>
      <c r="S1025" s="1494"/>
      <c r="T1025" s="1494"/>
      <c r="U1025" s="1494"/>
      <c r="V1025" s="1494"/>
      <c r="W1025" s="1494"/>
      <c r="X1025" s="1494"/>
      <c r="Y1025" s="1494"/>
      <c r="Z1025" s="1494"/>
      <c r="AA1025" s="1494"/>
      <c r="AB1025" s="1494"/>
      <c r="AC1025" s="1494"/>
      <c r="AD1025" s="1494"/>
      <c r="AE1025" s="1495"/>
      <c r="AF1025" s="79"/>
      <c r="AG1025" s="1501" t="s">
        <v>545</v>
      </c>
      <c r="AH1025" s="1502"/>
      <c r="AI1025" s="87"/>
      <c r="AJ1025" s="1347">
        <f>ROUND(IF(AG1025="Yes",AF1027,0),0)</f>
        <v>4342187</v>
      </c>
      <c r="AK1025" s="1348"/>
      <c r="AL1025" s="1348"/>
      <c r="AM1025" s="1348"/>
      <c r="AN1025" s="1348"/>
      <c r="AO1025" s="1348"/>
      <c r="AP1025" s="1348"/>
      <c r="AQ1025" s="1349"/>
      <c r="AR1025" s="68"/>
      <c r="AS1025" s="68"/>
      <c r="AT1025" s="68"/>
      <c r="AU1025" s="68"/>
      <c r="AV1025" s="68"/>
      <c r="AW1025" s="68"/>
      <c r="AX1025" s="68"/>
      <c r="AY1025" s="68"/>
    </row>
    <row r="1026" spans="1:57" ht="12.95" customHeight="1">
      <c r="A1026" s="14"/>
      <c r="B1026" s="73"/>
      <c r="C1026" s="74"/>
      <c r="D1026" s="1506" t="s">
        <v>1690</v>
      </c>
      <c r="E1026" s="1507"/>
      <c r="F1026" s="1507"/>
      <c r="G1026" s="1507"/>
      <c r="H1026" s="1507"/>
      <c r="I1026" s="1507"/>
      <c r="J1026" s="1507"/>
      <c r="K1026" s="1507"/>
      <c r="L1026" s="1507"/>
      <c r="M1026" s="1507"/>
      <c r="N1026" s="1507"/>
      <c r="O1026" s="1507"/>
      <c r="P1026" s="1507"/>
      <c r="Q1026" s="1507"/>
      <c r="R1026" s="1507"/>
      <c r="S1026" s="1507"/>
      <c r="T1026" s="1507"/>
      <c r="U1026" s="1507"/>
      <c r="V1026" s="1507"/>
      <c r="W1026" s="1507"/>
      <c r="X1026" s="1507"/>
      <c r="Y1026" s="1507"/>
      <c r="Z1026" s="1507"/>
      <c r="AA1026" s="1507"/>
      <c r="AB1026" s="1507"/>
      <c r="AC1026" s="1507"/>
      <c r="AD1026" s="1507"/>
      <c r="AE1026" s="1508"/>
      <c r="AF1026" s="1529" t="str">
        <f>IF(AG1025="yes","Enter Amount:","")</f>
        <v>Enter Amount:</v>
      </c>
      <c r="AG1026" s="1530"/>
      <c r="AH1026" s="1530"/>
      <c r="AI1026" s="1531"/>
      <c r="AJ1026" s="1350"/>
      <c r="AK1026" s="1351"/>
      <c r="AL1026" s="1351"/>
      <c r="AM1026" s="1351"/>
      <c r="AN1026" s="1351"/>
      <c r="AO1026" s="1351"/>
      <c r="AP1026" s="1351"/>
      <c r="AQ1026" s="1352"/>
      <c r="AR1026" s="68"/>
      <c r="AS1026" s="68"/>
      <c r="AT1026" s="68"/>
      <c r="AU1026" s="68"/>
      <c r="AV1026" s="68"/>
      <c r="AW1026" s="68"/>
      <c r="AX1026" s="68"/>
      <c r="AY1026" s="68"/>
    </row>
    <row r="1027" spans="1:57" ht="12.95" customHeight="1">
      <c r="A1027" s="14"/>
      <c r="B1027" s="73"/>
      <c r="C1027" s="74"/>
      <c r="D1027" s="1506"/>
      <c r="E1027" s="1507"/>
      <c r="F1027" s="1507"/>
      <c r="G1027" s="1507"/>
      <c r="H1027" s="1507"/>
      <c r="I1027" s="1507"/>
      <c r="J1027" s="1507"/>
      <c r="K1027" s="1507"/>
      <c r="L1027" s="1507"/>
      <c r="M1027" s="1507"/>
      <c r="N1027" s="1507"/>
      <c r="O1027" s="1507"/>
      <c r="P1027" s="1507"/>
      <c r="Q1027" s="1507"/>
      <c r="R1027" s="1507"/>
      <c r="S1027" s="1507"/>
      <c r="T1027" s="1507"/>
      <c r="U1027" s="1507"/>
      <c r="V1027" s="1507"/>
      <c r="W1027" s="1507"/>
      <c r="X1027" s="1507"/>
      <c r="Y1027" s="1507"/>
      <c r="Z1027" s="1507"/>
      <c r="AA1027" s="1507"/>
      <c r="AB1027" s="1507"/>
      <c r="AC1027" s="1507"/>
      <c r="AD1027" s="1507"/>
      <c r="AE1027" s="1508"/>
      <c r="AF1027" s="1561">
        <v>4342187</v>
      </c>
      <c r="AG1027" s="1561"/>
      <c r="AH1027" s="1561"/>
      <c r="AI1027" s="1561"/>
      <c r="AJ1027" s="1350"/>
      <c r="AK1027" s="1351"/>
      <c r="AL1027" s="1351"/>
      <c r="AM1027" s="1351"/>
      <c r="AN1027" s="1351"/>
      <c r="AO1027" s="1351"/>
      <c r="AP1027" s="1351"/>
      <c r="AQ1027" s="1352"/>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09"/>
      <c r="E1028" s="1510"/>
      <c r="F1028" s="1510"/>
      <c r="G1028" s="1510"/>
      <c r="H1028" s="1510"/>
      <c r="I1028" s="1510"/>
      <c r="J1028" s="1510"/>
      <c r="K1028" s="1510"/>
      <c r="L1028" s="1510"/>
      <c r="M1028" s="1510"/>
      <c r="N1028" s="1510"/>
      <c r="O1028" s="1510"/>
      <c r="P1028" s="1510"/>
      <c r="Q1028" s="1510"/>
      <c r="R1028" s="1510"/>
      <c r="S1028" s="1510"/>
      <c r="T1028" s="1510"/>
      <c r="U1028" s="1510"/>
      <c r="V1028" s="1510"/>
      <c r="W1028" s="1510"/>
      <c r="X1028" s="1510"/>
      <c r="Y1028" s="1510"/>
      <c r="Z1028" s="1510"/>
      <c r="AA1028" s="1510"/>
      <c r="AB1028" s="1510"/>
      <c r="AC1028" s="1510"/>
      <c r="AD1028" s="1510"/>
      <c r="AE1028" s="1511"/>
      <c r="AF1028" s="1561"/>
      <c r="AG1028" s="1561"/>
      <c r="AH1028" s="1561"/>
      <c r="AI1028" s="1561"/>
      <c r="AJ1028" s="1353"/>
      <c r="AK1028" s="1354"/>
      <c r="AL1028" s="1354"/>
      <c r="AM1028" s="1354"/>
      <c r="AN1028" s="1354"/>
      <c r="AO1028" s="1354"/>
      <c r="AP1028" s="1354"/>
      <c r="AQ1028" s="1355"/>
      <c r="AR1028" s="68"/>
      <c r="AS1028" s="68"/>
      <c r="AT1028" s="68"/>
      <c r="AU1028" s="68"/>
      <c r="AV1028" s="68"/>
      <c r="AW1028" s="68"/>
      <c r="AX1028" s="68"/>
      <c r="AY1028" s="68"/>
    </row>
    <row r="1029" spans="1:57" ht="12.95" customHeight="1">
      <c r="A1029" s="14"/>
      <c r="B1029" s="79"/>
      <c r="C1029" s="80" t="s">
        <v>234</v>
      </c>
      <c r="D1029" s="1503" t="s">
        <v>1295</v>
      </c>
      <c r="E1029" s="1504"/>
      <c r="F1029" s="1504"/>
      <c r="G1029" s="1504"/>
      <c r="H1029" s="1504"/>
      <c r="I1029" s="1504"/>
      <c r="J1029" s="1504"/>
      <c r="K1029" s="1504"/>
      <c r="L1029" s="1504"/>
      <c r="M1029" s="1504"/>
      <c r="N1029" s="1504"/>
      <c r="O1029" s="1504"/>
      <c r="P1029" s="1504"/>
      <c r="Q1029" s="1504"/>
      <c r="R1029" s="1504"/>
      <c r="S1029" s="1504"/>
      <c r="T1029" s="1504"/>
      <c r="U1029" s="1504"/>
      <c r="V1029" s="1504"/>
      <c r="W1029" s="1504"/>
      <c r="X1029" s="1504"/>
      <c r="Y1029" s="1504"/>
      <c r="Z1029" s="1504"/>
      <c r="AA1029" s="1504"/>
      <c r="AB1029" s="1504"/>
      <c r="AC1029" s="1504"/>
      <c r="AD1029" s="1504"/>
      <c r="AE1029" s="1505"/>
      <c r="AF1029" s="79"/>
      <c r="AG1029" s="1501" t="s">
        <v>545</v>
      </c>
      <c r="AH1029" s="1502"/>
      <c r="AI1029" s="87"/>
      <c r="AJ1029" s="1347">
        <f>ROUND(IF(AG1029="yes",(AJ992*0.1),0),0)</f>
        <v>13901788</v>
      </c>
      <c r="AK1029" s="1348"/>
      <c r="AL1029" s="1348"/>
      <c r="AM1029" s="1348"/>
      <c r="AN1029" s="1348"/>
      <c r="AO1029" s="1348"/>
      <c r="AP1029" s="1348"/>
      <c r="AQ1029" s="1349"/>
      <c r="AR1029" s="68"/>
      <c r="AS1029" s="68"/>
      <c r="AT1029" s="68"/>
      <c r="AU1029" s="68"/>
      <c r="AV1029" s="68"/>
      <c r="AW1029" s="68"/>
      <c r="AX1029" s="68"/>
      <c r="AY1029" s="68"/>
    </row>
    <row r="1030" spans="1:57" ht="12.95" customHeight="1">
      <c r="A1030" s="14"/>
      <c r="B1030" s="73"/>
      <c r="C1030" s="74"/>
      <c r="D1030" s="1506" t="s">
        <v>1296</v>
      </c>
      <c r="E1030" s="1507"/>
      <c r="F1030" s="1507"/>
      <c r="G1030" s="1507"/>
      <c r="H1030" s="1507"/>
      <c r="I1030" s="1507"/>
      <c r="J1030" s="1507"/>
      <c r="K1030" s="1507"/>
      <c r="L1030" s="1507"/>
      <c r="M1030" s="1507"/>
      <c r="N1030" s="1507"/>
      <c r="O1030" s="1507"/>
      <c r="P1030" s="1507"/>
      <c r="Q1030" s="1507"/>
      <c r="R1030" s="1507"/>
      <c r="S1030" s="1507"/>
      <c r="T1030" s="1507"/>
      <c r="U1030" s="1507"/>
      <c r="V1030" s="1507"/>
      <c r="W1030" s="1507"/>
      <c r="X1030" s="1507"/>
      <c r="Y1030" s="1507"/>
      <c r="Z1030" s="1507"/>
      <c r="AA1030" s="1507"/>
      <c r="AB1030" s="1507"/>
      <c r="AC1030" s="1507"/>
      <c r="AD1030" s="1507"/>
      <c r="AE1030" s="1508"/>
      <c r="AF1030" s="73"/>
      <c r="AG1030" s="14"/>
      <c r="AH1030" s="14"/>
      <c r="AI1030" s="83"/>
      <c r="AJ1030" s="1350"/>
      <c r="AK1030" s="1351"/>
      <c r="AL1030" s="1351"/>
      <c r="AM1030" s="1351"/>
      <c r="AN1030" s="1351"/>
      <c r="AO1030" s="1351"/>
      <c r="AP1030" s="1351"/>
      <c r="AQ1030" s="1352"/>
      <c r="AR1030" s="68"/>
      <c r="AS1030" s="68"/>
      <c r="AT1030" s="68"/>
      <c r="AU1030" s="68"/>
      <c r="AV1030" s="68"/>
      <c r="AW1030" s="68"/>
      <c r="AX1030" s="68"/>
      <c r="AY1030" s="68"/>
    </row>
    <row r="1031" spans="1:57" ht="12.95" customHeight="1">
      <c r="A1031" s="14"/>
      <c r="B1031" s="77"/>
      <c r="C1031" s="74"/>
      <c r="D1031" s="1509"/>
      <c r="E1031" s="1510"/>
      <c r="F1031" s="1510"/>
      <c r="G1031" s="1510"/>
      <c r="H1031" s="1510"/>
      <c r="I1031" s="1510"/>
      <c r="J1031" s="1510"/>
      <c r="K1031" s="1510"/>
      <c r="L1031" s="1510"/>
      <c r="M1031" s="1510"/>
      <c r="N1031" s="1510"/>
      <c r="O1031" s="1510"/>
      <c r="P1031" s="1510"/>
      <c r="Q1031" s="1510"/>
      <c r="R1031" s="1510"/>
      <c r="S1031" s="1510"/>
      <c r="T1031" s="1510"/>
      <c r="U1031" s="1510"/>
      <c r="V1031" s="1510"/>
      <c r="W1031" s="1510"/>
      <c r="X1031" s="1510"/>
      <c r="Y1031" s="1510"/>
      <c r="Z1031" s="1510"/>
      <c r="AA1031" s="1510"/>
      <c r="AB1031" s="1510"/>
      <c r="AC1031" s="1510"/>
      <c r="AD1031" s="1510"/>
      <c r="AE1031" s="1511"/>
      <c r="AF1031" s="73"/>
      <c r="AG1031" s="14"/>
      <c r="AH1031" s="14"/>
      <c r="AI1031" s="83"/>
      <c r="AJ1031" s="1353"/>
      <c r="AK1031" s="1354"/>
      <c r="AL1031" s="1354"/>
      <c r="AM1031" s="1354"/>
      <c r="AN1031" s="1354"/>
      <c r="AO1031" s="1354"/>
      <c r="AP1031" s="1354"/>
      <c r="AQ1031" s="1355"/>
      <c r="AR1031" s="68"/>
      <c r="AS1031" s="68"/>
      <c r="AT1031" s="68"/>
      <c r="AU1031" s="68"/>
      <c r="AV1031" s="68"/>
      <c r="AW1031" s="68"/>
      <c r="AX1031" s="68"/>
      <c r="AY1031" s="68"/>
    </row>
    <row r="1032" spans="1:57" ht="12.95" customHeight="1">
      <c r="A1032" s="14"/>
      <c r="B1032" s="73"/>
      <c r="C1032" s="339" t="s">
        <v>687</v>
      </c>
      <c r="D1032" s="1493" t="s">
        <v>1686</v>
      </c>
      <c r="E1032" s="1494"/>
      <c r="F1032" s="1494"/>
      <c r="G1032" s="1494"/>
      <c r="H1032" s="1494"/>
      <c r="I1032" s="1494"/>
      <c r="J1032" s="1494"/>
      <c r="K1032" s="1494"/>
      <c r="L1032" s="1494"/>
      <c r="M1032" s="1494"/>
      <c r="N1032" s="1494"/>
      <c r="O1032" s="1494"/>
      <c r="P1032" s="1494"/>
      <c r="Q1032" s="1494"/>
      <c r="R1032" s="1494"/>
      <c r="S1032" s="1494"/>
      <c r="T1032" s="1494"/>
      <c r="U1032" s="1494"/>
      <c r="V1032" s="1494"/>
      <c r="W1032" s="1494"/>
      <c r="X1032" s="1494"/>
      <c r="Y1032" s="1494"/>
      <c r="Z1032" s="1494"/>
      <c r="AA1032" s="1494"/>
      <c r="AB1032" s="1494"/>
      <c r="AC1032" s="1494"/>
      <c r="AD1032" s="1494"/>
      <c r="AE1032" s="1495"/>
      <c r="AF1032" s="79"/>
      <c r="AG1032" s="1501" t="s">
        <v>545</v>
      </c>
      <c r="AH1032" s="1502"/>
      <c r="AI1032" s="87"/>
      <c r="AJ1032" s="1347">
        <f>ROUND(IF(AG1032="yes",(AJ992*0.15),0),0)</f>
        <v>20852682</v>
      </c>
      <c r="AK1032" s="1348"/>
      <c r="AL1032" s="1348"/>
      <c r="AM1032" s="1348"/>
      <c r="AN1032" s="1348"/>
      <c r="AO1032" s="1348"/>
      <c r="AP1032" s="1348"/>
      <c r="AQ1032" s="1349"/>
      <c r="AR1032" s="68"/>
      <c r="AS1032" s="68"/>
      <c r="AT1032" s="68"/>
      <c r="AU1032" s="68"/>
      <c r="AV1032" s="68"/>
      <c r="AW1032" s="68"/>
      <c r="AX1032" s="68"/>
      <c r="AY1032" s="68"/>
    </row>
    <row r="1033" spans="1:57" ht="12.95" customHeight="1">
      <c r="A1033" s="14"/>
      <c r="B1033" s="73"/>
      <c r="C1033" s="74"/>
      <c r="D1033" s="1518" t="s">
        <v>1687</v>
      </c>
      <c r="E1033" s="1273"/>
      <c r="F1033" s="1273"/>
      <c r="G1033" s="1273"/>
      <c r="H1033" s="1273"/>
      <c r="I1033" s="1273"/>
      <c r="J1033" s="1273"/>
      <c r="K1033" s="1273"/>
      <c r="L1033" s="1273"/>
      <c r="M1033" s="1273"/>
      <c r="N1033" s="1273"/>
      <c r="O1033" s="1273"/>
      <c r="P1033" s="1273"/>
      <c r="Q1033" s="1273"/>
      <c r="R1033" s="1273"/>
      <c r="S1033" s="1273"/>
      <c r="T1033" s="1273"/>
      <c r="U1033" s="1273"/>
      <c r="V1033" s="1273"/>
      <c r="W1033" s="1273"/>
      <c r="X1033" s="1273"/>
      <c r="Y1033" s="1273"/>
      <c r="Z1033" s="1273"/>
      <c r="AA1033" s="1273"/>
      <c r="AB1033" s="1273"/>
      <c r="AC1033" s="1273"/>
      <c r="AD1033" s="1273"/>
      <c r="AE1033" s="1519"/>
      <c r="AF1033" s="915"/>
      <c r="AG1033" s="916"/>
      <c r="AH1033" s="916"/>
      <c r="AI1033" s="917"/>
      <c r="AJ1033" s="1350"/>
      <c r="AK1033" s="1351"/>
      <c r="AL1033" s="1351"/>
      <c r="AM1033" s="1351"/>
      <c r="AN1033" s="1351"/>
      <c r="AO1033" s="1351"/>
      <c r="AP1033" s="1351"/>
      <c r="AQ1033" s="1352"/>
      <c r="AR1033" s="68"/>
      <c r="AS1033" s="68"/>
      <c r="AT1033" s="68"/>
      <c r="AU1033" s="68"/>
      <c r="AV1033" s="68"/>
      <c r="AW1033" s="68"/>
      <c r="AX1033" s="68"/>
      <c r="AY1033" s="68"/>
    </row>
    <row r="1034" spans="1:57" ht="12.95" customHeight="1">
      <c r="A1034" s="14"/>
      <c r="B1034" s="73"/>
      <c r="C1034" s="74"/>
      <c r="D1034" s="1518"/>
      <c r="E1034" s="1273"/>
      <c r="F1034" s="1273"/>
      <c r="G1034" s="1273"/>
      <c r="H1034" s="1273"/>
      <c r="I1034" s="1273"/>
      <c r="J1034" s="1273"/>
      <c r="K1034" s="1273"/>
      <c r="L1034" s="1273"/>
      <c r="M1034" s="1273"/>
      <c r="N1034" s="1273"/>
      <c r="O1034" s="1273"/>
      <c r="P1034" s="1273"/>
      <c r="Q1034" s="1273"/>
      <c r="R1034" s="1273"/>
      <c r="S1034" s="1273"/>
      <c r="T1034" s="1273"/>
      <c r="U1034" s="1273"/>
      <c r="V1034" s="1273"/>
      <c r="W1034" s="1273"/>
      <c r="X1034" s="1273"/>
      <c r="Y1034" s="1273"/>
      <c r="Z1034" s="1273"/>
      <c r="AA1034" s="1273"/>
      <c r="AB1034" s="1273"/>
      <c r="AC1034" s="1273"/>
      <c r="AD1034" s="1273"/>
      <c r="AE1034" s="1519"/>
      <c r="AF1034" s="915"/>
      <c r="AG1034" s="916"/>
      <c r="AH1034" s="916"/>
      <c r="AI1034" s="917"/>
      <c r="AJ1034" s="1350"/>
      <c r="AK1034" s="1351"/>
      <c r="AL1034" s="1351"/>
      <c r="AM1034" s="1351"/>
      <c r="AN1034" s="1351"/>
      <c r="AO1034" s="1351"/>
      <c r="AP1034" s="1351"/>
      <c r="AQ1034" s="1352"/>
      <c r="AR1034" s="68"/>
      <c r="AS1034" s="68"/>
      <c r="AT1034" s="68"/>
      <c r="AU1034" s="68"/>
      <c r="AV1034" s="68"/>
      <c r="AW1034" s="68"/>
      <c r="AX1034" s="68"/>
      <c r="AY1034" s="68"/>
    </row>
    <row r="1035" spans="1:57" ht="12.95" customHeight="1">
      <c r="A1035" s="14"/>
      <c r="B1035" s="73"/>
      <c r="C1035" s="74"/>
      <c r="D1035" s="1520"/>
      <c r="E1035" s="1521"/>
      <c r="F1035" s="1521"/>
      <c r="G1035" s="1521"/>
      <c r="H1035" s="1521"/>
      <c r="I1035" s="1521"/>
      <c r="J1035" s="1521"/>
      <c r="K1035" s="1521"/>
      <c r="L1035" s="1521"/>
      <c r="M1035" s="1521"/>
      <c r="N1035" s="1521"/>
      <c r="O1035" s="1521"/>
      <c r="P1035" s="1521"/>
      <c r="Q1035" s="1521"/>
      <c r="R1035" s="1521"/>
      <c r="S1035" s="1521"/>
      <c r="T1035" s="1521"/>
      <c r="U1035" s="1521"/>
      <c r="V1035" s="1521"/>
      <c r="W1035" s="1521"/>
      <c r="X1035" s="1521"/>
      <c r="Y1035" s="1521"/>
      <c r="Z1035" s="1521"/>
      <c r="AA1035" s="1521"/>
      <c r="AB1035" s="1521"/>
      <c r="AC1035" s="1521"/>
      <c r="AD1035" s="1521"/>
      <c r="AE1035" s="1522"/>
      <c r="AF1035" s="918"/>
      <c r="AG1035" s="919"/>
      <c r="AH1035" s="919"/>
      <c r="AI1035" s="920"/>
      <c r="AJ1035" s="1353"/>
      <c r="AK1035" s="1354"/>
      <c r="AL1035" s="1354"/>
      <c r="AM1035" s="1354"/>
      <c r="AN1035" s="1354"/>
      <c r="AO1035" s="1354"/>
      <c r="AP1035" s="1354"/>
      <c r="AQ1035" s="1355"/>
      <c r="AR1035" s="68"/>
      <c r="AS1035" s="68"/>
      <c r="AT1035" s="68"/>
      <c r="AU1035" s="68"/>
      <c r="AV1035" s="68"/>
      <c r="AW1035" s="68"/>
      <c r="AX1035" s="68"/>
      <c r="AY1035" s="68"/>
    </row>
    <row r="1036" spans="1:57" ht="12.95" customHeight="1">
      <c r="A1036" s="14"/>
      <c r="B1036" s="73"/>
      <c r="C1036" s="339" t="s">
        <v>687</v>
      </c>
      <c r="D1036" s="1503" t="s">
        <v>1688</v>
      </c>
      <c r="E1036" s="1504"/>
      <c r="F1036" s="1504"/>
      <c r="G1036" s="1504"/>
      <c r="H1036" s="1504"/>
      <c r="I1036" s="1504"/>
      <c r="J1036" s="1504"/>
      <c r="K1036" s="1504"/>
      <c r="L1036" s="1504"/>
      <c r="M1036" s="1504"/>
      <c r="N1036" s="1504"/>
      <c r="O1036" s="1504"/>
      <c r="P1036" s="1504"/>
      <c r="Q1036" s="1504"/>
      <c r="R1036" s="1504"/>
      <c r="S1036" s="1504"/>
      <c r="T1036" s="1504"/>
      <c r="U1036" s="1504"/>
      <c r="V1036" s="1504"/>
      <c r="W1036" s="1504"/>
      <c r="X1036" s="1504"/>
      <c r="Y1036" s="1504"/>
      <c r="Z1036" s="1504"/>
      <c r="AA1036" s="1504"/>
      <c r="AB1036" s="1504"/>
      <c r="AC1036" s="1504"/>
      <c r="AD1036" s="1504"/>
      <c r="AE1036" s="1505"/>
      <c r="AF1036" s="73"/>
      <c r="AG1036" s="1589" t="s">
        <v>669</v>
      </c>
      <c r="AH1036" s="1590"/>
      <c r="AI1036" s="83"/>
      <c r="AJ1036" s="1347">
        <f>ROUND(IF(AND(AG1036="yes",AJ1032=0),(AJ992*0.1),0),0)</f>
        <v>0</v>
      </c>
      <c r="AK1036" s="1348"/>
      <c r="AL1036" s="1348"/>
      <c r="AM1036" s="1348"/>
      <c r="AN1036" s="1348"/>
      <c r="AO1036" s="1348"/>
      <c r="AP1036" s="1348"/>
      <c r="AQ1036" s="1349"/>
      <c r="AR1036" s="68"/>
      <c r="AS1036" s="68"/>
      <c r="AT1036" s="68"/>
      <c r="AU1036" s="68"/>
      <c r="AV1036" s="68"/>
      <c r="AW1036" s="68"/>
      <c r="AX1036" s="68"/>
      <c r="AY1036" s="68"/>
    </row>
    <row r="1037" spans="1:57" ht="12.95" customHeight="1">
      <c r="A1037" s="14"/>
      <c r="B1037" s="73"/>
      <c r="C1037" s="74"/>
      <c r="D1037" s="1518" t="s">
        <v>1689</v>
      </c>
      <c r="E1037" s="1273"/>
      <c r="F1037" s="1273"/>
      <c r="G1037" s="1273"/>
      <c r="H1037" s="1273"/>
      <c r="I1037" s="1273"/>
      <c r="J1037" s="1273"/>
      <c r="K1037" s="1273"/>
      <c r="L1037" s="1273"/>
      <c r="M1037" s="1273"/>
      <c r="N1037" s="1273"/>
      <c r="O1037" s="1273"/>
      <c r="P1037" s="1273"/>
      <c r="Q1037" s="1273"/>
      <c r="R1037" s="1273"/>
      <c r="S1037" s="1273"/>
      <c r="T1037" s="1273"/>
      <c r="U1037" s="1273"/>
      <c r="V1037" s="1273"/>
      <c r="W1037" s="1273"/>
      <c r="X1037" s="1273"/>
      <c r="Y1037" s="1273"/>
      <c r="Z1037" s="1273"/>
      <c r="AA1037" s="1273"/>
      <c r="AB1037" s="1273"/>
      <c r="AC1037" s="1273"/>
      <c r="AD1037" s="1273"/>
      <c r="AE1037" s="1519"/>
      <c r="AF1037" s="73"/>
      <c r="AG1037" s="14"/>
      <c r="AH1037" s="14"/>
      <c r="AI1037" s="83"/>
      <c r="AJ1037" s="1350"/>
      <c r="AK1037" s="1351"/>
      <c r="AL1037" s="1351"/>
      <c r="AM1037" s="1351"/>
      <c r="AN1037" s="1351"/>
      <c r="AO1037" s="1351"/>
      <c r="AP1037" s="1351"/>
      <c r="AQ1037" s="1352"/>
      <c r="AR1037" s="68"/>
      <c r="AS1037" s="68"/>
      <c r="AT1037" s="68"/>
      <c r="AU1037" s="68"/>
      <c r="AV1037" s="68"/>
      <c r="AW1037" s="68"/>
      <c r="AX1037" s="68"/>
      <c r="AY1037" s="68"/>
    </row>
    <row r="1038" spans="1:57" ht="12.95" customHeight="1">
      <c r="A1038" s="14"/>
      <c r="B1038" s="73"/>
      <c r="C1038" s="74"/>
      <c r="D1038" s="1518"/>
      <c r="E1038" s="1273"/>
      <c r="F1038" s="1273"/>
      <c r="G1038" s="1273"/>
      <c r="H1038" s="1273"/>
      <c r="I1038" s="1273"/>
      <c r="J1038" s="1273"/>
      <c r="K1038" s="1273"/>
      <c r="L1038" s="1273"/>
      <c r="M1038" s="1273"/>
      <c r="N1038" s="1273"/>
      <c r="O1038" s="1273"/>
      <c r="P1038" s="1273"/>
      <c r="Q1038" s="1273"/>
      <c r="R1038" s="1273"/>
      <c r="S1038" s="1273"/>
      <c r="T1038" s="1273"/>
      <c r="U1038" s="1273"/>
      <c r="V1038" s="1273"/>
      <c r="W1038" s="1273"/>
      <c r="X1038" s="1273"/>
      <c r="Y1038" s="1273"/>
      <c r="Z1038" s="1273"/>
      <c r="AA1038" s="1273"/>
      <c r="AB1038" s="1273"/>
      <c r="AC1038" s="1273"/>
      <c r="AD1038" s="1273"/>
      <c r="AE1038" s="1519"/>
      <c r="AF1038" s="73"/>
      <c r="AG1038" s="14"/>
      <c r="AH1038" s="14"/>
      <c r="AI1038" s="83"/>
      <c r="AJ1038" s="1350"/>
      <c r="AK1038" s="1351"/>
      <c r="AL1038" s="1351"/>
      <c r="AM1038" s="1351"/>
      <c r="AN1038" s="1351"/>
      <c r="AO1038" s="1351"/>
      <c r="AP1038" s="1351"/>
      <c r="AQ1038" s="1352"/>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518"/>
      <c r="E1039" s="1273"/>
      <c r="F1039" s="1273"/>
      <c r="G1039" s="1273"/>
      <c r="H1039" s="1273"/>
      <c r="I1039" s="1273"/>
      <c r="J1039" s="1273"/>
      <c r="K1039" s="1273"/>
      <c r="L1039" s="1273"/>
      <c r="M1039" s="1273"/>
      <c r="N1039" s="1273"/>
      <c r="O1039" s="1273"/>
      <c r="P1039" s="1273"/>
      <c r="Q1039" s="1273"/>
      <c r="R1039" s="1273"/>
      <c r="S1039" s="1273"/>
      <c r="T1039" s="1273"/>
      <c r="U1039" s="1273"/>
      <c r="V1039" s="1273"/>
      <c r="W1039" s="1273"/>
      <c r="X1039" s="1273"/>
      <c r="Y1039" s="1273"/>
      <c r="Z1039" s="1273"/>
      <c r="AA1039" s="1273"/>
      <c r="AB1039" s="1273"/>
      <c r="AC1039" s="1273"/>
      <c r="AD1039" s="1273"/>
      <c r="AE1039" s="1519"/>
      <c r="AF1039" s="73"/>
      <c r="AG1039" s="14"/>
      <c r="AH1039" s="14"/>
      <c r="AI1039" s="83"/>
      <c r="AJ1039" s="1350"/>
      <c r="AK1039" s="1351"/>
      <c r="AL1039" s="1351"/>
      <c r="AM1039" s="1351"/>
      <c r="AN1039" s="1351"/>
      <c r="AO1039" s="1351"/>
      <c r="AP1039" s="1351"/>
      <c r="AQ1039" s="1352"/>
      <c r="AR1039" s="68"/>
      <c r="AS1039" s="68"/>
      <c r="AT1039" s="68"/>
      <c r="AU1039" s="68"/>
      <c r="AV1039" s="68"/>
      <c r="AW1039" s="68"/>
      <c r="AX1039" s="68"/>
      <c r="AY1039" s="68"/>
      <c r="BA1039">
        <f>IFERROR((($CI$753+$CM$753)/$AG$440),0)</f>
        <v>0.73575129533678751</v>
      </c>
      <c r="BB1039" s="3" t="s">
        <v>2494</v>
      </c>
    </row>
    <row r="1040" spans="1:57" ht="12.95" customHeight="1">
      <c r="A1040" s="14"/>
      <c r="B1040" s="73"/>
      <c r="C1040" s="74"/>
      <c r="D1040" s="1520"/>
      <c r="E1040" s="1521"/>
      <c r="F1040" s="1521"/>
      <c r="G1040" s="1521"/>
      <c r="H1040" s="1521"/>
      <c r="I1040" s="1521"/>
      <c r="J1040" s="1521"/>
      <c r="K1040" s="1521"/>
      <c r="L1040" s="1521"/>
      <c r="M1040" s="1521"/>
      <c r="N1040" s="1521"/>
      <c r="O1040" s="1521"/>
      <c r="P1040" s="1521"/>
      <c r="Q1040" s="1521"/>
      <c r="R1040" s="1521"/>
      <c r="S1040" s="1521"/>
      <c r="T1040" s="1521"/>
      <c r="U1040" s="1521"/>
      <c r="V1040" s="1521"/>
      <c r="W1040" s="1521"/>
      <c r="X1040" s="1521"/>
      <c r="Y1040" s="1521"/>
      <c r="Z1040" s="1521"/>
      <c r="AA1040" s="1521"/>
      <c r="AB1040" s="1521"/>
      <c r="AC1040" s="1521"/>
      <c r="AD1040" s="1521"/>
      <c r="AE1040" s="1522"/>
      <c r="AF1040" s="73"/>
      <c r="AG1040" s="14"/>
      <c r="AH1040" s="14"/>
      <c r="AI1040" s="83"/>
      <c r="AJ1040" s="1350"/>
      <c r="AK1040" s="1351"/>
      <c r="AL1040" s="1351"/>
      <c r="AM1040" s="1351"/>
      <c r="AN1040" s="1351"/>
      <c r="AO1040" s="1351"/>
      <c r="AP1040" s="1351"/>
      <c r="AQ1040" s="1352"/>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493" t="s">
        <v>1297</v>
      </c>
      <c r="E1041" s="1494"/>
      <c r="F1041" s="1494"/>
      <c r="G1041" s="1494"/>
      <c r="H1041" s="1494"/>
      <c r="I1041" s="1494"/>
      <c r="J1041" s="1494"/>
      <c r="K1041" s="1494"/>
      <c r="L1041" s="1494"/>
      <c r="M1041" s="1494"/>
      <c r="N1041" s="1494"/>
      <c r="O1041" s="1494"/>
      <c r="P1041" s="1494"/>
      <c r="Q1041" s="1494"/>
      <c r="R1041" s="1494"/>
      <c r="S1041" s="1494"/>
      <c r="T1041" s="1494"/>
      <c r="U1041" s="1494"/>
      <c r="V1041" s="1494"/>
      <c r="W1041" s="1494"/>
      <c r="X1041" s="1494"/>
      <c r="Y1041" s="1494"/>
      <c r="Z1041" s="1494"/>
      <c r="AA1041" s="1494"/>
      <c r="AB1041" s="1494"/>
      <c r="AC1041" s="1494"/>
      <c r="AD1041" s="1494"/>
      <c r="AE1041" s="1495"/>
      <c r="AF1041" s="79"/>
      <c r="AG1041" s="1501" t="s">
        <v>669</v>
      </c>
      <c r="AH1041" s="1502"/>
      <c r="AI1041" s="87"/>
      <c r="AJ1041" s="1347">
        <f>ROUND(IF(AG1041="yes",(AJ992*0.1),0),0)</f>
        <v>0</v>
      </c>
      <c r="AK1041" s="1348"/>
      <c r="AL1041" s="1348"/>
      <c r="AM1041" s="1348"/>
      <c r="AN1041" s="1348"/>
      <c r="AO1041" s="1348"/>
      <c r="AP1041" s="1348"/>
      <c r="AQ1041" s="1349"/>
      <c r="AR1041" s="68"/>
      <c r="AS1041" s="68"/>
      <c r="AT1041" s="68"/>
      <c r="AU1041" s="68"/>
      <c r="AV1041" s="68"/>
      <c r="AW1041" s="68"/>
      <c r="AX1041" s="68"/>
      <c r="AY1041" s="68"/>
      <c r="BA1041">
        <f>Q212</f>
        <v>49</v>
      </c>
      <c r="BB1041" s="3" t="s">
        <v>2492</v>
      </c>
    </row>
    <row r="1042" spans="1:56" ht="12.95" customHeight="1">
      <c r="A1042" s="14"/>
      <c r="B1042" s="73"/>
      <c r="C1042" s="74"/>
      <c r="D1042" s="1506" t="s">
        <v>2145</v>
      </c>
      <c r="E1042" s="1507"/>
      <c r="F1042" s="1507"/>
      <c r="G1042" s="1507"/>
      <c r="H1042" s="1507"/>
      <c r="I1042" s="1507"/>
      <c r="J1042" s="1507"/>
      <c r="K1042" s="1507"/>
      <c r="L1042" s="1507"/>
      <c r="M1042" s="1507"/>
      <c r="N1042" s="1507"/>
      <c r="O1042" s="1507"/>
      <c r="P1042" s="1507"/>
      <c r="Q1042" s="1507"/>
      <c r="R1042" s="1507"/>
      <c r="S1042" s="1507"/>
      <c r="T1042" s="1507"/>
      <c r="U1042" s="1507"/>
      <c r="V1042" s="1507"/>
      <c r="W1042" s="1507"/>
      <c r="X1042" s="1507"/>
      <c r="Y1042" s="1507"/>
      <c r="Z1042" s="1507"/>
      <c r="AA1042" s="1507"/>
      <c r="AB1042" s="1507"/>
      <c r="AC1042" s="1507"/>
      <c r="AD1042" s="1507"/>
      <c r="AE1042" s="1508"/>
      <c r="AF1042" s="73"/>
      <c r="AG1042" s="14"/>
      <c r="AH1042" s="14"/>
      <c r="AI1042" s="83"/>
      <c r="AJ1042" s="1350"/>
      <c r="AK1042" s="1351"/>
      <c r="AL1042" s="1351"/>
      <c r="AM1042" s="1351"/>
      <c r="AN1042" s="1351"/>
      <c r="AO1042" s="1351"/>
      <c r="AP1042" s="1351"/>
      <c r="AQ1042" s="1352"/>
      <c r="AR1042" s="68"/>
      <c r="AS1042" s="68"/>
      <c r="AT1042" s="68"/>
      <c r="AU1042" s="68"/>
      <c r="AV1042" s="68"/>
      <c r="AW1042" s="68"/>
      <c r="AX1042" s="68"/>
      <c r="AY1042" s="68"/>
      <c r="BA1042" s="1184">
        <f>T212</f>
        <v>0.25388601036269431</v>
      </c>
      <c r="BB1042" s="3" t="s">
        <v>2493</v>
      </c>
    </row>
    <row r="1043" spans="1:56" ht="12.95" customHeight="1">
      <c r="A1043" s="14"/>
      <c r="B1043" s="73"/>
      <c r="C1043" s="74"/>
      <c r="D1043" s="1506"/>
      <c r="E1043" s="1507"/>
      <c r="F1043" s="1507"/>
      <c r="G1043" s="1507"/>
      <c r="H1043" s="1507"/>
      <c r="I1043" s="1507"/>
      <c r="J1043" s="1507"/>
      <c r="K1043" s="1507"/>
      <c r="L1043" s="1507"/>
      <c r="M1043" s="1507"/>
      <c r="N1043" s="1507"/>
      <c r="O1043" s="1507"/>
      <c r="P1043" s="1507"/>
      <c r="Q1043" s="1507"/>
      <c r="R1043" s="1507"/>
      <c r="S1043" s="1507"/>
      <c r="T1043" s="1507"/>
      <c r="U1043" s="1507"/>
      <c r="V1043" s="1507"/>
      <c r="W1043" s="1507"/>
      <c r="X1043" s="1507"/>
      <c r="Y1043" s="1507"/>
      <c r="Z1043" s="1507"/>
      <c r="AA1043" s="1507"/>
      <c r="AB1043" s="1507"/>
      <c r="AC1043" s="1507"/>
      <c r="AD1043" s="1507"/>
      <c r="AE1043" s="1508"/>
      <c r="AF1043" s="73"/>
      <c r="AG1043" s="14"/>
      <c r="AH1043" s="14"/>
      <c r="AI1043" s="83"/>
      <c r="AJ1043" s="1350"/>
      <c r="AK1043" s="1351"/>
      <c r="AL1043" s="1351"/>
      <c r="AM1043" s="1351"/>
      <c r="AN1043" s="1351"/>
      <c r="AO1043" s="1351"/>
      <c r="AP1043" s="1351"/>
      <c r="AQ1043" s="1352"/>
      <c r="AR1043" s="68"/>
      <c r="AS1043" s="68"/>
      <c r="AT1043" s="68"/>
      <c r="AU1043" s="68"/>
      <c r="AV1043" s="68"/>
      <c r="AW1043" s="68"/>
      <c r="AX1043" s="68"/>
      <c r="AY1043" s="68"/>
    </row>
    <row r="1044" spans="1:56" ht="12.95" customHeight="1">
      <c r="A1044" s="14"/>
      <c r="B1044" s="73"/>
      <c r="C1044" s="74"/>
      <c r="D1044" s="1509"/>
      <c r="E1044" s="1510"/>
      <c r="F1044" s="1510"/>
      <c r="G1044" s="1510"/>
      <c r="H1044" s="1510"/>
      <c r="I1044" s="1510"/>
      <c r="J1044" s="1510"/>
      <c r="K1044" s="1510"/>
      <c r="L1044" s="1510"/>
      <c r="M1044" s="1510"/>
      <c r="N1044" s="1510"/>
      <c r="O1044" s="1510"/>
      <c r="P1044" s="1510"/>
      <c r="Q1044" s="1510"/>
      <c r="R1044" s="1510"/>
      <c r="S1044" s="1510"/>
      <c r="T1044" s="1510"/>
      <c r="U1044" s="1510"/>
      <c r="V1044" s="1510"/>
      <c r="W1044" s="1510"/>
      <c r="X1044" s="1510"/>
      <c r="Y1044" s="1510"/>
      <c r="Z1044" s="1510"/>
      <c r="AA1044" s="1510"/>
      <c r="AB1044" s="1510"/>
      <c r="AC1044" s="1510"/>
      <c r="AD1044" s="1510"/>
      <c r="AE1044" s="1511"/>
      <c r="AF1044" s="73"/>
      <c r="AG1044" s="14"/>
      <c r="AH1044" s="14"/>
      <c r="AI1044" s="83"/>
      <c r="AJ1044" s="1353"/>
      <c r="AK1044" s="1354"/>
      <c r="AL1044" s="1354"/>
      <c r="AM1044" s="1354"/>
      <c r="AN1044" s="1354"/>
      <c r="AO1044" s="1354"/>
      <c r="AP1044" s="1354"/>
      <c r="AQ1044" s="1355"/>
      <c r="AR1044" s="68"/>
      <c r="AS1044" s="68"/>
      <c r="AT1044" s="68"/>
      <c r="AU1044" s="68"/>
      <c r="AV1044" s="68"/>
      <c r="AW1044" s="68"/>
      <c r="AX1044" s="68"/>
      <c r="AY1044" s="68"/>
    </row>
    <row r="1045" spans="1:56" ht="12.95" customHeight="1">
      <c r="A1045" s="14"/>
      <c r="B1045" s="79"/>
      <c r="C1045" s="131" t="s">
        <v>1684</v>
      </c>
      <c r="D1045" s="1503" t="s">
        <v>1865</v>
      </c>
      <c r="E1045" s="1504"/>
      <c r="F1045" s="1504"/>
      <c r="G1045" s="1504"/>
      <c r="H1045" s="1504"/>
      <c r="I1045" s="1504"/>
      <c r="J1045" s="1504"/>
      <c r="K1045" s="1504"/>
      <c r="L1045" s="1504"/>
      <c r="M1045" s="1504"/>
      <c r="N1045" s="1504"/>
      <c r="O1045" s="1504"/>
      <c r="P1045" s="1504"/>
      <c r="Q1045" s="1504"/>
      <c r="R1045" s="1504"/>
      <c r="S1045" s="1504"/>
      <c r="T1045" s="1504"/>
      <c r="U1045" s="1504"/>
      <c r="V1045" s="1504"/>
      <c r="W1045" s="1504"/>
      <c r="X1045" s="1504"/>
      <c r="Y1045" s="1504"/>
      <c r="Z1045" s="1504"/>
      <c r="AA1045" s="1504"/>
      <c r="AB1045" s="1504"/>
      <c r="AC1045" s="1504"/>
      <c r="AD1045" s="1504"/>
      <c r="AE1045" s="1505"/>
      <c r="AF1045" s="79"/>
      <c r="AG1045" s="1581" t="str">
        <f>IF(X1048&gt;0,"Yes","No")</f>
        <v>Yes</v>
      </c>
      <c r="AH1045" s="1582"/>
      <c r="AI1045" s="87"/>
      <c r="AJ1045" s="1347">
        <f>IF((X1048=0),0,AY1005*AJ992)</f>
        <v>65338403.599999994</v>
      </c>
      <c r="AK1045" s="1348"/>
      <c r="AL1045" s="1348"/>
      <c r="AM1045" s="1348"/>
      <c r="AN1045" s="1348"/>
      <c r="AO1045" s="1348"/>
      <c r="AP1045" s="1348"/>
      <c r="AQ1045" s="1349"/>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506" t="s">
        <v>1299</v>
      </c>
      <c r="E1046" s="1507"/>
      <c r="F1046" s="1507"/>
      <c r="G1046" s="1507"/>
      <c r="H1046" s="1507"/>
      <c r="I1046" s="1507"/>
      <c r="J1046" s="1507"/>
      <c r="K1046" s="1507"/>
      <c r="L1046" s="1507"/>
      <c r="M1046" s="1507"/>
      <c r="N1046" s="1507"/>
      <c r="O1046" s="1507"/>
      <c r="P1046" s="1507"/>
      <c r="Q1046" s="1507"/>
      <c r="R1046" s="1507"/>
      <c r="S1046" s="1507"/>
      <c r="T1046" s="1507"/>
      <c r="U1046" s="1507"/>
      <c r="V1046" s="1507"/>
      <c r="W1046" s="1507"/>
      <c r="X1046" s="1507"/>
      <c r="Y1046" s="1507"/>
      <c r="Z1046" s="1507"/>
      <c r="AA1046" s="1507"/>
      <c r="AB1046" s="1507"/>
      <c r="AC1046" s="1507"/>
      <c r="AD1046" s="1507"/>
      <c r="AE1046" s="1508"/>
      <c r="AF1046" s="73"/>
      <c r="AG1046" s="443"/>
      <c r="AH1046" s="443"/>
      <c r="AI1046" s="83"/>
      <c r="AJ1046" s="1350"/>
      <c r="AK1046" s="1351"/>
      <c r="AL1046" s="1351"/>
      <c r="AM1046" s="1351"/>
      <c r="AN1046" s="1351"/>
      <c r="AO1046" s="1351"/>
      <c r="AP1046" s="1351"/>
      <c r="AQ1046" s="1352"/>
      <c r="AR1046" s="68"/>
      <c r="AS1046" s="68"/>
      <c r="AT1046" s="68"/>
      <c r="AU1046" s="13"/>
      <c r="AV1046" s="68"/>
      <c r="AW1046" s="68"/>
      <c r="AX1046" s="68"/>
      <c r="AY1046" s="68"/>
      <c r="AZ1046" s="962">
        <f>'Sources and Uses Budget'!S97*BA1046</f>
        <v>19874659.949999999</v>
      </c>
      <c r="BA1046" s="1182">
        <f>IF(BA1040,20%,15%)</f>
        <v>0.15</v>
      </c>
      <c r="BB1046" s="3" t="s">
        <v>2480</v>
      </c>
      <c r="BC1046" s="3" t="s">
        <v>2481</v>
      </c>
      <c r="BD1046" s="3"/>
    </row>
    <row r="1047" spans="1:56" ht="12.95" customHeight="1">
      <c r="A1047" s="14"/>
      <c r="B1047" s="73"/>
      <c r="C1047" s="442"/>
      <c r="D1047" s="1506"/>
      <c r="E1047" s="1507"/>
      <c r="F1047" s="1507"/>
      <c r="G1047" s="1507"/>
      <c r="H1047" s="1507"/>
      <c r="I1047" s="1507"/>
      <c r="J1047" s="1507"/>
      <c r="K1047" s="1507"/>
      <c r="L1047" s="1507"/>
      <c r="M1047" s="1507"/>
      <c r="N1047" s="1507"/>
      <c r="O1047" s="1507"/>
      <c r="P1047" s="1507"/>
      <c r="Q1047" s="1507"/>
      <c r="R1047" s="1507"/>
      <c r="S1047" s="1507"/>
      <c r="T1047" s="1507"/>
      <c r="U1047" s="1507"/>
      <c r="V1047" s="1507"/>
      <c r="W1047" s="1507"/>
      <c r="X1047" s="1507"/>
      <c r="Y1047" s="1507"/>
      <c r="Z1047" s="1507"/>
      <c r="AA1047" s="1507"/>
      <c r="AB1047" s="1507"/>
      <c r="AC1047" s="1507"/>
      <c r="AD1047" s="1507"/>
      <c r="AE1047" s="1508"/>
      <c r="AF1047" s="73"/>
      <c r="AG1047" s="443"/>
      <c r="AH1047" s="443"/>
      <c r="AI1047" s="83"/>
      <c r="AJ1047" s="1350"/>
      <c r="AK1047" s="1351"/>
      <c r="AL1047" s="1351"/>
      <c r="AM1047" s="1351"/>
      <c r="AN1047" s="1351"/>
      <c r="AO1047" s="1351"/>
      <c r="AP1047" s="1351"/>
      <c r="AQ1047" s="1352"/>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579">
        <f>AY1003</f>
        <v>193</v>
      </c>
      <c r="J1048" s="1580"/>
      <c r="K1048" s="7"/>
      <c r="L1048" s="133"/>
      <c r="M1048" s="133"/>
      <c r="N1048" s="133"/>
      <c r="O1048" s="133"/>
      <c r="P1048" s="133"/>
      <c r="Q1048" s="133"/>
      <c r="R1048" s="133"/>
      <c r="S1048" s="133"/>
      <c r="T1048" s="133"/>
      <c r="U1048" s="133"/>
      <c r="V1048" s="134" t="s">
        <v>973</v>
      </c>
      <c r="W1048" s="48"/>
      <c r="X1048" s="1577">
        <f>CI753</f>
        <v>92</v>
      </c>
      <c r="Y1048" s="1578"/>
      <c r="Z1048" s="48"/>
      <c r="AA1048" s="48"/>
      <c r="AB1048" s="48"/>
      <c r="AC1048" s="48"/>
      <c r="AD1048" s="48"/>
      <c r="AE1048" s="49"/>
      <c r="AF1048" s="924"/>
      <c r="AG1048" s="925"/>
      <c r="AH1048" s="925"/>
      <c r="AI1048" s="926"/>
      <c r="AJ1048" s="1353"/>
      <c r="AK1048" s="1354"/>
      <c r="AL1048" s="1354"/>
      <c r="AM1048" s="1354"/>
      <c r="AN1048" s="1354"/>
      <c r="AO1048" s="1354"/>
      <c r="AP1048" s="1354"/>
      <c r="AQ1048" s="1355"/>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2.95" customHeight="1">
      <c r="A1049" s="14"/>
      <c r="B1049" s="79"/>
      <c r="C1049" s="131" t="s">
        <v>1685</v>
      </c>
      <c r="D1049" s="1493" t="s">
        <v>2171</v>
      </c>
      <c r="E1049" s="1494"/>
      <c r="F1049" s="1494"/>
      <c r="G1049" s="1494"/>
      <c r="H1049" s="1494"/>
      <c r="I1049" s="1494"/>
      <c r="J1049" s="1494"/>
      <c r="K1049" s="1494"/>
      <c r="L1049" s="1494"/>
      <c r="M1049" s="1494"/>
      <c r="N1049" s="1494"/>
      <c r="O1049" s="1494"/>
      <c r="P1049" s="1494"/>
      <c r="Q1049" s="1494"/>
      <c r="R1049" s="1494"/>
      <c r="S1049" s="1494"/>
      <c r="T1049" s="1494"/>
      <c r="U1049" s="1494"/>
      <c r="V1049" s="1494"/>
      <c r="W1049" s="1494"/>
      <c r="X1049" s="1494"/>
      <c r="Y1049" s="1494"/>
      <c r="Z1049" s="1494"/>
      <c r="AA1049" s="1494"/>
      <c r="AB1049" s="1494"/>
      <c r="AC1049" s="1494"/>
      <c r="AD1049" s="1494"/>
      <c r="AE1049" s="1495"/>
      <c r="AF1049" s="73"/>
      <c r="AG1049" s="1581" t="str">
        <f>IF(X1052&gt;0,"Yes","No")</f>
        <v>Yes</v>
      </c>
      <c r="AH1049" s="1582"/>
      <c r="AI1049" s="83"/>
      <c r="AJ1049" s="1347">
        <f>IF((X1052=0),0,(2*AY1006)*AJ992)</f>
        <v>69508940</v>
      </c>
      <c r="AK1049" s="1348"/>
      <c r="AL1049" s="1348"/>
      <c r="AM1049" s="1348"/>
      <c r="AN1049" s="1348"/>
      <c r="AO1049" s="1348"/>
      <c r="AP1049" s="1348"/>
      <c r="AQ1049" s="1349"/>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506" t="s">
        <v>1298</v>
      </c>
      <c r="E1050" s="1507"/>
      <c r="F1050" s="1507"/>
      <c r="G1050" s="1507"/>
      <c r="H1050" s="1507"/>
      <c r="I1050" s="1507"/>
      <c r="J1050" s="1507"/>
      <c r="K1050" s="1507"/>
      <c r="L1050" s="1507"/>
      <c r="M1050" s="1507"/>
      <c r="N1050" s="1507"/>
      <c r="O1050" s="1507"/>
      <c r="P1050" s="1507"/>
      <c r="Q1050" s="1507"/>
      <c r="R1050" s="1507"/>
      <c r="S1050" s="1507"/>
      <c r="T1050" s="1507"/>
      <c r="U1050" s="1507"/>
      <c r="V1050" s="1507"/>
      <c r="W1050" s="1507"/>
      <c r="X1050" s="1507"/>
      <c r="Y1050" s="1507"/>
      <c r="Z1050" s="1507"/>
      <c r="AA1050" s="1507"/>
      <c r="AB1050" s="1507"/>
      <c r="AC1050" s="1507"/>
      <c r="AD1050" s="1507"/>
      <c r="AE1050" s="1508"/>
      <c r="AF1050" s="73"/>
      <c r="AG1050" s="443"/>
      <c r="AH1050" s="443"/>
      <c r="AI1050" s="83"/>
      <c r="AJ1050" s="1350"/>
      <c r="AK1050" s="1351"/>
      <c r="AL1050" s="1351"/>
      <c r="AM1050" s="1351"/>
      <c r="AN1050" s="1351"/>
      <c r="AO1050" s="1351"/>
      <c r="AP1050" s="1351"/>
      <c r="AQ1050" s="1352"/>
      <c r="AR1050" s="68"/>
      <c r="AS1050" s="68"/>
      <c r="AT1050" s="68"/>
      <c r="AU1050" s="68"/>
      <c r="AV1050" s="68"/>
      <c r="AW1050" s="68"/>
      <c r="AX1050" s="68"/>
      <c r="AY1050" s="68"/>
      <c r="AZ1050" s="962"/>
      <c r="BA1050" s="3"/>
      <c r="BB1050" s="3"/>
      <c r="BC1050" s="3"/>
      <c r="BD1050" s="3"/>
    </row>
    <row r="1051" spans="1:56" ht="12.95" customHeight="1">
      <c r="A1051" s="14"/>
      <c r="B1051" s="73"/>
      <c r="C1051" s="83"/>
      <c r="D1051" s="1506"/>
      <c r="E1051" s="1507"/>
      <c r="F1051" s="1507"/>
      <c r="G1051" s="1507"/>
      <c r="H1051" s="1507"/>
      <c r="I1051" s="1507"/>
      <c r="J1051" s="1507"/>
      <c r="K1051" s="1507"/>
      <c r="L1051" s="1507"/>
      <c r="M1051" s="1507"/>
      <c r="N1051" s="1507"/>
      <c r="O1051" s="1507"/>
      <c r="P1051" s="1507"/>
      <c r="Q1051" s="1507"/>
      <c r="R1051" s="1507"/>
      <c r="S1051" s="1507"/>
      <c r="T1051" s="1507"/>
      <c r="U1051" s="1507"/>
      <c r="V1051" s="1507"/>
      <c r="W1051" s="1507"/>
      <c r="X1051" s="1507"/>
      <c r="Y1051" s="1507"/>
      <c r="Z1051" s="1507"/>
      <c r="AA1051" s="1507"/>
      <c r="AB1051" s="1507"/>
      <c r="AC1051" s="1507"/>
      <c r="AD1051" s="1507"/>
      <c r="AE1051" s="1508"/>
      <c r="AF1051" s="921"/>
      <c r="AG1051" s="922"/>
      <c r="AH1051" s="922"/>
      <c r="AI1051" s="923"/>
      <c r="AJ1051" s="1350"/>
      <c r="AK1051" s="1351"/>
      <c r="AL1051" s="1351"/>
      <c r="AM1051" s="1351"/>
      <c r="AN1051" s="1351"/>
      <c r="AO1051" s="1351"/>
      <c r="AP1051" s="1351"/>
      <c r="AQ1051" s="1352"/>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79">
        <f>AY1003</f>
        <v>193</v>
      </c>
      <c r="J1052" s="1580"/>
      <c r="K1052" s="14"/>
      <c r="L1052" s="133"/>
      <c r="M1052" s="133"/>
      <c r="N1052" s="133"/>
      <c r="O1052" s="133"/>
      <c r="P1052" s="133"/>
      <c r="Q1052" s="133"/>
      <c r="R1052" s="133"/>
      <c r="S1052" s="133"/>
      <c r="T1052" s="133"/>
      <c r="U1052" s="133"/>
      <c r="V1052" s="134" t="s">
        <v>974</v>
      </c>
      <c r="X1052" s="1577">
        <f>CM753</f>
        <v>50</v>
      </c>
      <c r="Y1052" s="1578"/>
      <c r="AF1052" s="924"/>
      <c r="AG1052" s="925"/>
      <c r="AH1052" s="925"/>
      <c r="AI1052" s="926"/>
      <c r="AJ1052" s="1353"/>
      <c r="AK1052" s="1354"/>
      <c r="AL1052" s="1354"/>
      <c r="AM1052" s="1354"/>
      <c r="AN1052" s="1354"/>
      <c r="AO1052" s="1354"/>
      <c r="AP1052" s="1354"/>
      <c r="AQ1052" s="1355"/>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575" t="s">
        <v>513</v>
      </c>
      <c r="E1053" s="1575"/>
      <c r="F1053" s="1575"/>
      <c r="G1053" s="1575"/>
      <c r="H1053" s="1575"/>
      <c r="I1053" s="1575"/>
      <c r="J1053" s="1575"/>
      <c r="K1053" s="1575"/>
      <c r="L1053" s="1575"/>
      <c r="M1053" s="1575"/>
      <c r="N1053" s="1575"/>
      <c r="O1053" s="1575"/>
      <c r="P1053" s="1575"/>
      <c r="Q1053" s="1575"/>
      <c r="R1053" s="1575"/>
      <c r="S1053" s="1575"/>
      <c r="T1053" s="1575"/>
      <c r="U1053" s="1575"/>
      <c r="V1053" s="1575"/>
      <c r="W1053" s="1575"/>
      <c r="X1053" s="1575"/>
      <c r="Y1053" s="1575"/>
      <c r="Z1053" s="1575"/>
      <c r="AA1053" s="1575"/>
      <c r="AB1053" s="1575"/>
      <c r="AC1053" s="1575"/>
      <c r="AD1053" s="1575"/>
      <c r="AE1053" s="1575"/>
      <c r="AF1053" s="1575"/>
      <c r="AG1053" s="1575"/>
      <c r="AH1053" s="1575"/>
      <c r="AI1053" s="1576"/>
      <c r="AJ1053" s="1586">
        <f>SUM(AJ992:AQ1052)</f>
        <v>354667244.60000002</v>
      </c>
      <c r="AK1053" s="1587"/>
      <c r="AL1053" s="1587"/>
      <c r="AM1053" s="1587"/>
      <c r="AN1053" s="1587"/>
      <c r="AO1053" s="1587"/>
      <c r="AP1053" s="1587"/>
      <c r="AQ1053" s="1588"/>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640">
        <f>'Sources and Uses Budget'!S107+'Sources and Uses Budget'!T107</f>
        <v>142459472</v>
      </c>
      <c r="AB1056" s="1640"/>
      <c r="AC1056" s="1640"/>
      <c r="AD1056" s="1640"/>
      <c r="AE1056" s="1640"/>
      <c r="AF1056" s="16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19874659.949999999</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641">
        <f>IFERROR((AA1056-BA1059)/(AJ1053-AJ1045-AJ1049),"")</f>
        <v>0.61412880447071072</v>
      </c>
      <c r="AB1057" s="1642"/>
      <c r="AC1057" s="1642"/>
      <c r="AD1057" s="1642"/>
      <c r="AE1057" s="1642"/>
      <c r="AF1057" s="16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6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644"/>
      <c r="I1058" s="1644"/>
      <c r="J1058" s="1644"/>
      <c r="K1058" s="1644"/>
      <c r="L1058" s="1644"/>
      <c r="M1058" s="1644"/>
      <c r="N1058" s="1644"/>
      <c r="O1058" s="1644"/>
      <c r="P1058" s="1644"/>
      <c r="Q1058" s="1644"/>
      <c r="R1058" s="1644"/>
      <c r="S1058" s="1644"/>
      <c r="T1058" s="1644"/>
      <c r="U1058" s="1644"/>
      <c r="V1058" s="1644"/>
      <c r="W1058" s="1644"/>
      <c r="X1058" s="1644"/>
      <c r="Y1058" s="1644"/>
      <c r="Z1058" s="1644"/>
      <c r="AA1058" s="1644"/>
      <c r="AB1058" s="1644"/>
      <c r="AC1058" s="1644"/>
      <c r="AD1058" s="1644"/>
      <c r="AE1058" s="1644"/>
      <c r="AF1058" s="1644"/>
      <c r="AG1058" s="1644"/>
      <c r="AH1058" s="1644"/>
      <c r="AI1058" s="1644"/>
      <c r="AJ1058" s="1644"/>
      <c r="AK1058" s="1644"/>
      <c r="AL1058" s="1644"/>
      <c r="AM1058" s="1644"/>
      <c r="AN1058" s="1644"/>
      <c r="AO1058" s="68"/>
      <c r="AP1058" s="68"/>
      <c r="AQ1058" s="68"/>
      <c r="AR1058" s="68"/>
      <c r="AS1058" s="68"/>
      <c r="AT1058" s="68"/>
      <c r="AU1058" s="68"/>
      <c r="AV1058" s="14"/>
      <c r="AW1058" s="14"/>
      <c r="AX1058" s="14"/>
      <c r="AY1058" s="14"/>
      <c r="BA1058" s="1185">
        <f>'Sources and Uses Budget'!$S$104+'Sources and Uses Budget'!$T$104</f>
        <v>9961739</v>
      </c>
      <c r="BB1058" s="3" t="s">
        <v>2495</v>
      </c>
    </row>
    <row r="1059" spans="1:54" ht="12.95" customHeight="1">
      <c r="A1059" s="14"/>
      <c r="B1059" s="14"/>
      <c r="C1059" s="208"/>
      <c r="D1059" s="858"/>
      <c r="E1059" s="858"/>
      <c r="F1059" s="858"/>
      <c r="G1059" s="1644"/>
      <c r="H1059" s="1644"/>
      <c r="I1059" s="1644"/>
      <c r="J1059" s="1644"/>
      <c r="K1059" s="1644"/>
      <c r="L1059" s="1644"/>
      <c r="M1059" s="1644"/>
      <c r="N1059" s="1644"/>
      <c r="O1059" s="1644"/>
      <c r="P1059" s="1644"/>
      <c r="Q1059" s="1644"/>
      <c r="R1059" s="1644"/>
      <c r="S1059" s="1644"/>
      <c r="T1059" s="1644"/>
      <c r="U1059" s="1644"/>
      <c r="V1059" s="1644"/>
      <c r="W1059" s="1644"/>
      <c r="X1059" s="1644"/>
      <c r="Y1059" s="1644"/>
      <c r="Z1059" s="1644"/>
      <c r="AA1059" s="1644"/>
      <c r="AB1059" s="1644"/>
      <c r="AC1059" s="1644"/>
      <c r="AD1059" s="1644"/>
      <c r="AE1059" s="1644"/>
      <c r="AF1059" s="1644"/>
      <c r="AG1059" s="1644"/>
      <c r="AH1059" s="1644"/>
      <c r="AI1059" s="1644"/>
      <c r="AJ1059" s="1644"/>
      <c r="AK1059" s="1644"/>
      <c r="AL1059" s="1644"/>
      <c r="AM1059" s="1644"/>
      <c r="AN1059" s="1644"/>
      <c r="AO1059" s="68"/>
      <c r="AP1059" s="68"/>
      <c r="AQ1059" s="68"/>
      <c r="AR1059" s="68"/>
      <c r="AS1059" s="68"/>
      <c r="AT1059" s="68"/>
      <c r="AU1059" s="68"/>
      <c r="AV1059" s="14"/>
      <c r="AW1059" s="14"/>
      <c r="AX1059" s="14"/>
      <c r="AY1059" s="14"/>
      <c r="BA1059" s="1186">
        <f>MAX($BA$1058-$BA$1055,0)</f>
        <v>7461739</v>
      </c>
      <c r="BB1059" s="3" t="s">
        <v>2496</v>
      </c>
    </row>
    <row r="1060" spans="1:54" ht="12.95" customHeight="1">
      <c r="A1060" s="88"/>
      <c r="B1060" s="1172"/>
      <c r="C1060" s="1172"/>
      <c r="D1060" s="1172"/>
      <c r="E1060" s="1172"/>
      <c r="F1060" s="1172"/>
      <c r="G1060" s="1644"/>
      <c r="H1060" s="1644"/>
      <c r="I1060" s="1644"/>
      <c r="J1060" s="1644"/>
      <c r="K1060" s="1644"/>
      <c r="L1060" s="1644"/>
      <c r="M1060" s="1644"/>
      <c r="N1060" s="1644"/>
      <c r="O1060" s="1644"/>
      <c r="P1060" s="1644"/>
      <c r="Q1060" s="1644"/>
      <c r="R1060" s="1644"/>
      <c r="S1060" s="1644"/>
      <c r="T1060" s="1644"/>
      <c r="U1060" s="1644"/>
      <c r="V1060" s="1644"/>
      <c r="W1060" s="1644"/>
      <c r="X1060" s="1644"/>
      <c r="Y1060" s="1644"/>
      <c r="Z1060" s="1644"/>
      <c r="AA1060" s="1644"/>
      <c r="AB1060" s="1644"/>
      <c r="AC1060" s="1644"/>
      <c r="AD1060" s="1644"/>
      <c r="AE1060" s="1644"/>
      <c r="AF1060" s="1644"/>
      <c r="AG1060" s="1644"/>
      <c r="AH1060" s="1644"/>
      <c r="AI1060" s="1644"/>
      <c r="AJ1060" s="1644"/>
      <c r="AK1060" s="1644"/>
      <c r="AL1060" s="1644"/>
      <c r="AM1060" s="1644"/>
      <c r="AN1060" s="1644"/>
      <c r="AO1060" s="1172"/>
      <c r="AP1060" s="1172"/>
      <c r="AQ1060" s="68"/>
      <c r="AR1060" s="68"/>
      <c r="AS1060" s="68"/>
      <c r="AT1060" s="68"/>
      <c r="AU1060" s="68"/>
      <c r="AV1060" s="68"/>
      <c r="AW1060" s="68"/>
      <c r="AX1060" s="68"/>
      <c r="AY1060" s="68"/>
    </row>
    <row r="1061" spans="1:54" ht="12.95" customHeight="1">
      <c r="A1061" s="1374" t="s">
        <v>794</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56" t="s">
        <v>591</v>
      </c>
      <c r="B1065" s="1356"/>
      <c r="C1065" s="1357">
        <v>1</v>
      </c>
      <c r="D1065" s="1357"/>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57"/>
      <c r="D1066" s="1357"/>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56" t="s">
        <v>591</v>
      </c>
      <c r="B1067" s="1356"/>
      <c r="C1067" s="1357">
        <v>2</v>
      </c>
      <c r="D1067" s="1357"/>
      <c r="E1067" s="1360" t="s">
        <v>2239</v>
      </c>
      <c r="F1067" s="1360"/>
      <c r="G1067" s="1360"/>
      <c r="H1067" s="1360"/>
      <c r="I1067" s="1360"/>
      <c r="J1067" s="1360"/>
      <c r="K1067" s="1360"/>
      <c r="L1067" s="1360"/>
      <c r="M1067" s="1360"/>
      <c r="N1067" s="1360"/>
      <c r="O1067" s="1360"/>
      <c r="P1067" s="1360"/>
      <c r="Q1067" s="1360"/>
      <c r="R1067" s="1360"/>
      <c r="S1067" s="1360"/>
      <c r="T1067" s="1360"/>
      <c r="U1067" s="1360"/>
      <c r="V1067" s="1360"/>
      <c r="W1067" s="1360"/>
      <c r="X1067" s="1360"/>
      <c r="Y1067" s="1360"/>
      <c r="Z1067" s="1360"/>
      <c r="AA1067" s="1360"/>
      <c r="AB1067" s="1360"/>
      <c r="AC1067" s="1360"/>
      <c r="AD1067" s="1360"/>
      <c r="AE1067" s="1360"/>
      <c r="AF1067" s="1360"/>
      <c r="AG1067" s="1360"/>
      <c r="AH1067" s="1360"/>
      <c r="AI1067" s="1360"/>
      <c r="AJ1067" s="1360"/>
      <c r="AK1067" s="1360"/>
      <c r="AL1067" s="1360"/>
      <c r="AM1067" s="1360"/>
      <c r="AN1067" s="1360"/>
      <c r="AO1067" s="1360"/>
      <c r="AP1067" s="1360"/>
      <c r="AQ1067" s="1360"/>
      <c r="AR1067" s="1360"/>
      <c r="AS1067" s="14"/>
      <c r="AT1067" s="14"/>
      <c r="AV1067" s="68"/>
      <c r="AW1067" s="68"/>
      <c r="AX1067" s="68"/>
      <c r="AY1067" s="68"/>
    </row>
    <row r="1068" spans="1:54" ht="12.95" customHeight="1">
      <c r="A1068" s="198"/>
      <c r="B1068" s="67"/>
      <c r="C1068" s="1357"/>
      <c r="D1068" s="1357"/>
      <c r="E1068" s="1360"/>
      <c r="F1068" s="1360"/>
      <c r="G1068" s="1360"/>
      <c r="H1068" s="1360"/>
      <c r="I1068" s="1360"/>
      <c r="J1068" s="1360"/>
      <c r="K1068" s="1360"/>
      <c r="L1068" s="1360"/>
      <c r="M1068" s="1360"/>
      <c r="N1068" s="1360"/>
      <c r="O1068" s="1360"/>
      <c r="P1068" s="1360"/>
      <c r="Q1068" s="1360"/>
      <c r="R1068" s="1360"/>
      <c r="S1068" s="1360"/>
      <c r="T1068" s="1360"/>
      <c r="U1068" s="1360"/>
      <c r="V1068" s="1360"/>
      <c r="W1068" s="1360"/>
      <c r="X1068" s="1360"/>
      <c r="Y1068" s="1360"/>
      <c r="Z1068" s="1360"/>
      <c r="AA1068" s="1360"/>
      <c r="AB1068" s="1360"/>
      <c r="AC1068" s="1360"/>
      <c r="AD1068" s="1360"/>
      <c r="AE1068" s="1360"/>
      <c r="AF1068" s="1360"/>
      <c r="AG1068" s="1360"/>
      <c r="AH1068" s="1360"/>
      <c r="AI1068" s="1360"/>
      <c r="AJ1068" s="1360"/>
      <c r="AK1068" s="1360"/>
      <c r="AL1068" s="1360"/>
      <c r="AM1068" s="1360"/>
      <c r="AN1068" s="1360"/>
      <c r="AO1068" s="1360"/>
      <c r="AP1068" s="1360"/>
      <c r="AQ1068" s="1360"/>
      <c r="AR1068" s="1360"/>
      <c r="AS1068" s="14"/>
      <c r="AT1068" s="14"/>
      <c r="AV1068" s="68"/>
      <c r="AW1068" s="68"/>
      <c r="AX1068" s="68"/>
      <c r="AY1068" s="68"/>
    </row>
    <row r="1069" spans="1:54" ht="12.95" customHeight="1">
      <c r="A1069" s="198"/>
      <c r="B1069" s="67"/>
      <c r="C1069" s="1357"/>
      <c r="D1069" s="1357"/>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56" t="s">
        <v>591</v>
      </c>
      <c r="B1070" s="1356"/>
      <c r="C1070" s="1359">
        <v>3</v>
      </c>
      <c r="D1070" s="1359"/>
      <c r="E1070" s="1298" t="s">
        <v>1080</v>
      </c>
      <c r="F1070" s="1298"/>
      <c r="G1070" s="1298"/>
      <c r="H1070" s="1298"/>
      <c r="I1070" s="1298"/>
      <c r="J1070" s="1298"/>
      <c r="K1070" s="1298"/>
      <c r="L1070" s="1298"/>
      <c r="M1070" s="1298"/>
      <c r="N1070" s="1298"/>
      <c r="O1070" s="1298"/>
      <c r="P1070" s="1298"/>
      <c r="Q1070" s="1298"/>
      <c r="R1070" s="1298"/>
      <c r="S1070" s="1298"/>
      <c r="T1070" s="1298"/>
      <c r="U1070" s="1298"/>
      <c r="V1070" s="1298"/>
      <c r="W1070" s="1298"/>
      <c r="X1070" s="1298"/>
      <c r="Y1070" s="1298"/>
      <c r="Z1070" s="1298"/>
      <c r="AA1070" s="1298"/>
      <c r="AB1070" s="1298"/>
      <c r="AC1070" s="1298"/>
      <c r="AD1070" s="1298"/>
      <c r="AE1070" s="1298"/>
      <c r="AF1070" s="1298"/>
      <c r="AG1070" s="1298"/>
      <c r="AH1070" s="1298"/>
      <c r="AI1070" s="1298"/>
      <c r="AJ1070" s="1298"/>
      <c r="AK1070" s="1298"/>
      <c r="AL1070" s="1298"/>
      <c r="AM1070" s="1298"/>
      <c r="AN1070" s="1298"/>
      <c r="AO1070" s="1298"/>
      <c r="AP1070" s="1298"/>
      <c r="AQ1070" s="1298"/>
      <c r="AR1070" s="1298"/>
      <c r="AS1070" s="14"/>
      <c r="AT1070" s="68"/>
      <c r="AV1070" s="68"/>
      <c r="AW1070" s="68"/>
      <c r="AX1070" s="68"/>
      <c r="AY1070" s="68"/>
    </row>
    <row r="1071" spans="1:54" ht="12.95" customHeight="1">
      <c r="A1071" s="1"/>
      <c r="B1071" s="1"/>
      <c r="C1071" s="1359"/>
      <c r="D1071" s="1359"/>
      <c r="E1071" s="1298"/>
      <c r="F1071" s="1298"/>
      <c r="G1071" s="1298"/>
      <c r="H1071" s="1298"/>
      <c r="I1071" s="1298"/>
      <c r="J1071" s="1298"/>
      <c r="K1071" s="1298"/>
      <c r="L1071" s="1298"/>
      <c r="M1071" s="1298"/>
      <c r="N1071" s="1298"/>
      <c r="O1071" s="1298"/>
      <c r="P1071" s="1298"/>
      <c r="Q1071" s="1298"/>
      <c r="R1071" s="1298"/>
      <c r="S1071" s="1298"/>
      <c r="T1071" s="1298"/>
      <c r="U1071" s="1298"/>
      <c r="V1071" s="1298"/>
      <c r="W1071" s="1298"/>
      <c r="X1071" s="1298"/>
      <c r="Y1071" s="1298"/>
      <c r="Z1071" s="1298"/>
      <c r="AA1071" s="1298"/>
      <c r="AB1071" s="1298"/>
      <c r="AC1071" s="1298"/>
      <c r="AD1071" s="1298"/>
      <c r="AE1071" s="1298"/>
      <c r="AF1071" s="1298"/>
      <c r="AG1071" s="1298"/>
      <c r="AH1071" s="1298"/>
      <c r="AI1071" s="1298"/>
      <c r="AJ1071" s="1298"/>
      <c r="AK1071" s="1298"/>
      <c r="AL1071" s="1298"/>
      <c r="AM1071" s="1298"/>
      <c r="AN1071" s="1298"/>
      <c r="AO1071" s="1298"/>
      <c r="AP1071" s="1298"/>
      <c r="AQ1071" s="1298"/>
      <c r="AR1071" s="1298"/>
      <c r="AS1071" s="14"/>
      <c r="AT1071" s="68"/>
      <c r="AV1071" s="68"/>
      <c r="AW1071" s="68"/>
      <c r="AX1071" s="68"/>
      <c r="AY1071" s="68"/>
    </row>
    <row r="1072" spans="1:54" ht="12.95" customHeight="1">
      <c r="A1072" s="1"/>
      <c r="B1072" s="1"/>
      <c r="C1072" s="1359"/>
      <c r="D1072" s="1359"/>
      <c r="E1072" s="1298"/>
      <c r="F1072" s="1298"/>
      <c r="G1072" s="1298"/>
      <c r="H1072" s="1298"/>
      <c r="I1072" s="1298"/>
      <c r="J1072" s="1298"/>
      <c r="K1072" s="1298"/>
      <c r="L1072" s="1298"/>
      <c r="M1072" s="1298"/>
      <c r="N1072" s="1298"/>
      <c r="O1072" s="1298"/>
      <c r="P1072" s="1298"/>
      <c r="Q1072" s="1298"/>
      <c r="R1072" s="1298"/>
      <c r="S1072" s="1298"/>
      <c r="T1072" s="1298"/>
      <c r="U1072" s="1298"/>
      <c r="V1072" s="1298"/>
      <c r="W1072" s="1298"/>
      <c r="X1072" s="1298"/>
      <c r="Y1072" s="1298"/>
      <c r="Z1072" s="1298"/>
      <c r="AA1072" s="1298"/>
      <c r="AB1072" s="1298"/>
      <c r="AC1072" s="1298"/>
      <c r="AD1072" s="1298"/>
      <c r="AE1072" s="1298"/>
      <c r="AF1072" s="1298"/>
      <c r="AG1072" s="1298"/>
      <c r="AH1072" s="1298"/>
      <c r="AI1072" s="1298"/>
      <c r="AJ1072" s="1298"/>
      <c r="AK1072" s="1298"/>
      <c r="AL1072" s="1298"/>
      <c r="AM1072" s="1298"/>
      <c r="AN1072" s="1298"/>
      <c r="AO1072" s="1298"/>
      <c r="AP1072" s="1298"/>
      <c r="AQ1072" s="1298"/>
      <c r="AR1072" s="1298"/>
      <c r="AS1072" s="14"/>
      <c r="AT1072" s="68"/>
      <c r="AV1072" s="68"/>
      <c r="AW1072" s="68"/>
      <c r="AX1072" s="68"/>
      <c r="AY1072" s="68"/>
    </row>
    <row r="1073" spans="1:51" ht="12.95" customHeight="1">
      <c r="A1073" s="1"/>
      <c r="B1073" s="1"/>
      <c r="C1073" s="1359"/>
      <c r="D1073" s="1359"/>
      <c r="E1073" s="1298"/>
      <c r="F1073" s="1298"/>
      <c r="G1073" s="1298"/>
      <c r="H1073" s="1298"/>
      <c r="I1073" s="1298"/>
      <c r="J1073" s="1298"/>
      <c r="K1073" s="1298"/>
      <c r="L1073" s="1298"/>
      <c r="M1073" s="1298"/>
      <c r="N1073" s="1298"/>
      <c r="O1073" s="1298"/>
      <c r="P1073" s="1298"/>
      <c r="Q1073" s="1298"/>
      <c r="R1073" s="1298"/>
      <c r="S1073" s="1298"/>
      <c r="T1073" s="1298"/>
      <c r="U1073" s="1298"/>
      <c r="V1073" s="1298"/>
      <c r="W1073" s="1298"/>
      <c r="X1073" s="1298"/>
      <c r="Y1073" s="1298"/>
      <c r="Z1073" s="1298"/>
      <c r="AA1073" s="1298"/>
      <c r="AB1073" s="1298"/>
      <c r="AC1073" s="1298"/>
      <c r="AD1073" s="1298"/>
      <c r="AE1073" s="1298"/>
      <c r="AF1073" s="1298"/>
      <c r="AG1073" s="1298"/>
      <c r="AH1073" s="1298"/>
      <c r="AI1073" s="1298"/>
      <c r="AJ1073" s="1298"/>
      <c r="AK1073" s="1298"/>
      <c r="AL1073" s="1298"/>
      <c r="AM1073" s="1298"/>
      <c r="AN1073" s="1298"/>
      <c r="AO1073" s="1298"/>
      <c r="AP1073" s="1298"/>
      <c r="AQ1073" s="1298"/>
      <c r="AR1073" s="1298"/>
      <c r="AS1073" s="14"/>
      <c r="AT1073" s="68"/>
      <c r="AV1073" s="68"/>
      <c r="AW1073" s="68"/>
      <c r="AX1073" s="68"/>
      <c r="AY1073" s="68"/>
    </row>
    <row r="1074" spans="1:51" ht="12.95" customHeight="1">
      <c r="A1074" s="2"/>
      <c r="B1074" s="25"/>
      <c r="C1074" s="1359"/>
      <c r="D1074" s="1359"/>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56" t="s">
        <v>591</v>
      </c>
      <c r="B1075" s="1356"/>
      <c r="C1075" s="1359">
        <v>4</v>
      </c>
      <c r="D1075" s="1359"/>
      <c r="E1075" s="1298" t="s">
        <v>1079</v>
      </c>
      <c r="F1075" s="1298"/>
      <c r="G1075" s="1298"/>
      <c r="H1075" s="1298"/>
      <c r="I1075" s="1298"/>
      <c r="J1075" s="1298"/>
      <c r="K1075" s="1298"/>
      <c r="L1075" s="1298"/>
      <c r="M1075" s="1298"/>
      <c r="N1075" s="1298"/>
      <c r="O1075" s="1298"/>
      <c r="P1075" s="1298"/>
      <c r="Q1075" s="1298"/>
      <c r="R1075" s="1298"/>
      <c r="S1075" s="1298"/>
      <c r="T1075" s="1298"/>
      <c r="U1075" s="1298"/>
      <c r="V1075" s="1298"/>
      <c r="W1075" s="1298"/>
      <c r="X1075" s="1298"/>
      <c r="Y1075" s="1298"/>
      <c r="Z1075" s="1298"/>
      <c r="AA1075" s="1298"/>
      <c r="AB1075" s="1298"/>
      <c r="AC1075" s="1298"/>
      <c r="AD1075" s="1298"/>
      <c r="AE1075" s="1298"/>
      <c r="AF1075" s="1298"/>
      <c r="AG1075" s="1298"/>
      <c r="AH1075" s="1298"/>
      <c r="AI1075" s="1298"/>
      <c r="AJ1075" s="1298"/>
      <c r="AK1075" s="1298"/>
      <c r="AL1075" s="1298"/>
      <c r="AM1075" s="1298"/>
      <c r="AN1075" s="1298"/>
      <c r="AO1075" s="1298"/>
      <c r="AP1075" s="1298"/>
      <c r="AQ1075" s="1298"/>
      <c r="AR1075" s="1298"/>
      <c r="AS1075" s="14"/>
      <c r="AT1075" s="68"/>
    </row>
    <row r="1076" spans="1:51" ht="12.95" customHeight="1">
      <c r="A1076" s="1"/>
      <c r="B1076" s="1"/>
      <c r="C1076" s="1359"/>
      <c r="D1076" s="1359"/>
      <c r="E1076" s="1298"/>
      <c r="F1076" s="1298"/>
      <c r="G1076" s="1298"/>
      <c r="H1076" s="1298"/>
      <c r="I1076" s="1298"/>
      <c r="J1076" s="1298"/>
      <c r="K1076" s="1298"/>
      <c r="L1076" s="1298"/>
      <c r="M1076" s="1298"/>
      <c r="N1076" s="1298"/>
      <c r="O1076" s="1298"/>
      <c r="P1076" s="1298"/>
      <c r="Q1076" s="1298"/>
      <c r="R1076" s="1298"/>
      <c r="S1076" s="1298"/>
      <c r="T1076" s="1298"/>
      <c r="U1076" s="1298"/>
      <c r="V1076" s="1298"/>
      <c r="W1076" s="1298"/>
      <c r="X1076" s="1298"/>
      <c r="Y1076" s="1298"/>
      <c r="Z1076" s="1298"/>
      <c r="AA1076" s="1298"/>
      <c r="AB1076" s="1298"/>
      <c r="AC1076" s="1298"/>
      <c r="AD1076" s="1298"/>
      <c r="AE1076" s="1298"/>
      <c r="AF1076" s="1298"/>
      <c r="AG1076" s="1298"/>
      <c r="AH1076" s="1298"/>
      <c r="AI1076" s="1298"/>
      <c r="AJ1076" s="1298"/>
      <c r="AK1076" s="1298"/>
      <c r="AL1076" s="1298"/>
      <c r="AM1076" s="1298"/>
      <c r="AN1076" s="1298"/>
      <c r="AO1076" s="1298"/>
      <c r="AP1076" s="1298"/>
      <c r="AQ1076" s="1298"/>
      <c r="AR1076" s="1298"/>
      <c r="AS1076" s="14"/>
      <c r="AT1076" s="68"/>
    </row>
    <row r="1077" spans="1:51" ht="12.95" customHeight="1">
      <c r="A1077" s="1"/>
      <c r="B1077" s="1"/>
      <c r="C1077" s="1359"/>
      <c r="D1077" s="1359"/>
      <c r="E1077" s="1298"/>
      <c r="F1077" s="1298"/>
      <c r="G1077" s="1298"/>
      <c r="H1077" s="1298"/>
      <c r="I1077" s="1298"/>
      <c r="J1077" s="1298"/>
      <c r="K1077" s="1298"/>
      <c r="L1077" s="1298"/>
      <c r="M1077" s="1298"/>
      <c r="N1077" s="1298"/>
      <c r="O1077" s="1298"/>
      <c r="P1077" s="1298"/>
      <c r="Q1077" s="1298"/>
      <c r="R1077" s="1298"/>
      <c r="S1077" s="1298"/>
      <c r="T1077" s="1298"/>
      <c r="U1077" s="1298"/>
      <c r="V1077" s="1298"/>
      <c r="W1077" s="1298"/>
      <c r="X1077" s="1298"/>
      <c r="Y1077" s="1298"/>
      <c r="Z1077" s="1298"/>
      <c r="AA1077" s="1298"/>
      <c r="AB1077" s="1298"/>
      <c r="AC1077" s="1298"/>
      <c r="AD1077" s="1298"/>
      <c r="AE1077" s="1298"/>
      <c r="AF1077" s="1298"/>
      <c r="AG1077" s="1298"/>
      <c r="AH1077" s="1298"/>
      <c r="AI1077" s="1298"/>
      <c r="AJ1077" s="1298"/>
      <c r="AK1077" s="1298"/>
      <c r="AL1077" s="1298"/>
      <c r="AM1077" s="1298"/>
      <c r="AN1077" s="1298"/>
      <c r="AO1077" s="1298"/>
      <c r="AP1077" s="1298"/>
      <c r="AQ1077" s="1298"/>
      <c r="AR1077" s="1298"/>
      <c r="AS1077" s="14"/>
      <c r="AT1077" s="68"/>
    </row>
    <row r="1078" spans="1:51" ht="12.95" customHeight="1">
      <c r="A1078" s="1"/>
      <c r="B1078" s="1"/>
      <c r="C1078" s="1359"/>
      <c r="D1078" s="1359"/>
      <c r="E1078" s="1298"/>
      <c r="F1078" s="1298"/>
      <c r="G1078" s="1298"/>
      <c r="H1078" s="1298"/>
      <c r="I1078" s="1298"/>
      <c r="J1078" s="1298"/>
      <c r="K1078" s="1298"/>
      <c r="L1078" s="1298"/>
      <c r="M1078" s="1298"/>
      <c r="N1078" s="1298"/>
      <c r="O1078" s="1298"/>
      <c r="P1078" s="1298"/>
      <c r="Q1078" s="1298"/>
      <c r="R1078" s="1298"/>
      <c r="S1078" s="1298"/>
      <c r="T1078" s="1298"/>
      <c r="U1078" s="1298"/>
      <c r="V1078" s="1298"/>
      <c r="W1078" s="1298"/>
      <c r="X1078" s="1298"/>
      <c r="Y1078" s="1298"/>
      <c r="Z1078" s="1298"/>
      <c r="AA1078" s="1298"/>
      <c r="AB1078" s="1298"/>
      <c r="AC1078" s="1298"/>
      <c r="AD1078" s="1298"/>
      <c r="AE1078" s="1298"/>
      <c r="AF1078" s="1298"/>
      <c r="AG1078" s="1298"/>
      <c r="AH1078" s="1298"/>
      <c r="AI1078" s="1298"/>
      <c r="AJ1078" s="1298"/>
      <c r="AK1078" s="1298"/>
      <c r="AL1078" s="1298"/>
      <c r="AM1078" s="1298"/>
      <c r="AN1078" s="1298"/>
      <c r="AO1078" s="1298"/>
      <c r="AP1078" s="1298"/>
      <c r="AQ1078" s="1298"/>
      <c r="AR1078" s="1298"/>
      <c r="AS1078" s="14"/>
      <c r="AT1078" s="68"/>
    </row>
    <row r="1079" spans="1:51" ht="12.95" customHeight="1">
      <c r="A1079" s="1"/>
      <c r="B1079" s="1"/>
      <c r="C1079" s="1359"/>
      <c r="D1079" s="1359"/>
      <c r="E1079" s="1298"/>
      <c r="F1079" s="1298"/>
      <c r="G1079" s="1298"/>
      <c r="H1079" s="1298"/>
      <c r="I1079" s="1298"/>
      <c r="J1079" s="1298"/>
      <c r="K1079" s="1298"/>
      <c r="L1079" s="1298"/>
      <c r="M1079" s="1298"/>
      <c r="N1079" s="1298"/>
      <c r="O1079" s="1298"/>
      <c r="P1079" s="1298"/>
      <c r="Q1079" s="1298"/>
      <c r="R1079" s="1298"/>
      <c r="S1079" s="1298"/>
      <c r="T1079" s="1298"/>
      <c r="U1079" s="1298"/>
      <c r="V1079" s="1298"/>
      <c r="W1079" s="1298"/>
      <c r="X1079" s="1298"/>
      <c r="Y1079" s="1298"/>
      <c r="Z1079" s="1298"/>
      <c r="AA1079" s="1298"/>
      <c r="AB1079" s="1298"/>
      <c r="AC1079" s="1298"/>
      <c r="AD1079" s="1298"/>
      <c r="AE1079" s="1298"/>
      <c r="AF1079" s="1298"/>
      <c r="AG1079" s="1298"/>
      <c r="AH1079" s="1298"/>
      <c r="AI1079" s="1298"/>
      <c r="AJ1079" s="1298"/>
      <c r="AK1079" s="1298"/>
      <c r="AL1079" s="1298"/>
      <c r="AM1079" s="1298"/>
      <c r="AN1079" s="1298"/>
      <c r="AO1079" s="1298"/>
      <c r="AP1079" s="1298"/>
      <c r="AQ1079" s="1298"/>
      <c r="AR1079" s="1298"/>
      <c r="AS1079" s="14"/>
      <c r="AT1079" s="68"/>
    </row>
    <row r="1080" spans="1:51" ht="12.95" customHeight="1">
      <c r="A1080" s="1"/>
      <c r="B1080" s="1"/>
      <c r="C1080" s="1359"/>
      <c r="D1080" s="1359"/>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56" t="s">
        <v>591</v>
      </c>
      <c r="B1081" s="1356"/>
      <c r="C1081" s="1359">
        <v>5</v>
      </c>
      <c r="D1081" s="1359"/>
      <c r="E1081" s="1298" t="s">
        <v>2243</v>
      </c>
      <c r="F1081" s="1298"/>
      <c r="G1081" s="1298"/>
      <c r="H1081" s="1298"/>
      <c r="I1081" s="1298"/>
      <c r="J1081" s="1298"/>
      <c r="K1081" s="1298"/>
      <c r="L1081" s="1298"/>
      <c r="M1081" s="1298"/>
      <c r="N1081" s="1298"/>
      <c r="O1081" s="1298"/>
      <c r="P1081" s="1298"/>
      <c r="Q1081" s="1298"/>
      <c r="R1081" s="1298"/>
      <c r="S1081" s="1298"/>
      <c r="T1081" s="1298"/>
      <c r="U1081" s="1298"/>
      <c r="V1081" s="1298"/>
      <c r="W1081" s="1298"/>
      <c r="X1081" s="1298"/>
      <c r="Y1081" s="1298"/>
      <c r="Z1081" s="1298"/>
      <c r="AA1081" s="1298"/>
      <c r="AB1081" s="1298"/>
      <c r="AC1081" s="1298"/>
      <c r="AD1081" s="1298"/>
      <c r="AE1081" s="1298"/>
      <c r="AF1081" s="1298"/>
      <c r="AG1081" s="1298"/>
      <c r="AH1081" s="1298"/>
      <c r="AI1081" s="1298"/>
      <c r="AJ1081" s="1298"/>
      <c r="AK1081" s="1298"/>
      <c r="AL1081" s="1298"/>
      <c r="AM1081" s="1298"/>
      <c r="AN1081" s="1298"/>
      <c r="AO1081" s="1298"/>
      <c r="AP1081" s="1298"/>
      <c r="AQ1081" s="1298"/>
      <c r="AR1081" s="1298"/>
      <c r="AS1081" s="14"/>
    </row>
    <row r="1082" spans="1:51" ht="12.95" customHeight="1">
      <c r="A1082" s="4"/>
      <c r="B1082" s="4"/>
      <c r="C1082" s="1359"/>
      <c r="D1082" s="1359"/>
      <c r="E1082" s="1298"/>
      <c r="F1082" s="1298"/>
      <c r="G1082" s="1298"/>
      <c r="H1082" s="1298"/>
      <c r="I1082" s="1298"/>
      <c r="J1082" s="1298"/>
      <c r="K1082" s="1298"/>
      <c r="L1082" s="1298"/>
      <c r="M1082" s="1298"/>
      <c r="N1082" s="1298"/>
      <c r="O1082" s="1298"/>
      <c r="P1082" s="1298"/>
      <c r="Q1082" s="1298"/>
      <c r="R1082" s="1298"/>
      <c r="S1082" s="1298"/>
      <c r="T1082" s="1298"/>
      <c r="U1082" s="1298"/>
      <c r="V1082" s="1298"/>
      <c r="W1082" s="1298"/>
      <c r="X1082" s="1298"/>
      <c r="Y1082" s="1298"/>
      <c r="Z1082" s="1298"/>
      <c r="AA1082" s="1298"/>
      <c r="AB1082" s="1298"/>
      <c r="AC1082" s="1298"/>
      <c r="AD1082" s="1298"/>
      <c r="AE1082" s="1298"/>
      <c r="AF1082" s="1298"/>
      <c r="AG1082" s="1298"/>
      <c r="AH1082" s="1298"/>
      <c r="AI1082" s="1298"/>
      <c r="AJ1082" s="1298"/>
      <c r="AK1082" s="1298"/>
      <c r="AL1082" s="1298"/>
      <c r="AM1082" s="1298"/>
      <c r="AN1082" s="1298"/>
      <c r="AO1082" s="1298"/>
      <c r="AP1082" s="1298"/>
      <c r="AQ1082" s="1298"/>
      <c r="AR1082" s="1298"/>
      <c r="AS1082" s="14"/>
    </row>
    <row r="1083" spans="1:51" ht="12.95" customHeight="1">
      <c r="A1083" s="4"/>
      <c r="B1083" s="4"/>
      <c r="C1083" s="1359"/>
      <c r="D1083" s="1359"/>
      <c r="E1083" s="1298"/>
      <c r="F1083" s="1298"/>
      <c r="G1083" s="1298"/>
      <c r="H1083" s="1298"/>
      <c r="I1083" s="1298"/>
      <c r="J1083" s="1298"/>
      <c r="K1083" s="1298"/>
      <c r="L1083" s="1298"/>
      <c r="M1083" s="1298"/>
      <c r="N1083" s="1298"/>
      <c r="O1083" s="1298"/>
      <c r="P1083" s="1298"/>
      <c r="Q1083" s="1298"/>
      <c r="R1083" s="1298"/>
      <c r="S1083" s="1298"/>
      <c r="T1083" s="1298"/>
      <c r="U1083" s="1298"/>
      <c r="V1083" s="1298"/>
      <c r="W1083" s="1298"/>
      <c r="X1083" s="1298"/>
      <c r="Y1083" s="1298"/>
      <c r="Z1083" s="1298"/>
      <c r="AA1083" s="1298"/>
      <c r="AB1083" s="1298"/>
      <c r="AC1083" s="1298"/>
      <c r="AD1083" s="1298"/>
      <c r="AE1083" s="1298"/>
      <c r="AF1083" s="1298"/>
      <c r="AG1083" s="1298"/>
      <c r="AH1083" s="1298"/>
      <c r="AI1083" s="1298"/>
      <c r="AJ1083" s="1298"/>
      <c r="AK1083" s="1298"/>
      <c r="AL1083" s="1298"/>
      <c r="AM1083" s="1298"/>
      <c r="AN1083" s="1298"/>
      <c r="AO1083" s="1298"/>
      <c r="AP1083" s="1298"/>
      <c r="AQ1083" s="1298"/>
      <c r="AR1083" s="1298"/>
      <c r="AS1083" s="14"/>
    </row>
    <row r="1084" spans="1:51" ht="12.95" customHeight="1">
      <c r="A1084" s="35"/>
      <c r="B1084" s="25"/>
      <c r="C1084" s="1359"/>
      <c r="D1084" s="1359"/>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56" t="s">
        <v>591</v>
      </c>
      <c r="B1085" s="1356"/>
      <c r="C1085" s="1359">
        <v>6</v>
      </c>
      <c r="D1085" s="1359"/>
      <c r="E1085" s="1298" t="s">
        <v>2244</v>
      </c>
      <c r="F1085" s="1298"/>
      <c r="G1085" s="1298"/>
      <c r="H1085" s="1298"/>
      <c r="I1085" s="1298"/>
      <c r="J1085" s="1298"/>
      <c r="K1085" s="1298"/>
      <c r="L1085" s="1298"/>
      <c r="M1085" s="1298"/>
      <c r="N1085" s="1298"/>
      <c r="O1085" s="1298"/>
      <c r="P1085" s="1298"/>
      <c r="Q1085" s="1298"/>
      <c r="R1085" s="1298"/>
      <c r="S1085" s="1298"/>
      <c r="T1085" s="1298"/>
      <c r="U1085" s="1298"/>
      <c r="V1085" s="1298"/>
      <c r="W1085" s="1298"/>
      <c r="X1085" s="1298"/>
      <c r="Y1085" s="1298"/>
      <c r="Z1085" s="1298"/>
      <c r="AA1085" s="1298"/>
      <c r="AB1085" s="1298"/>
      <c r="AC1085" s="1298"/>
      <c r="AD1085" s="1298"/>
      <c r="AE1085" s="1298"/>
      <c r="AF1085" s="1298"/>
      <c r="AG1085" s="1298"/>
      <c r="AH1085" s="1298"/>
      <c r="AI1085" s="1298"/>
      <c r="AJ1085" s="1298"/>
      <c r="AK1085" s="1298"/>
      <c r="AL1085" s="1298"/>
      <c r="AM1085" s="1298"/>
      <c r="AN1085" s="1298"/>
      <c r="AO1085" s="1298"/>
      <c r="AP1085" s="1298"/>
      <c r="AQ1085" s="1298"/>
      <c r="AR1085" s="1298"/>
      <c r="AS1085" s="14"/>
    </row>
    <row r="1086" spans="1:51" ht="12.95" customHeight="1">
      <c r="A1086" s="1"/>
      <c r="B1086" s="1"/>
      <c r="C1086" s="1"/>
      <c r="D1086" s="1"/>
      <c r="E1086" s="1298"/>
      <c r="F1086" s="1298"/>
      <c r="G1086" s="1298"/>
      <c r="H1086" s="1298"/>
      <c r="I1086" s="1298"/>
      <c r="J1086" s="1298"/>
      <c r="K1086" s="1298"/>
      <c r="L1086" s="1298"/>
      <c r="M1086" s="1298"/>
      <c r="N1086" s="1298"/>
      <c r="O1086" s="1298"/>
      <c r="P1086" s="1298"/>
      <c r="Q1086" s="1298"/>
      <c r="R1086" s="1298"/>
      <c r="S1086" s="1298"/>
      <c r="T1086" s="1298"/>
      <c r="U1086" s="1298"/>
      <c r="V1086" s="1298"/>
      <c r="W1086" s="1298"/>
      <c r="X1086" s="1298"/>
      <c r="Y1086" s="1298"/>
      <c r="Z1086" s="1298"/>
      <c r="AA1086" s="1298"/>
      <c r="AB1086" s="1298"/>
      <c r="AC1086" s="1298"/>
      <c r="AD1086" s="1298"/>
      <c r="AE1086" s="1298"/>
      <c r="AF1086" s="1298"/>
      <c r="AG1086" s="1298"/>
      <c r="AH1086" s="1298"/>
      <c r="AI1086" s="1298"/>
      <c r="AJ1086" s="1298"/>
      <c r="AK1086" s="1298"/>
      <c r="AL1086" s="1298"/>
      <c r="AM1086" s="1298"/>
      <c r="AN1086" s="1298"/>
      <c r="AO1086" s="1298"/>
      <c r="AP1086" s="1298"/>
      <c r="AQ1086" s="1298"/>
      <c r="AR1086" s="1298"/>
      <c r="AS1086" s="14"/>
    </row>
    <row r="1087" spans="1:51" ht="12.95" customHeight="1">
      <c r="A1087" s="1"/>
      <c r="B1087" s="1"/>
      <c r="C1087" s="1359"/>
      <c r="D1087" s="1359"/>
      <c r="E1087" s="1298"/>
      <c r="F1087" s="1298"/>
      <c r="G1087" s="1298"/>
      <c r="H1087" s="1298"/>
      <c r="I1087" s="1298"/>
      <c r="J1087" s="1298"/>
      <c r="K1087" s="1298"/>
      <c r="L1087" s="1298"/>
      <c r="M1087" s="1298"/>
      <c r="N1087" s="1298"/>
      <c r="O1087" s="1298"/>
      <c r="P1087" s="1298"/>
      <c r="Q1087" s="1298"/>
      <c r="R1087" s="1298"/>
      <c r="S1087" s="1298"/>
      <c r="T1087" s="1298"/>
      <c r="U1087" s="1298"/>
      <c r="V1087" s="1298"/>
      <c r="W1087" s="1298"/>
      <c r="X1087" s="1298"/>
      <c r="Y1087" s="1298"/>
      <c r="Z1087" s="1298"/>
      <c r="AA1087" s="1298"/>
      <c r="AB1087" s="1298"/>
      <c r="AC1087" s="1298"/>
      <c r="AD1087" s="1298"/>
      <c r="AE1087" s="1298"/>
      <c r="AF1087" s="1298"/>
      <c r="AG1087" s="1298"/>
      <c r="AH1087" s="1298"/>
      <c r="AI1087" s="1298"/>
      <c r="AJ1087" s="1298"/>
      <c r="AK1087" s="1298"/>
      <c r="AL1087" s="1298"/>
      <c r="AM1087" s="1298"/>
      <c r="AN1087" s="1298"/>
      <c r="AO1087" s="1298"/>
      <c r="AP1087" s="1298"/>
      <c r="AQ1087" s="1298"/>
      <c r="AR1087" s="1298"/>
      <c r="AS1087" s="14"/>
    </row>
    <row r="1088" spans="1:51" ht="12.95" customHeight="1">
      <c r="A1088" s="35"/>
      <c r="B1088" s="25"/>
      <c r="C1088" s="1359"/>
      <c r="D1088" s="1359"/>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56" t="s">
        <v>591</v>
      </c>
      <c r="B1089" s="1356"/>
      <c r="C1089" s="1359">
        <v>7</v>
      </c>
      <c r="D1089" s="1359"/>
      <c r="E1089" s="1298" t="s">
        <v>2139</v>
      </c>
      <c r="F1089" s="1298"/>
      <c r="G1089" s="1298"/>
      <c r="H1089" s="1298"/>
      <c r="I1089" s="1298"/>
      <c r="J1089" s="1298"/>
      <c r="K1089" s="1298"/>
      <c r="L1089" s="1298"/>
      <c r="M1089" s="1298"/>
      <c r="N1089" s="1298"/>
      <c r="O1089" s="1298"/>
      <c r="P1089" s="1298"/>
      <c r="Q1089" s="1298"/>
      <c r="R1089" s="1298"/>
      <c r="S1089" s="1298"/>
      <c r="T1089" s="1298"/>
      <c r="U1089" s="1298"/>
      <c r="V1089" s="1298"/>
      <c r="W1089" s="1298"/>
      <c r="X1089" s="1298"/>
      <c r="Y1089" s="1298"/>
      <c r="Z1089" s="1298"/>
      <c r="AA1089" s="1298"/>
      <c r="AB1089" s="1298"/>
      <c r="AC1089" s="1298"/>
      <c r="AD1089" s="1298"/>
      <c r="AE1089" s="1298"/>
      <c r="AF1089" s="1298"/>
      <c r="AG1089" s="1298"/>
      <c r="AH1089" s="1298"/>
      <c r="AI1089" s="1298"/>
      <c r="AJ1089" s="1298"/>
      <c r="AK1089" s="1298"/>
      <c r="AL1089" s="1298"/>
      <c r="AM1089" s="1298"/>
      <c r="AN1089" s="1298"/>
      <c r="AO1089" s="1298"/>
      <c r="AP1089" s="1298"/>
      <c r="AQ1089" s="1298"/>
      <c r="AR1089" s="1298"/>
      <c r="AS1089" s="14"/>
    </row>
    <row r="1090" spans="1:45" ht="12.95" customHeight="1">
      <c r="A1090" s="1"/>
      <c r="B1090" s="1"/>
      <c r="C1090" s="1359"/>
      <c r="D1090" s="1359"/>
      <c r="E1090" s="1298"/>
      <c r="F1090" s="1298"/>
      <c r="G1090" s="1298"/>
      <c r="H1090" s="1298"/>
      <c r="I1090" s="1298"/>
      <c r="J1090" s="1298"/>
      <c r="K1090" s="1298"/>
      <c r="L1090" s="1298"/>
      <c r="M1090" s="1298"/>
      <c r="N1090" s="1298"/>
      <c r="O1090" s="1298"/>
      <c r="P1090" s="1298"/>
      <c r="Q1090" s="1298"/>
      <c r="R1090" s="1298"/>
      <c r="S1090" s="1298"/>
      <c r="T1090" s="1298"/>
      <c r="U1090" s="1298"/>
      <c r="V1090" s="1298"/>
      <c r="W1090" s="1298"/>
      <c r="X1090" s="1298"/>
      <c r="Y1090" s="1298"/>
      <c r="Z1090" s="1298"/>
      <c r="AA1090" s="1298"/>
      <c r="AB1090" s="1298"/>
      <c r="AC1090" s="1298"/>
      <c r="AD1090" s="1298"/>
      <c r="AE1090" s="1298"/>
      <c r="AF1090" s="1298"/>
      <c r="AG1090" s="1298"/>
      <c r="AH1090" s="1298"/>
      <c r="AI1090" s="1298"/>
      <c r="AJ1090" s="1298"/>
      <c r="AK1090" s="1298"/>
      <c r="AL1090" s="1298"/>
      <c r="AM1090" s="1298"/>
      <c r="AN1090" s="1298"/>
      <c r="AO1090" s="1298"/>
      <c r="AP1090" s="1298"/>
      <c r="AQ1090" s="1298"/>
      <c r="AR1090" s="1298"/>
      <c r="AS1090" s="14"/>
    </row>
    <row r="1091" spans="1:45" ht="12.95" customHeight="1">
      <c r="A1091" s="1"/>
      <c r="B1091" s="1"/>
      <c r="C1091" s="1359"/>
      <c r="D1091" s="1359"/>
      <c r="E1091" s="1298"/>
      <c r="F1091" s="1298"/>
      <c r="G1091" s="1298"/>
      <c r="H1091" s="1298"/>
      <c r="I1091" s="1298"/>
      <c r="J1091" s="1298"/>
      <c r="K1091" s="1298"/>
      <c r="L1091" s="1298"/>
      <c r="M1091" s="1298"/>
      <c r="N1091" s="1298"/>
      <c r="O1091" s="1298"/>
      <c r="P1091" s="1298"/>
      <c r="Q1091" s="1298"/>
      <c r="R1091" s="1298"/>
      <c r="S1091" s="1298"/>
      <c r="T1091" s="1298"/>
      <c r="U1091" s="1298"/>
      <c r="V1091" s="1298"/>
      <c r="W1091" s="1298"/>
      <c r="X1091" s="1298"/>
      <c r="Y1091" s="1298"/>
      <c r="Z1091" s="1298"/>
      <c r="AA1091" s="1298"/>
      <c r="AB1091" s="1298"/>
      <c r="AC1091" s="1298"/>
      <c r="AD1091" s="1298"/>
      <c r="AE1091" s="1298"/>
      <c r="AF1091" s="1298"/>
      <c r="AG1091" s="1298"/>
      <c r="AH1091" s="1298"/>
      <c r="AI1091" s="1298"/>
      <c r="AJ1091" s="1298"/>
      <c r="AK1091" s="1298"/>
      <c r="AL1091" s="1298"/>
      <c r="AM1091" s="1298"/>
      <c r="AN1091" s="1298"/>
      <c r="AO1091" s="1298"/>
      <c r="AP1091" s="1298"/>
      <c r="AQ1091" s="1298"/>
      <c r="AR1091" s="1298"/>
      <c r="AS1091" s="14"/>
    </row>
    <row r="1092" spans="1:45" ht="12.95" customHeight="1">
      <c r="A1092" s="1"/>
      <c r="B1092" s="1"/>
      <c r="C1092" s="1359"/>
      <c r="D1092" s="1359"/>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59"/>
      <c r="D1093" s="1359"/>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56" t="s">
        <v>591</v>
      </c>
      <c r="B1094" s="1356"/>
      <c r="C1094" s="1359">
        <v>8</v>
      </c>
      <c r="D1094" s="1359"/>
      <c r="E1094" s="1298" t="s">
        <v>1073</v>
      </c>
      <c r="F1094" s="1298"/>
      <c r="G1094" s="1298"/>
      <c r="H1094" s="1298"/>
      <c r="I1094" s="1298"/>
      <c r="J1094" s="1298"/>
      <c r="K1094" s="1298"/>
      <c r="L1094" s="1298"/>
      <c r="M1094" s="1298"/>
      <c r="N1094" s="1298"/>
      <c r="O1094" s="1298"/>
      <c r="P1094" s="1298"/>
      <c r="Q1094" s="1298"/>
      <c r="R1094" s="1298"/>
      <c r="S1094" s="1298"/>
      <c r="T1094" s="1298"/>
      <c r="U1094" s="1298"/>
      <c r="V1094" s="1298"/>
      <c r="W1094" s="1298"/>
      <c r="X1094" s="1298"/>
      <c r="Y1094" s="1298"/>
      <c r="Z1094" s="1298"/>
      <c r="AA1094" s="1298"/>
      <c r="AB1094" s="1298"/>
      <c r="AC1094" s="1298"/>
      <c r="AD1094" s="1298"/>
      <c r="AE1094" s="1298"/>
      <c r="AF1094" s="1298"/>
      <c r="AG1094" s="1298"/>
      <c r="AH1094" s="1298"/>
      <c r="AI1094" s="1298"/>
      <c r="AJ1094" s="1298"/>
      <c r="AK1094" s="1298"/>
      <c r="AL1094" s="1298"/>
      <c r="AM1094" s="1298"/>
      <c r="AN1094" s="1298"/>
      <c r="AO1094" s="1298"/>
      <c r="AP1094" s="1298"/>
      <c r="AQ1094" s="1298"/>
      <c r="AR1094" s="1298"/>
    </row>
    <row r="1095" spans="1:45" ht="12.95" customHeight="1">
      <c r="A1095" s="35"/>
      <c r="B1095" s="25"/>
      <c r="C1095" s="1359"/>
      <c r="D1095" s="1359"/>
      <c r="E1095" s="1298"/>
      <c r="F1095" s="1298"/>
      <c r="G1095" s="1298"/>
      <c r="H1095" s="1298"/>
      <c r="I1095" s="1298"/>
      <c r="J1095" s="1298"/>
      <c r="K1095" s="1298"/>
      <c r="L1095" s="1298"/>
      <c r="M1095" s="1298"/>
      <c r="N1095" s="1298"/>
      <c r="O1095" s="1298"/>
      <c r="P1095" s="1298"/>
      <c r="Q1095" s="1298"/>
      <c r="R1095" s="1298"/>
      <c r="S1095" s="1298"/>
      <c r="T1095" s="1298"/>
      <c r="U1095" s="1298"/>
      <c r="V1095" s="1298"/>
      <c r="W1095" s="1298"/>
      <c r="X1095" s="1298"/>
      <c r="Y1095" s="1298"/>
      <c r="Z1095" s="1298"/>
      <c r="AA1095" s="1298"/>
      <c r="AB1095" s="1298"/>
      <c r="AC1095" s="1298"/>
      <c r="AD1095" s="1298"/>
      <c r="AE1095" s="1298"/>
      <c r="AF1095" s="1298"/>
      <c r="AG1095" s="1298"/>
      <c r="AH1095" s="1298"/>
      <c r="AI1095" s="1298"/>
      <c r="AJ1095" s="1298"/>
      <c r="AK1095" s="1298"/>
      <c r="AL1095" s="1298"/>
      <c r="AM1095" s="1298"/>
      <c r="AN1095" s="1298"/>
      <c r="AO1095" s="1298"/>
      <c r="AP1095" s="1298"/>
      <c r="AQ1095" s="1298"/>
      <c r="AR1095" s="1298"/>
    </row>
    <row r="1096" spans="1:45" ht="12.95" customHeight="1">
      <c r="A1096" s="35"/>
      <c r="B1096" s="25"/>
      <c r="C1096" s="1359"/>
      <c r="D1096" s="1359"/>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56" t="s">
        <v>591</v>
      </c>
      <c r="B1097" s="1356"/>
      <c r="C1097" s="1357">
        <v>9</v>
      </c>
      <c r="D1097" s="1357"/>
      <c r="E1097" s="1298" t="s">
        <v>1075</v>
      </c>
      <c r="F1097" s="1298"/>
      <c r="G1097" s="1298"/>
      <c r="H1097" s="1298"/>
      <c r="I1097" s="1298"/>
      <c r="J1097" s="1298"/>
      <c r="K1097" s="1298"/>
      <c r="L1097" s="1298"/>
      <c r="M1097" s="1298"/>
      <c r="N1097" s="1298"/>
      <c r="O1097" s="1298"/>
      <c r="P1097" s="1298"/>
      <c r="Q1097" s="1298"/>
      <c r="R1097" s="1298"/>
      <c r="S1097" s="1298"/>
      <c r="T1097" s="1298"/>
      <c r="U1097" s="1298"/>
      <c r="V1097" s="1298"/>
      <c r="W1097" s="1298"/>
      <c r="X1097" s="1298"/>
      <c r="Y1097" s="1298"/>
      <c r="Z1097" s="1298"/>
      <c r="AA1097" s="1298"/>
      <c r="AB1097" s="1298"/>
      <c r="AC1097" s="1298"/>
      <c r="AD1097" s="1298"/>
      <c r="AE1097" s="1298"/>
      <c r="AF1097" s="1298"/>
      <c r="AG1097" s="1298"/>
      <c r="AH1097" s="1298"/>
      <c r="AI1097" s="1298"/>
      <c r="AJ1097" s="1298"/>
      <c r="AK1097" s="1298"/>
      <c r="AL1097" s="1298"/>
      <c r="AM1097" s="1298"/>
      <c r="AN1097" s="1298"/>
      <c r="AO1097" s="1298"/>
      <c r="AP1097" s="1298"/>
      <c r="AQ1097" s="1298"/>
      <c r="AR1097" s="1298"/>
    </row>
    <row r="1098" spans="1:45" ht="12.95" customHeight="1">
      <c r="A1098" s="1"/>
      <c r="B1098" s="1"/>
      <c r="C1098" s="1357"/>
      <c r="D1098" s="1357"/>
      <c r="E1098" s="1298"/>
      <c r="F1098" s="1298"/>
      <c r="G1098" s="1298"/>
      <c r="H1098" s="1298"/>
      <c r="I1098" s="1298"/>
      <c r="J1098" s="1298"/>
      <c r="K1098" s="1298"/>
      <c r="L1098" s="1298"/>
      <c r="M1098" s="1298"/>
      <c r="N1098" s="1298"/>
      <c r="O1098" s="1298"/>
      <c r="P1098" s="1298"/>
      <c r="Q1098" s="1298"/>
      <c r="R1098" s="1298"/>
      <c r="S1098" s="1298"/>
      <c r="T1098" s="1298"/>
      <c r="U1098" s="1298"/>
      <c r="V1098" s="1298"/>
      <c r="W1098" s="1298"/>
      <c r="X1098" s="1298"/>
      <c r="Y1098" s="1298"/>
      <c r="Z1098" s="1298"/>
      <c r="AA1098" s="1298"/>
      <c r="AB1098" s="1298"/>
      <c r="AC1098" s="1298"/>
      <c r="AD1098" s="1298"/>
      <c r="AE1098" s="1298"/>
      <c r="AF1098" s="1298"/>
      <c r="AG1098" s="1298"/>
      <c r="AH1098" s="1298"/>
      <c r="AI1098" s="1298"/>
      <c r="AJ1098" s="1298"/>
      <c r="AK1098" s="1298"/>
      <c r="AL1098" s="1298"/>
      <c r="AM1098" s="1298"/>
      <c r="AN1098" s="1298"/>
      <c r="AO1098" s="1298"/>
      <c r="AP1098" s="1298"/>
      <c r="AQ1098" s="1298"/>
      <c r="AR1098" s="1298"/>
    </row>
    <row r="1099" spans="1:45" ht="12.95" customHeight="1">
      <c r="A1099" s="35"/>
      <c r="B1099" s="25"/>
      <c r="C1099" s="1357"/>
      <c r="D1099" s="1357"/>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56" t="s">
        <v>591</v>
      </c>
      <c r="B1100" s="1356"/>
      <c r="C1100" s="1357">
        <v>10</v>
      </c>
      <c r="D1100" s="1357"/>
      <c r="E1100" s="1358" t="s">
        <v>2240</v>
      </c>
      <c r="F1100" s="1358"/>
      <c r="G1100" s="1358"/>
      <c r="H1100" s="1358"/>
      <c r="I1100" s="1358"/>
      <c r="J1100" s="1358"/>
      <c r="K1100" s="1358"/>
      <c r="L1100" s="1358"/>
      <c r="M1100" s="1358"/>
      <c r="N1100" s="1358"/>
      <c r="O1100" s="1358"/>
      <c r="P1100" s="1358"/>
      <c r="Q1100" s="1358"/>
      <c r="R1100" s="1358"/>
      <c r="S1100" s="1358"/>
      <c r="T1100" s="1358"/>
      <c r="U1100" s="1358"/>
      <c r="V1100" s="1358"/>
      <c r="W1100" s="1358"/>
      <c r="X1100" s="1358"/>
      <c r="Y1100" s="1358"/>
      <c r="Z1100" s="1358"/>
      <c r="AA1100" s="1358"/>
      <c r="AB1100" s="1358"/>
      <c r="AC1100" s="1358"/>
      <c r="AD1100" s="1358"/>
      <c r="AE1100" s="1358"/>
      <c r="AF1100" s="1358"/>
      <c r="AG1100" s="1358"/>
      <c r="AH1100" s="1358"/>
      <c r="AI1100" s="1358"/>
      <c r="AJ1100" s="1358"/>
      <c r="AK1100" s="1358"/>
      <c r="AL1100" s="1358"/>
      <c r="AM1100" s="1358"/>
      <c r="AN1100" s="1358"/>
      <c r="AO1100" s="1358"/>
      <c r="AP1100" s="1358"/>
      <c r="AQ1100" s="1358"/>
      <c r="AR1100" s="1358"/>
    </row>
    <row r="1101" spans="1:45" ht="12.95" customHeight="1">
      <c r="A1101" s="1"/>
      <c r="B1101" s="1"/>
      <c r="C1101" s="199"/>
      <c r="D1101" s="1161"/>
      <c r="E1101" s="1358"/>
      <c r="F1101" s="1358"/>
      <c r="G1101" s="1358"/>
      <c r="H1101" s="1358"/>
      <c r="I1101" s="1358"/>
      <c r="J1101" s="1358"/>
      <c r="K1101" s="1358"/>
      <c r="L1101" s="1358"/>
      <c r="M1101" s="1358"/>
      <c r="N1101" s="1358"/>
      <c r="O1101" s="1358"/>
      <c r="P1101" s="1358"/>
      <c r="Q1101" s="1358"/>
      <c r="R1101" s="1358"/>
      <c r="S1101" s="1358"/>
      <c r="T1101" s="1358"/>
      <c r="U1101" s="1358"/>
      <c r="V1101" s="1358"/>
      <c r="W1101" s="1358"/>
      <c r="X1101" s="1358"/>
      <c r="Y1101" s="1358"/>
      <c r="Z1101" s="1358"/>
      <c r="AA1101" s="1358"/>
      <c r="AB1101" s="1358"/>
      <c r="AC1101" s="1358"/>
      <c r="AD1101" s="1358"/>
      <c r="AE1101" s="1358"/>
      <c r="AF1101" s="1358"/>
      <c r="AG1101" s="1358"/>
      <c r="AH1101" s="1358"/>
      <c r="AI1101" s="1358"/>
      <c r="AJ1101" s="1358"/>
      <c r="AK1101" s="1358"/>
      <c r="AL1101" s="1358"/>
      <c r="AM1101" s="1358"/>
      <c r="AN1101" s="1358"/>
      <c r="AO1101" s="1358"/>
      <c r="AP1101" s="1358"/>
      <c r="AQ1101" s="1358"/>
      <c r="AR1101" s="1358"/>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56" t="s">
        <v>591</v>
      </c>
      <c r="B1103" s="1356"/>
      <c r="C1103" s="1357">
        <v>11</v>
      </c>
      <c r="D1103" s="1357"/>
      <c r="E1103" s="1358" t="s">
        <v>2242</v>
      </c>
      <c r="F1103" s="1358"/>
      <c r="G1103" s="1358"/>
      <c r="H1103" s="1358"/>
      <c r="I1103" s="1358"/>
      <c r="J1103" s="1358"/>
      <c r="K1103" s="1358"/>
      <c r="L1103" s="1358"/>
      <c r="M1103" s="1358"/>
      <c r="N1103" s="1358"/>
      <c r="O1103" s="1358"/>
      <c r="P1103" s="1358"/>
      <c r="Q1103" s="1358"/>
      <c r="R1103" s="1358"/>
      <c r="S1103" s="1358"/>
      <c r="T1103" s="1358"/>
      <c r="U1103" s="1358"/>
      <c r="V1103" s="1358"/>
      <c r="W1103" s="1358"/>
      <c r="X1103" s="1358"/>
      <c r="Y1103" s="1358"/>
      <c r="Z1103" s="1358"/>
      <c r="AA1103" s="1358"/>
      <c r="AB1103" s="1358"/>
      <c r="AC1103" s="1358"/>
      <c r="AD1103" s="1358"/>
      <c r="AE1103" s="1358"/>
      <c r="AF1103" s="1358"/>
      <c r="AG1103" s="1358"/>
      <c r="AH1103" s="1358"/>
      <c r="AI1103" s="1358"/>
      <c r="AJ1103" s="1358"/>
      <c r="AK1103" s="1358"/>
      <c r="AL1103" s="1358"/>
      <c r="AM1103" s="1358"/>
      <c r="AN1103" s="1358"/>
      <c r="AO1103" s="1358"/>
      <c r="AP1103" s="1358"/>
      <c r="AQ1103" s="1358"/>
      <c r="AR1103" s="1358"/>
    </row>
    <row r="1104" spans="1:45" ht="12.95" customHeight="1">
      <c r="A1104" s="1"/>
      <c r="B1104" s="1"/>
      <c r="C1104" s="199"/>
      <c r="D1104" s="1161"/>
      <c r="E1104" s="1358"/>
      <c r="F1104" s="1358"/>
      <c r="G1104" s="1358"/>
      <c r="H1104" s="1358"/>
      <c r="I1104" s="1358"/>
      <c r="J1104" s="1358"/>
      <c r="K1104" s="1358"/>
      <c r="L1104" s="1358"/>
      <c r="M1104" s="1358"/>
      <c r="N1104" s="1358"/>
      <c r="O1104" s="1358"/>
      <c r="P1104" s="1358"/>
      <c r="Q1104" s="1358"/>
      <c r="R1104" s="1358"/>
      <c r="S1104" s="1358"/>
      <c r="T1104" s="1358"/>
      <c r="U1104" s="1358"/>
      <c r="V1104" s="1358"/>
      <c r="W1104" s="1358"/>
      <c r="X1104" s="1358"/>
      <c r="Y1104" s="1358"/>
      <c r="Z1104" s="1358"/>
      <c r="AA1104" s="1358"/>
      <c r="AB1104" s="1358"/>
      <c r="AC1104" s="1358"/>
      <c r="AD1104" s="1358"/>
      <c r="AE1104" s="1358"/>
      <c r="AF1104" s="1358"/>
      <c r="AG1104" s="1358"/>
      <c r="AH1104" s="1358"/>
      <c r="AI1104" s="1358"/>
      <c r="AJ1104" s="1358"/>
      <c r="AK1104" s="1358"/>
      <c r="AL1104" s="1358"/>
      <c r="AM1104" s="1358"/>
      <c r="AN1104" s="1358"/>
      <c r="AO1104" s="1358"/>
      <c r="AP1104" s="1358"/>
      <c r="AQ1104" s="1358"/>
      <c r="AR1104" s="1358"/>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56" t="s">
        <v>591</v>
      </c>
      <c r="B1125" s="1356"/>
      <c r="C1125" s="199">
        <v>9</v>
      </c>
      <c r="D1125" s="1268" t="s">
        <v>1074</v>
      </c>
      <c r="E1125" s="1268"/>
      <c r="F1125" s="1268"/>
      <c r="G1125" s="1268"/>
      <c r="H1125" s="1268"/>
      <c r="I1125" s="1268"/>
      <c r="J1125" s="1268"/>
      <c r="K1125" s="1268"/>
      <c r="L1125" s="1268"/>
      <c r="M1125" s="1268"/>
      <c r="N1125" s="1268"/>
      <c r="O1125" s="1268"/>
      <c r="P1125" s="1268"/>
      <c r="Q1125" s="1268"/>
      <c r="R1125" s="1268"/>
      <c r="S1125" s="1268"/>
      <c r="T1125" s="1268"/>
      <c r="U1125" s="1268"/>
      <c r="V1125" s="1268"/>
      <c r="W1125" s="1268"/>
      <c r="X1125" s="1268"/>
      <c r="Y1125" s="1268"/>
      <c r="Z1125" s="1268"/>
      <c r="AA1125" s="1268"/>
      <c r="AB1125" s="1268"/>
      <c r="AC1125" s="1268"/>
      <c r="AD1125" s="1268"/>
      <c r="AE1125" s="1268"/>
      <c r="AF1125" s="1268"/>
      <c r="AG1125" s="1268"/>
      <c r="AH1125" s="1268"/>
      <c r="AI1125" s="1268"/>
      <c r="AJ1125" s="1268"/>
      <c r="AK1125" s="1268"/>
    </row>
    <row r="1126" spans="1:37" ht="0" hidden="1" customHeight="1">
      <c r="A1126" s="35"/>
      <c r="B1126" s="25"/>
      <c r="C1126" s="199"/>
      <c r="D1126" s="1268"/>
      <c r="E1126" s="1268"/>
      <c r="F1126" s="1268"/>
      <c r="G1126" s="1268"/>
      <c r="H1126" s="1268"/>
      <c r="I1126" s="1268"/>
      <c r="J1126" s="1268"/>
      <c r="K1126" s="1268"/>
      <c r="L1126" s="1268"/>
      <c r="M1126" s="1268"/>
      <c r="N1126" s="1268"/>
      <c r="O1126" s="1268"/>
      <c r="P1126" s="1268"/>
      <c r="Q1126" s="1268"/>
      <c r="R1126" s="1268"/>
      <c r="S1126" s="1268"/>
      <c r="T1126" s="1268"/>
      <c r="U1126" s="1268"/>
      <c r="V1126" s="1268"/>
      <c r="W1126" s="1268"/>
      <c r="X1126" s="1268"/>
      <c r="Y1126" s="1268"/>
      <c r="Z1126" s="1268"/>
      <c r="AA1126" s="1268"/>
      <c r="AB1126" s="1268"/>
      <c r="AC1126" s="1268"/>
      <c r="AD1126" s="1268"/>
      <c r="AE1126" s="1268"/>
      <c r="AF1126" s="1268"/>
      <c r="AG1126" s="1268"/>
      <c r="AH1126" s="1268"/>
      <c r="AI1126" s="1268"/>
      <c r="AJ1126" s="1268"/>
      <c r="AK1126" s="1268"/>
    </row>
    <row r="1127" spans="1:37" ht="0" hidden="1" customHeight="1">
      <c r="D1127" s="1268"/>
      <c r="E1127" s="1268"/>
      <c r="F1127" s="1268"/>
      <c r="G1127" s="1268"/>
      <c r="H1127" s="1268"/>
      <c r="I1127" s="1268"/>
      <c r="J1127" s="1268"/>
      <c r="K1127" s="1268"/>
      <c r="L1127" s="1268"/>
      <c r="M1127" s="1268"/>
      <c r="N1127" s="1268"/>
      <c r="O1127" s="1268"/>
      <c r="P1127" s="1268"/>
      <c r="Q1127" s="1268"/>
      <c r="R1127" s="1268"/>
      <c r="S1127" s="1268"/>
      <c r="T1127" s="1268"/>
      <c r="U1127" s="1268"/>
      <c r="V1127" s="1268"/>
      <c r="W1127" s="1268"/>
      <c r="X1127" s="1268"/>
      <c r="Y1127" s="1268"/>
      <c r="Z1127" s="1268"/>
      <c r="AA1127" s="1268"/>
      <c r="AB1127" s="1268"/>
      <c r="AC1127" s="1268"/>
      <c r="AD1127" s="1268"/>
      <c r="AE1127" s="1268"/>
      <c r="AF1127" s="1268"/>
      <c r="AG1127" s="1268"/>
      <c r="AH1127" s="1268"/>
      <c r="AI1127" s="1268"/>
      <c r="AJ1127" s="1268"/>
      <c r="AK1127" s="1268"/>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73">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O792:DS792"/>
    <mergeCell ref="EO797:ES797"/>
    <mergeCell ref="DZ787:ED787"/>
    <mergeCell ref="DZ788:ED788"/>
    <mergeCell ref="DZ789:ED789"/>
    <mergeCell ref="DZ790:ED790"/>
    <mergeCell ref="DZ791:ED791"/>
    <mergeCell ref="DZ792:ED792"/>
    <mergeCell ref="DZ793:ED793"/>
    <mergeCell ref="DZ794:ED794"/>
    <mergeCell ref="DZ795:ED795"/>
    <mergeCell ref="DZ796:ED796"/>
    <mergeCell ref="EO789:ES789"/>
    <mergeCell ref="EO790:ES790"/>
    <mergeCell ref="EO791:ES791"/>
    <mergeCell ref="EO792:ES792"/>
    <mergeCell ref="EO793:ES793"/>
    <mergeCell ref="EO794:ES794"/>
    <mergeCell ref="EO795:ES795"/>
    <mergeCell ref="DJ795:DN795"/>
    <mergeCell ref="EJ790:EN790"/>
    <mergeCell ref="EJ791:EN791"/>
    <mergeCell ref="EJ792:EN792"/>
    <mergeCell ref="EJ793:EN793"/>
    <mergeCell ref="EJ794:EN794"/>
    <mergeCell ref="EJ795:EN795"/>
    <mergeCell ref="EJ796:EN796"/>
    <mergeCell ref="EJ797:EN797"/>
    <mergeCell ref="EO787:ES787"/>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96:ES796"/>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DU797:DY797"/>
    <mergeCell ref="EJ788:EN788"/>
    <mergeCell ref="EJ789:EN789"/>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DE746:DI746"/>
    <mergeCell ref="CU751:CY751"/>
    <mergeCell ref="CU776:CY776"/>
    <mergeCell ref="CP750:CT750"/>
    <mergeCell ref="CU750:CY750"/>
    <mergeCell ref="CP751:CT751"/>
    <mergeCell ref="CM751:CN751"/>
    <mergeCell ref="CP789:CT789"/>
    <mergeCell ref="CP787:CT787"/>
    <mergeCell ref="CI753:CJ753"/>
    <mergeCell ref="CM753:CN753"/>
    <mergeCell ref="CP794:CT794"/>
    <mergeCell ref="CZ744:DD744"/>
    <mergeCell ref="DZ741:ED741"/>
    <mergeCell ref="DJ747:DN747"/>
    <mergeCell ref="DO747:DS747"/>
    <mergeCell ref="CI748:CJ748"/>
    <mergeCell ref="CI742:CJ742"/>
    <mergeCell ref="DU745:DY745"/>
    <mergeCell ref="DZ745:ED745"/>
    <mergeCell ref="CI743:CJ743"/>
    <mergeCell ref="CK743:CL743"/>
    <mergeCell ref="CM743:CN743"/>
    <mergeCell ref="CP740:CT740"/>
    <mergeCell ref="CZ733:DD733"/>
    <mergeCell ref="CZ736:DD736"/>
    <mergeCell ref="CM731:CN731"/>
    <mergeCell ref="AK747:AO747"/>
    <mergeCell ref="CZ732:DD732"/>
    <mergeCell ref="CP748:CT748"/>
    <mergeCell ref="CU748:CY748"/>
    <mergeCell ref="CG748:CH748"/>
    <mergeCell ref="CK746:CL746"/>
    <mergeCell ref="CM746:CN746"/>
    <mergeCell ref="CG739:CH739"/>
    <mergeCell ref="CG740:CH740"/>
    <mergeCell ref="CP746:CT746"/>
    <mergeCell ref="CU746:CY746"/>
    <mergeCell ref="CG743:CH743"/>
    <mergeCell ref="CU734:CY734"/>
    <mergeCell ref="CP736:CT736"/>
    <mergeCell ref="CM737:CN737"/>
    <mergeCell ref="CU737:CY737"/>
    <mergeCell ref="CZ738:DD738"/>
    <mergeCell ref="CM736:CN736"/>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CK744:CL744"/>
    <mergeCell ref="CM744:CN744"/>
    <mergeCell ref="CG742:CH742"/>
    <mergeCell ref="CK742:CL742"/>
    <mergeCell ref="ET753:EX753"/>
    <mergeCell ref="ET752:EX752"/>
    <mergeCell ref="EO751:ES751"/>
    <mergeCell ref="CZ752:DD752"/>
    <mergeCell ref="FE751:FI751"/>
    <mergeCell ref="FJ751:FN751"/>
    <mergeCell ref="DE751:DI751"/>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C531:AF531"/>
    <mergeCell ref="AC539:AF539"/>
    <mergeCell ref="DE741:DI741"/>
    <mergeCell ref="CK733:CL733"/>
    <mergeCell ref="CU744:CY744"/>
    <mergeCell ref="CI738:CJ738"/>
    <mergeCell ref="CP741:CT741"/>
    <mergeCell ref="Z554:AD554"/>
    <mergeCell ref="AH531:AK531"/>
    <mergeCell ref="AH540:AK540"/>
    <mergeCell ref="AC515:AF515"/>
    <mergeCell ref="AC514:AF514"/>
    <mergeCell ref="AH538:AK538"/>
    <mergeCell ref="AC532:AF532"/>
    <mergeCell ref="Z551:AD553"/>
    <mergeCell ref="AH513:AK513"/>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C517:AF517"/>
    <mergeCell ref="T556:V556"/>
    <mergeCell ref="AC520:AF520"/>
    <mergeCell ref="AC527:AF527"/>
    <mergeCell ref="C554:L554"/>
    <mergeCell ref="Z557:AD557"/>
    <mergeCell ref="T562:V562"/>
    <mergeCell ref="Q556:S556"/>
    <mergeCell ref="W556:Y556"/>
    <mergeCell ref="Q558:S558"/>
    <mergeCell ref="T558:V558"/>
    <mergeCell ref="AH534:AK534"/>
    <mergeCell ref="O523:AA523"/>
    <mergeCell ref="M551:P553"/>
    <mergeCell ref="AH535:AK535"/>
    <mergeCell ref="G646:R646"/>
    <mergeCell ref="Z652:AK652"/>
    <mergeCell ref="AM560:AS560"/>
    <mergeCell ref="Q555:S555"/>
    <mergeCell ref="AG443:AJ443"/>
    <mergeCell ref="AG444:AJ444"/>
    <mergeCell ref="AC541:AF541"/>
    <mergeCell ref="D440:AF440"/>
    <mergeCell ref="W557:Y557"/>
    <mergeCell ref="AC526:AF526"/>
    <mergeCell ref="AE557:AH557"/>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AC538:AF538"/>
    <mergeCell ref="S489:AK490"/>
    <mergeCell ref="AC504:AF504"/>
    <mergeCell ref="B520:H542"/>
    <mergeCell ref="M557:P557"/>
    <mergeCell ref="AH530:AK530"/>
    <mergeCell ref="Z556:AD556"/>
    <mergeCell ref="AI555:AL555"/>
    <mergeCell ref="AI556:AL556"/>
    <mergeCell ref="AH529:AK529"/>
    <mergeCell ref="AH539:AK539"/>
    <mergeCell ref="AH541:AK541"/>
    <mergeCell ref="AC535:AF535"/>
    <mergeCell ref="AI554:AL554"/>
    <mergeCell ref="AI558:AL558"/>
    <mergeCell ref="Q551:S553"/>
    <mergeCell ref="T551:V553"/>
    <mergeCell ref="M555:P555"/>
    <mergeCell ref="Q557:S557"/>
    <mergeCell ref="C555:L555"/>
    <mergeCell ref="C556:L556"/>
    <mergeCell ref="M556:P556"/>
    <mergeCell ref="C559:L559"/>
    <mergeCell ref="AC521:AF521"/>
    <mergeCell ref="AH527:AK527"/>
    <mergeCell ref="AH524:AK524"/>
    <mergeCell ref="AH525:AK525"/>
    <mergeCell ref="AC528:AF528"/>
    <mergeCell ref="AC533:AF533"/>
    <mergeCell ref="O535:AA535"/>
    <mergeCell ref="AC542:AF542"/>
    <mergeCell ref="AE555:AH555"/>
    <mergeCell ref="Z555:AD555"/>
    <mergeCell ref="AG379:AH379"/>
    <mergeCell ref="S392:U392"/>
    <mergeCell ref="AG390:AJ390"/>
    <mergeCell ref="Q391:U391"/>
    <mergeCell ref="N372:Q372"/>
    <mergeCell ref="AC505:AF505"/>
    <mergeCell ref="AH522:AK522"/>
    <mergeCell ref="D467:V467"/>
    <mergeCell ref="AG441:AJ441"/>
    <mergeCell ref="AG438:AJ438"/>
    <mergeCell ref="B501:H502"/>
    <mergeCell ref="S413:T413"/>
    <mergeCell ref="AG380:AH380"/>
    <mergeCell ref="H414:AE415"/>
    <mergeCell ref="AC510:AF510"/>
    <mergeCell ref="B489:P490"/>
    <mergeCell ref="AC506:AF506"/>
    <mergeCell ref="Q489:R490"/>
    <mergeCell ref="Q488:AK488"/>
    <mergeCell ref="AG442:AJ442"/>
    <mergeCell ref="AG377:AH377"/>
    <mergeCell ref="E418:G418"/>
    <mergeCell ref="AD411:AE411"/>
    <mergeCell ref="F427:AH428"/>
    <mergeCell ref="Z432:AA432"/>
    <mergeCell ref="Q487:AK487"/>
    <mergeCell ref="D468:V468"/>
    <mergeCell ref="AC512:AF512"/>
    <mergeCell ref="L508:AB508"/>
    <mergeCell ref="O520:AA520"/>
    <mergeCell ref="AH518:AK518"/>
    <mergeCell ref="AH514:AK514"/>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T555:V555"/>
    <mergeCell ref="O529:AA529"/>
    <mergeCell ref="AH533:AK533"/>
    <mergeCell ref="AH523:AK523"/>
    <mergeCell ref="AE554:AH554"/>
    <mergeCell ref="CK748:CL748"/>
    <mergeCell ref="CM748:CN748"/>
    <mergeCell ref="CG749:CH749"/>
    <mergeCell ref="CG724:CH724"/>
    <mergeCell ref="CG730:CH730"/>
    <mergeCell ref="CG728:CH728"/>
    <mergeCell ref="X724:AB724"/>
    <mergeCell ref="W630:Y630"/>
    <mergeCell ref="AH745:AJ745"/>
    <mergeCell ref="AH746:AJ746"/>
    <mergeCell ref="D449:AF449"/>
    <mergeCell ref="Q554:S554"/>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Z634:AB634"/>
    <mergeCell ref="CK752:CL752"/>
    <mergeCell ref="CP747:CT747"/>
    <mergeCell ref="B723:F723"/>
    <mergeCell ref="AF630:AJ630"/>
    <mergeCell ref="G685:R685"/>
    <mergeCell ref="M635:P635"/>
    <mergeCell ref="CK723:CL723"/>
    <mergeCell ref="CK721:CL721"/>
    <mergeCell ref="CM726:CN726"/>
    <mergeCell ref="CM718:CN718"/>
    <mergeCell ref="CI732:CJ732"/>
    <mergeCell ref="CM728:CN728"/>
    <mergeCell ref="AC536:AF536"/>
    <mergeCell ref="CK722:CL722"/>
    <mergeCell ref="AG689:AH689"/>
    <mergeCell ref="CK719:CL719"/>
    <mergeCell ref="T634:V634"/>
    <mergeCell ref="AF634:AJ634"/>
    <mergeCell ref="W637:Y637"/>
    <mergeCell ref="AG657:AH657"/>
    <mergeCell ref="X718:AB718"/>
    <mergeCell ref="T720:W720"/>
    <mergeCell ref="K714:N717"/>
    <mergeCell ref="C635:L635"/>
    <mergeCell ref="C630:L630"/>
    <mergeCell ref="C631:L631"/>
    <mergeCell ref="C632:L632"/>
    <mergeCell ref="P687:R687"/>
    <mergeCell ref="R705:T705"/>
    <mergeCell ref="X723:AB723"/>
    <mergeCell ref="T719:W719"/>
    <mergeCell ref="AG665:AH665"/>
    <mergeCell ref="AE698:AI698"/>
    <mergeCell ref="AC714:AG717"/>
    <mergeCell ref="AC637:AE637"/>
    <mergeCell ref="X714:AB717"/>
    <mergeCell ref="G720:J720"/>
    <mergeCell ref="B721:F721"/>
    <mergeCell ref="A709:AT711"/>
    <mergeCell ref="G660:R660"/>
    <mergeCell ref="G721:J721"/>
    <mergeCell ref="G722:J722"/>
    <mergeCell ref="AK714:AO717"/>
    <mergeCell ref="AO641:AS641"/>
    <mergeCell ref="AK638:AN638"/>
    <mergeCell ref="AM557:AS557"/>
    <mergeCell ref="Z659:AK659"/>
    <mergeCell ref="AK634:AN634"/>
    <mergeCell ref="AK635:AN635"/>
    <mergeCell ref="M558:P558"/>
    <mergeCell ref="G571:R571"/>
    <mergeCell ref="Q559:S559"/>
    <mergeCell ref="C627:L627"/>
    <mergeCell ref="P581:R581"/>
    <mergeCell ref="N591:O591"/>
    <mergeCell ref="Q560:S560"/>
    <mergeCell ref="Q565:S565"/>
    <mergeCell ref="Q561:S561"/>
    <mergeCell ref="C562:L562"/>
    <mergeCell ref="T557:V557"/>
    <mergeCell ref="W562:Y562"/>
    <mergeCell ref="T559:V559"/>
    <mergeCell ref="C558:L558"/>
    <mergeCell ref="Q630:S630"/>
    <mergeCell ref="G569:R569"/>
    <mergeCell ref="H582:R582"/>
    <mergeCell ref="Z579:AK579"/>
    <mergeCell ref="G577:R577"/>
    <mergeCell ref="AK624:AN626"/>
    <mergeCell ref="AG599:AH599"/>
    <mergeCell ref="G595:R595"/>
    <mergeCell ref="G596:R596"/>
    <mergeCell ref="H614:R614"/>
    <mergeCell ref="G613:L613"/>
    <mergeCell ref="Z577:AK577"/>
    <mergeCell ref="AF574:AK574"/>
    <mergeCell ref="Z585:AK585"/>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G395:AJ395"/>
    <mergeCell ref="AI392:AJ392"/>
    <mergeCell ref="AG394:AJ394"/>
    <mergeCell ref="E420:AJ420"/>
    <mergeCell ref="V377:W377"/>
    <mergeCell ref="S377:T377"/>
    <mergeCell ref="D437:AF437"/>
    <mergeCell ref="D442:AF442"/>
    <mergeCell ref="AF430:AG430"/>
    <mergeCell ref="AG437:AJ437"/>
    <mergeCell ref="J388:U388"/>
    <mergeCell ref="Q393:U393"/>
    <mergeCell ref="AJ356:AK356"/>
    <mergeCell ref="AD377:AE377"/>
    <mergeCell ref="AC371:AF371"/>
    <mergeCell ref="AE424:AF424"/>
    <mergeCell ref="N371:Q371"/>
    <mergeCell ref="N373:AF374"/>
    <mergeCell ref="V382:W382"/>
    <mergeCell ref="S405:AJ405"/>
    <mergeCell ref="J387:U387"/>
    <mergeCell ref="AA335:AK335"/>
    <mergeCell ref="AC347:AE347"/>
    <mergeCell ref="P343:AE343"/>
    <mergeCell ref="AA340:AF340"/>
    <mergeCell ref="P344:AE344"/>
    <mergeCell ref="AA338:AK338"/>
    <mergeCell ref="H337:R337"/>
    <mergeCell ref="P345:AE345"/>
    <mergeCell ref="R412:S412"/>
    <mergeCell ref="Q429:R429"/>
    <mergeCell ref="AC370:AF370"/>
    <mergeCell ref="AE402:AJ402"/>
    <mergeCell ref="AC385:AJ385"/>
    <mergeCell ref="H336:R336"/>
    <mergeCell ref="D441:AF441"/>
    <mergeCell ref="P425:Q425"/>
    <mergeCell ref="P349:AE349"/>
    <mergeCell ref="AA337:AK337"/>
    <mergeCell ref="H338:R338"/>
    <mergeCell ref="AG393:AJ393"/>
    <mergeCell ref="AG391:AJ391"/>
    <mergeCell ref="K404:AJ404"/>
    <mergeCell ref="AC386:AJ386"/>
    <mergeCell ref="J367:K367"/>
    <mergeCell ref="AJ357:AK357"/>
    <mergeCell ref="Y364:Z364"/>
    <mergeCell ref="N378:P378"/>
    <mergeCell ref="W418:Y418"/>
    <mergeCell ref="AG439:AJ439"/>
    <mergeCell ref="K403:AJ403"/>
    <mergeCell ref="P346:AE346"/>
    <mergeCell ref="AA304:AK304"/>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M233:AE233"/>
    <mergeCell ref="M236:R236"/>
    <mergeCell ref="M237:AE237"/>
    <mergeCell ref="M247:R247"/>
    <mergeCell ref="Z247:AE247"/>
    <mergeCell ref="H295:R295"/>
    <mergeCell ref="H296:R296"/>
    <mergeCell ref="M252:AE252"/>
    <mergeCell ref="M265:T265"/>
    <mergeCell ref="W253:X253"/>
    <mergeCell ref="M254:AE254"/>
    <mergeCell ref="AC253:AE253"/>
    <mergeCell ref="A89:AT90"/>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AA300:AF300"/>
    <mergeCell ref="W261:X261"/>
    <mergeCell ref="U263:W263"/>
    <mergeCell ref="M257:T257"/>
    <mergeCell ref="M256:AE256"/>
    <mergeCell ref="AA298:AK298"/>
    <mergeCell ref="AA292:AF292"/>
    <mergeCell ref="AA308:AF308"/>
    <mergeCell ref="H306:R306"/>
    <mergeCell ref="A75:AT77"/>
    <mergeCell ref="A79:AT81"/>
    <mergeCell ref="AB215:AL215"/>
    <mergeCell ref="T198:U198"/>
    <mergeCell ref="Q212:R212"/>
    <mergeCell ref="D214:Z214"/>
    <mergeCell ref="AB216:AL21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N191:AE192"/>
    <mergeCell ref="D211:M211"/>
    <mergeCell ref="AI228:AJ228"/>
    <mergeCell ref="M235:AE235"/>
    <mergeCell ref="I185:AE185"/>
    <mergeCell ref="U236:W236"/>
    <mergeCell ref="T189:AE189"/>
    <mergeCell ref="Y120:AK120"/>
    <mergeCell ref="O160:T160"/>
    <mergeCell ref="AI178:AK178"/>
    <mergeCell ref="A86:AT87"/>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W245:X245"/>
    <mergeCell ref="U247:W247"/>
    <mergeCell ref="T196:U196"/>
    <mergeCell ref="D220:Z220"/>
    <mergeCell ref="T193:AI193"/>
    <mergeCell ref="AI227:AJ227"/>
    <mergeCell ref="Y123:AK123"/>
    <mergeCell ref="AA249:AK249"/>
    <mergeCell ref="M248:AE248"/>
    <mergeCell ref="P113:S113"/>
    <mergeCell ref="AF243:AK243"/>
    <mergeCell ref="M234:T234"/>
    <mergeCell ref="W234:X234"/>
    <mergeCell ref="T212:U212"/>
    <mergeCell ref="F150:T150"/>
    <mergeCell ref="AH246:AK246"/>
    <mergeCell ref="AA316:AF316"/>
    <mergeCell ref="AF251:AK251"/>
    <mergeCell ref="M244:AE244"/>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M263:R263"/>
    <mergeCell ref="AA331:AF331"/>
    <mergeCell ref="P315:R315"/>
    <mergeCell ref="N363:O363"/>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29:R329"/>
    <mergeCell ref="H330:R330"/>
    <mergeCell ref="P331:R331"/>
    <mergeCell ref="AA324:AF324"/>
    <mergeCell ref="H328:R328"/>
    <mergeCell ref="AI323:AK323"/>
    <mergeCell ref="AA320:AK320"/>
    <mergeCell ref="H317:R317"/>
    <mergeCell ref="P323:R323"/>
    <mergeCell ref="AA315:AF315"/>
    <mergeCell ref="AA311:AK311"/>
    <mergeCell ref="AA306:AK306"/>
    <mergeCell ref="H313:R313"/>
    <mergeCell ref="AA314:AK314"/>
    <mergeCell ref="AA313:AK313"/>
    <mergeCell ref="H319:R319"/>
    <mergeCell ref="D446:AF446"/>
    <mergeCell ref="H309:R309"/>
    <mergeCell ref="M356:N356"/>
    <mergeCell ref="AA301:AK301"/>
    <mergeCell ref="AA296:AK296"/>
    <mergeCell ref="H301:R301"/>
    <mergeCell ref="L277:AD277"/>
    <mergeCell ref="P339:R339"/>
    <mergeCell ref="AA341:AK341"/>
    <mergeCell ref="E368:AH369"/>
    <mergeCell ref="Q365:AG365"/>
    <mergeCell ref="H340:M340"/>
    <mergeCell ref="S402:U402"/>
    <mergeCell ref="AA339:AF339"/>
    <mergeCell ref="AA290:AK290"/>
    <mergeCell ref="AH262:AK262"/>
    <mergeCell ref="T267:X267"/>
    <mergeCell ref="AA319:AK319"/>
    <mergeCell ref="AA291:AF291"/>
    <mergeCell ref="AI291:AK291"/>
    <mergeCell ref="AA323:AF323"/>
    <mergeCell ref="H320:R320"/>
    <mergeCell ref="H323:M323"/>
    <mergeCell ref="AA330:AK330"/>
    <mergeCell ref="H324:M324"/>
    <mergeCell ref="AA325:AK325"/>
    <mergeCell ref="H315:M315"/>
    <mergeCell ref="H321:R321"/>
    <mergeCell ref="H322:R322"/>
    <mergeCell ref="L276:S276"/>
    <mergeCell ref="L278:Q278"/>
    <mergeCell ref="AA289:AK289"/>
    <mergeCell ref="P348:Z348"/>
    <mergeCell ref="AJ355:AK355"/>
    <mergeCell ref="AA297:AK297"/>
    <mergeCell ref="H288:R288"/>
    <mergeCell ref="M253:T253"/>
    <mergeCell ref="L274:AJ274"/>
    <mergeCell ref="H289:R289"/>
    <mergeCell ref="H291:M291"/>
    <mergeCell ref="AA257:AK257"/>
    <mergeCell ref="M260:AE260"/>
    <mergeCell ref="AA265:AK265"/>
    <mergeCell ref="M261:T261"/>
    <mergeCell ref="H298:R298"/>
    <mergeCell ref="H312:R312"/>
    <mergeCell ref="AI307:AK307"/>
    <mergeCell ref="P424:Q424"/>
    <mergeCell ref="D473:V473"/>
    <mergeCell ref="AE425:AF425"/>
    <mergeCell ref="V381:W381"/>
    <mergeCell ref="AH254:AK254"/>
    <mergeCell ref="M259:AE259"/>
    <mergeCell ref="AA293:AK293"/>
    <mergeCell ref="L280:AD280"/>
    <mergeCell ref="L275:AD275"/>
    <mergeCell ref="H290:R290"/>
    <mergeCell ref="V276:W276"/>
    <mergeCell ref="D470:V470"/>
    <mergeCell ref="D438:AF438"/>
    <mergeCell ref="H314:R314"/>
    <mergeCell ref="H316:M316"/>
    <mergeCell ref="AA322:AK322"/>
    <mergeCell ref="H292:M29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I421:K421"/>
    <mergeCell ref="P418:R418"/>
    <mergeCell ref="Q492:AK492"/>
    <mergeCell ref="AF418:AH418"/>
    <mergeCell ref="AG445:AJ445"/>
    <mergeCell ref="I418:K418"/>
    <mergeCell ref="AA336:AK336"/>
    <mergeCell ref="H333:R333"/>
    <mergeCell ref="D406:AJ407"/>
    <mergeCell ref="D445:AF445"/>
    <mergeCell ref="Z434:AA434"/>
    <mergeCell ref="M355:N355"/>
    <mergeCell ref="D439:AF439"/>
    <mergeCell ref="AI397:AJ397"/>
    <mergeCell ref="T399:AJ399"/>
    <mergeCell ref="AI339:AK339"/>
    <mergeCell ref="W467:Y467"/>
    <mergeCell ref="W470:Y470"/>
    <mergeCell ref="D471:V471"/>
    <mergeCell ref="O532:AA532"/>
    <mergeCell ref="B551:L553"/>
    <mergeCell ref="M554:P554"/>
    <mergeCell ref="W465:Y465"/>
    <mergeCell ref="W469:Y469"/>
    <mergeCell ref="AH515:AK515"/>
    <mergeCell ref="AC516:AF516"/>
    <mergeCell ref="AC456:AF456"/>
    <mergeCell ref="D448:AF448"/>
    <mergeCell ref="AC507:AF507"/>
    <mergeCell ref="AG447:AJ447"/>
    <mergeCell ref="AC454:AF454"/>
    <mergeCell ref="AG449:AJ449"/>
    <mergeCell ref="AH505:AK505"/>
    <mergeCell ref="Q493:AK493"/>
    <mergeCell ref="AC502:AF502"/>
    <mergeCell ref="B514:H516"/>
    <mergeCell ref="B517:H519"/>
    <mergeCell ref="D451:AJ452"/>
    <mergeCell ref="AH512:AK512"/>
    <mergeCell ref="AH520:AK520"/>
    <mergeCell ref="AC537:AF537"/>
    <mergeCell ref="O526:AA526"/>
    <mergeCell ref="AC529:AF529"/>
    <mergeCell ref="AH509:AK509"/>
    <mergeCell ref="Q486:AK486"/>
    <mergeCell ref="AH502:AK502"/>
    <mergeCell ref="M495:P495"/>
    <mergeCell ref="AC501:AF501"/>
    <mergeCell ref="AC503:AF503"/>
    <mergeCell ref="P572:R572"/>
    <mergeCell ref="AI605:AK605"/>
    <mergeCell ref="G604:R604"/>
    <mergeCell ref="Z559:AD559"/>
    <mergeCell ref="Z562:AD562"/>
    <mergeCell ref="W561:Y561"/>
    <mergeCell ref="N583:O583"/>
    <mergeCell ref="AI560:AL560"/>
    <mergeCell ref="G579:R579"/>
    <mergeCell ref="G594:R594"/>
    <mergeCell ref="Z594:AK594"/>
    <mergeCell ref="M561:P561"/>
    <mergeCell ref="W564:Y564"/>
    <mergeCell ref="G589:L589"/>
    <mergeCell ref="AI589:AK589"/>
    <mergeCell ref="Z596:AK596"/>
    <mergeCell ref="H598:R598"/>
    <mergeCell ref="C561:L561"/>
    <mergeCell ref="G572:L572"/>
    <mergeCell ref="Z581:AE581"/>
    <mergeCell ref="Z586:AK586"/>
    <mergeCell ref="M565:P565"/>
    <mergeCell ref="T563:V563"/>
    <mergeCell ref="Z564:AD564"/>
    <mergeCell ref="Z565:AD565"/>
    <mergeCell ref="Z572:AE572"/>
    <mergeCell ref="AI562:AL562"/>
    <mergeCell ref="B725:F725"/>
    <mergeCell ref="B724:F724"/>
    <mergeCell ref="AK742:AO742"/>
    <mergeCell ref="AK733:AO733"/>
    <mergeCell ref="AK734:AO734"/>
    <mergeCell ref="G687:L687"/>
    <mergeCell ref="T722:W722"/>
    <mergeCell ref="K729:N729"/>
    <mergeCell ref="Z677:AK677"/>
    <mergeCell ref="B718:F718"/>
    <mergeCell ref="AG583:AH583"/>
    <mergeCell ref="G588:R588"/>
    <mergeCell ref="Z580:AK580"/>
    <mergeCell ref="Z569:AK569"/>
    <mergeCell ref="N607:O607"/>
    <mergeCell ref="G593:R593"/>
    <mergeCell ref="G605:L605"/>
    <mergeCell ref="G610:R610"/>
    <mergeCell ref="A617:AT618"/>
    <mergeCell ref="B624:L626"/>
    <mergeCell ref="Z613:AE613"/>
    <mergeCell ref="Z595:AK595"/>
    <mergeCell ref="G601:R601"/>
    <mergeCell ref="M627:P627"/>
    <mergeCell ref="G602:R602"/>
    <mergeCell ref="H606:R606"/>
    <mergeCell ref="AI597:AK597"/>
    <mergeCell ref="Z570:AK570"/>
    <mergeCell ref="T738:W738"/>
    <mergeCell ref="G683:R683"/>
    <mergeCell ref="N681:O681"/>
    <mergeCell ref="G686:R686"/>
    <mergeCell ref="AK735:AO735"/>
    <mergeCell ref="B753:F753"/>
    <mergeCell ref="O752:S752"/>
    <mergeCell ref="K751:N751"/>
    <mergeCell ref="X752:AB752"/>
    <mergeCell ref="O753:S753"/>
    <mergeCell ref="O751:S751"/>
    <mergeCell ref="AH748:AJ748"/>
    <mergeCell ref="X739:AB739"/>
    <mergeCell ref="K739:N739"/>
    <mergeCell ref="B729:F729"/>
    <mergeCell ref="AC740:AG740"/>
    <mergeCell ref="AC741:AG741"/>
    <mergeCell ref="X745:AB745"/>
    <mergeCell ref="X746:AB746"/>
    <mergeCell ref="X741:AB741"/>
    <mergeCell ref="O747:S747"/>
    <mergeCell ref="T747:W747"/>
    <mergeCell ref="AC748:AG748"/>
    <mergeCell ref="K743:N743"/>
    <mergeCell ref="O743:S743"/>
    <mergeCell ref="AH747:AJ747"/>
    <mergeCell ref="B733:F733"/>
    <mergeCell ref="B731:F731"/>
    <mergeCell ref="B730:F730"/>
    <mergeCell ref="G735:J735"/>
    <mergeCell ref="B732:F732"/>
    <mergeCell ref="AH749:AJ749"/>
    <mergeCell ref="N689:O689"/>
    <mergeCell ref="G678:R678"/>
    <mergeCell ref="P679:R679"/>
    <mergeCell ref="B742:F742"/>
    <mergeCell ref="B743:F743"/>
    <mergeCell ref="AC749:AG749"/>
    <mergeCell ref="X722:AB722"/>
    <mergeCell ref="Z685:AK685"/>
    <mergeCell ref="J705:O705"/>
    <mergeCell ref="B728:F728"/>
    <mergeCell ref="T729:W729"/>
    <mergeCell ref="AH728:AJ728"/>
    <mergeCell ref="B727:F727"/>
    <mergeCell ref="H680:R680"/>
    <mergeCell ref="O723:S723"/>
    <mergeCell ref="B734:F734"/>
    <mergeCell ref="T728:W728"/>
    <mergeCell ref="AC742:AG742"/>
    <mergeCell ref="AC743:AG743"/>
    <mergeCell ref="AC744:AG744"/>
    <mergeCell ref="AC745:AG745"/>
    <mergeCell ref="AC746:AG746"/>
    <mergeCell ref="AH740:AJ740"/>
    <mergeCell ref="AE694:AF694"/>
    <mergeCell ref="T741:W741"/>
    <mergeCell ref="AK746:AO746"/>
    <mergeCell ref="B720:F720"/>
    <mergeCell ref="B722:F722"/>
    <mergeCell ref="AH723:AJ723"/>
    <mergeCell ref="O731:S731"/>
    <mergeCell ref="O732:S732"/>
    <mergeCell ref="G737:J737"/>
    <mergeCell ref="C828:H828"/>
    <mergeCell ref="Q829:T829"/>
    <mergeCell ref="T791:W791"/>
    <mergeCell ref="T787:W787"/>
    <mergeCell ref="T788:W788"/>
    <mergeCell ref="T789:W789"/>
    <mergeCell ref="O795:S795"/>
    <mergeCell ref="AC791:AG791"/>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M828:P828"/>
    <mergeCell ref="Q828:T828"/>
    <mergeCell ref="J775:N775"/>
    <mergeCell ref="AC826:AF826"/>
    <mergeCell ref="AC827:AF827"/>
    <mergeCell ref="M823:P824"/>
    <mergeCell ref="Y827:AB827"/>
    <mergeCell ref="AG827:AJ827"/>
    <mergeCell ref="M827:P827"/>
    <mergeCell ref="J797:N797"/>
    <mergeCell ref="J795:N795"/>
    <mergeCell ref="AC774:AG774"/>
    <mergeCell ref="T783:W786"/>
    <mergeCell ref="X773:AB773"/>
    <mergeCell ref="O789:S789"/>
    <mergeCell ref="X789:AB789"/>
    <mergeCell ref="O788:S788"/>
    <mergeCell ref="Q826:T826"/>
    <mergeCell ref="Y823:AB824"/>
    <mergeCell ref="T742:W742"/>
    <mergeCell ref="G753:J753"/>
    <mergeCell ref="T746:W746"/>
    <mergeCell ref="AG756:AJ756"/>
    <mergeCell ref="O776:S776"/>
    <mergeCell ref="O769:S772"/>
    <mergeCell ref="B754:AH755"/>
    <mergeCell ref="J792:N792"/>
    <mergeCell ref="AC750:AG750"/>
    <mergeCell ref="B751:F751"/>
    <mergeCell ref="K747:N747"/>
    <mergeCell ref="AH750:AJ750"/>
    <mergeCell ref="B752:F752"/>
    <mergeCell ref="O750:S750"/>
    <mergeCell ref="J794:N794"/>
    <mergeCell ref="J789:N789"/>
    <mergeCell ref="X795:AB795"/>
    <mergeCell ref="Z813:AE813"/>
    <mergeCell ref="C798:AN799"/>
    <mergeCell ref="J793:N793"/>
    <mergeCell ref="G752:J752"/>
    <mergeCell ref="X740:AB740"/>
    <mergeCell ref="X748:AB748"/>
    <mergeCell ref="X749:AB749"/>
    <mergeCell ref="X750:AB750"/>
    <mergeCell ref="G740:J740"/>
    <mergeCell ref="Y801:AC801"/>
    <mergeCell ref="Y800:AC800"/>
    <mergeCell ref="AC796:AG796"/>
    <mergeCell ref="AC788:AG788"/>
    <mergeCell ref="AC794:AG794"/>
    <mergeCell ref="AC795:AG795"/>
    <mergeCell ref="T776:W776"/>
    <mergeCell ref="J769:N772"/>
    <mergeCell ref="AC753:AG753"/>
    <mergeCell ref="O748:S748"/>
    <mergeCell ref="T775:W775"/>
    <mergeCell ref="C763:AR765"/>
    <mergeCell ref="AC752:AG752"/>
    <mergeCell ref="T749:W749"/>
    <mergeCell ref="J779:K779"/>
    <mergeCell ref="J787:N787"/>
    <mergeCell ref="T796:W796"/>
    <mergeCell ref="O775:S775"/>
    <mergeCell ref="AA932:AF932"/>
    <mergeCell ref="F938:T938"/>
    <mergeCell ref="AC892:AH892"/>
    <mergeCell ref="AC890:AH890"/>
    <mergeCell ref="M874:V874"/>
    <mergeCell ref="W874:AC87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M826:P826"/>
    <mergeCell ref="Q825:T825"/>
    <mergeCell ref="O790:S790"/>
    <mergeCell ref="AG823:AJ824"/>
    <mergeCell ref="AC797:AG797"/>
    <mergeCell ref="AC787:AG787"/>
    <mergeCell ref="U823:X824"/>
    <mergeCell ref="Z806:AE806"/>
    <mergeCell ref="X791:AB791"/>
    <mergeCell ref="O783:S786"/>
    <mergeCell ref="O730:S730"/>
    <mergeCell ref="G738:J738"/>
    <mergeCell ref="C892:AB892"/>
    <mergeCell ref="U924:Z924"/>
    <mergeCell ref="U933:Z933"/>
    <mergeCell ref="X738:AB738"/>
    <mergeCell ref="X726:AB726"/>
    <mergeCell ref="BD902:BE902"/>
    <mergeCell ref="BD900:BE900"/>
    <mergeCell ref="C837:AJ837"/>
    <mergeCell ref="F930:T930"/>
    <mergeCell ref="F931:T931"/>
    <mergeCell ref="U936:Z936"/>
    <mergeCell ref="W861:AC861"/>
    <mergeCell ref="BD899:BE899"/>
    <mergeCell ref="BD901:BE901"/>
    <mergeCell ref="BD904:BE904"/>
    <mergeCell ref="BD906:BF906"/>
    <mergeCell ref="AZ851:BA851"/>
    <mergeCell ref="W857:AC857"/>
    <mergeCell ref="W851:AC851"/>
    <mergeCell ref="W855:AC855"/>
    <mergeCell ref="W852:AC852"/>
    <mergeCell ref="W854:AC854"/>
    <mergeCell ref="W842:AC842"/>
    <mergeCell ref="W847:AC847"/>
    <mergeCell ref="U923:Z923"/>
    <mergeCell ref="W875:AC875"/>
    <mergeCell ref="T858:V858"/>
    <mergeCell ref="T860:V860"/>
    <mergeCell ref="W867:AC867"/>
    <mergeCell ref="W862:AC862"/>
    <mergeCell ref="X728:AB728"/>
    <mergeCell ref="O719:S719"/>
    <mergeCell ref="G719:J719"/>
    <mergeCell ref="K737:N737"/>
    <mergeCell ref="J704:X704"/>
    <mergeCell ref="K720:N720"/>
    <mergeCell ref="AC718:AG718"/>
    <mergeCell ref="T721:W721"/>
    <mergeCell ref="AE695:AI695"/>
    <mergeCell ref="G734:J734"/>
    <mergeCell ref="O729:S729"/>
    <mergeCell ref="X729:AB729"/>
    <mergeCell ref="W876:AC876"/>
    <mergeCell ref="O727:S727"/>
    <mergeCell ref="AG673:AH673"/>
    <mergeCell ref="BD905:BF905"/>
    <mergeCell ref="BD910:BE910"/>
    <mergeCell ref="BD903:BE903"/>
    <mergeCell ref="AC889:AH889"/>
    <mergeCell ref="AC894:AH894"/>
    <mergeCell ref="Z899:AE899"/>
    <mergeCell ref="AC888:AH888"/>
    <mergeCell ref="T774:W774"/>
    <mergeCell ref="U829:X829"/>
    <mergeCell ref="X777:AB777"/>
    <mergeCell ref="M825:P825"/>
    <mergeCell ref="Q830:T830"/>
    <mergeCell ref="AG831:AJ831"/>
    <mergeCell ref="X793:AB793"/>
    <mergeCell ref="C829:H829"/>
    <mergeCell ref="C825:H825"/>
    <mergeCell ref="C832:L832"/>
    <mergeCell ref="B736:F736"/>
    <mergeCell ref="F946:H946"/>
    <mergeCell ref="F926:T926"/>
    <mergeCell ref="F927:T927"/>
    <mergeCell ref="F928:T928"/>
    <mergeCell ref="U926:Z926"/>
    <mergeCell ref="AA926:AF926"/>
    <mergeCell ref="U927:Z927"/>
    <mergeCell ref="AA927:AF927"/>
    <mergeCell ref="F929:T929"/>
    <mergeCell ref="AC887:AH887"/>
    <mergeCell ref="P945:T945"/>
    <mergeCell ref="Q832:T832"/>
    <mergeCell ref="AG830:AJ830"/>
    <mergeCell ref="U832:X832"/>
    <mergeCell ref="M832:P832"/>
    <mergeCell ref="W866:AC866"/>
    <mergeCell ref="F937:T937"/>
    <mergeCell ref="U937:Z937"/>
    <mergeCell ref="AA937:AF937"/>
    <mergeCell ref="Y831:AB831"/>
    <mergeCell ref="AC776:AG776"/>
    <mergeCell ref="AC792:AG792"/>
    <mergeCell ref="O787:S787"/>
    <mergeCell ref="M876:V876"/>
    <mergeCell ref="W868:AC868"/>
    <mergeCell ref="AC893:AH893"/>
    <mergeCell ref="W872:AC872"/>
    <mergeCell ref="AC884:AH884"/>
    <mergeCell ref="M875:V875"/>
    <mergeCell ref="M871:V871"/>
    <mergeCell ref="W870:AC870"/>
    <mergeCell ref="K728:N728"/>
    <mergeCell ref="K722:N722"/>
    <mergeCell ref="K723:N723"/>
    <mergeCell ref="T723:W723"/>
    <mergeCell ref="K721:N721"/>
    <mergeCell ref="O714:S717"/>
    <mergeCell ref="X719:AB719"/>
    <mergeCell ref="AE696:AI696"/>
    <mergeCell ref="K718:N718"/>
    <mergeCell ref="G718:J718"/>
    <mergeCell ref="T737:W737"/>
    <mergeCell ref="T733:W733"/>
    <mergeCell ref="O734:S734"/>
    <mergeCell ref="AC734:AG734"/>
    <mergeCell ref="AC735:AG735"/>
    <mergeCell ref="G731:J731"/>
    <mergeCell ref="AH726:AJ726"/>
    <mergeCell ref="O718:S718"/>
    <mergeCell ref="O735:S735"/>
    <mergeCell ref="G714:J717"/>
    <mergeCell ref="O724:S724"/>
    <mergeCell ref="T725:W725"/>
    <mergeCell ref="G724:J724"/>
    <mergeCell ref="AC725:AG725"/>
    <mergeCell ref="AC726:AG726"/>
    <mergeCell ref="G725:J725"/>
    <mergeCell ref="AC723:AG723"/>
    <mergeCell ref="G733:J733"/>
    <mergeCell ref="K732:N732"/>
    <mergeCell ref="K733:N733"/>
    <mergeCell ref="X731:AB731"/>
    <mergeCell ref="AH732:AJ732"/>
    <mergeCell ref="AK727:AO727"/>
    <mergeCell ref="AH724:AJ724"/>
    <mergeCell ref="K727:N727"/>
    <mergeCell ref="K726:N726"/>
    <mergeCell ref="K730:N730"/>
    <mergeCell ref="X736:AB736"/>
    <mergeCell ref="G727:J727"/>
    <mergeCell ref="AK732:AO732"/>
    <mergeCell ref="CK739:CL739"/>
    <mergeCell ref="N657:O657"/>
    <mergeCell ref="Z660:AK660"/>
    <mergeCell ref="G663:L663"/>
    <mergeCell ref="T732:W732"/>
    <mergeCell ref="T731:W731"/>
    <mergeCell ref="N649:O649"/>
    <mergeCell ref="AH719:AJ719"/>
    <mergeCell ref="CK725:CL725"/>
    <mergeCell ref="CI734:CJ734"/>
    <mergeCell ref="CI719:CJ719"/>
    <mergeCell ref="G654:R654"/>
    <mergeCell ref="Z651:AK651"/>
    <mergeCell ref="T727:W727"/>
    <mergeCell ref="CG737:CH737"/>
    <mergeCell ref="CG733:CH733"/>
    <mergeCell ref="K736:N736"/>
    <mergeCell ref="G736:J736"/>
    <mergeCell ref="P671:R671"/>
    <mergeCell ref="T730:W730"/>
    <mergeCell ref="T726:W726"/>
    <mergeCell ref="O722:S722"/>
    <mergeCell ref="AK736:AO736"/>
    <mergeCell ref="G739:J739"/>
    <mergeCell ref="CM739:CN739"/>
    <mergeCell ref="K724:N724"/>
    <mergeCell ref="AI655:AK655"/>
    <mergeCell ref="G662:R662"/>
    <mergeCell ref="AG681:AH681"/>
    <mergeCell ref="AI687:AK687"/>
    <mergeCell ref="K725:N725"/>
    <mergeCell ref="X720:AB720"/>
    <mergeCell ref="CM735:CN735"/>
    <mergeCell ref="CM720:CN720"/>
    <mergeCell ref="G661:R661"/>
    <mergeCell ref="H664:R664"/>
    <mergeCell ref="AC736:AG736"/>
    <mergeCell ref="CG729:CH729"/>
    <mergeCell ref="CG723:CH723"/>
    <mergeCell ref="CG720:CH720"/>
    <mergeCell ref="AH739:AJ739"/>
    <mergeCell ref="AC737:AG737"/>
    <mergeCell ref="CK728:CL728"/>
    <mergeCell ref="AH718:AJ718"/>
    <mergeCell ref="CI721:CJ721"/>
    <mergeCell ref="CI737:CJ737"/>
    <mergeCell ref="AC721:AG721"/>
    <mergeCell ref="AC722:AG722"/>
    <mergeCell ref="AH720:AJ720"/>
    <mergeCell ref="AK722:AO722"/>
    <mergeCell ref="AH721:AJ721"/>
    <mergeCell ref="AK719:AO719"/>
    <mergeCell ref="CM717:CN717"/>
    <mergeCell ref="CM719:CN719"/>
    <mergeCell ref="CM721:CN721"/>
    <mergeCell ref="W703:AK70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G732:CH732"/>
    <mergeCell ref="CP734:CT734"/>
    <mergeCell ref="AK720:AO720"/>
    <mergeCell ref="AK721:AO721"/>
    <mergeCell ref="CM724:CN724"/>
    <mergeCell ref="CG741:CH741"/>
    <mergeCell ref="CI741:CJ741"/>
    <mergeCell ref="CK741:CL741"/>
    <mergeCell ref="CM741:CN741"/>
    <mergeCell ref="CP724:CT724"/>
    <mergeCell ref="CP727:CT727"/>
    <mergeCell ref="CG734:CH734"/>
    <mergeCell ref="CP739:CT739"/>
    <mergeCell ref="CM738:CN738"/>
    <mergeCell ref="CZ727:DD727"/>
    <mergeCell ref="CM733:CN733"/>
    <mergeCell ref="CI733:CJ733"/>
    <mergeCell ref="CG727:CH727"/>
    <mergeCell ref="CZ728:DD728"/>
    <mergeCell ref="CU730:CY730"/>
    <mergeCell ref="CG738:CH738"/>
    <mergeCell ref="CP737:CT737"/>
    <mergeCell ref="CZ734:DD734"/>
    <mergeCell ref="CI735:CJ735"/>
    <mergeCell ref="DE728:DI728"/>
    <mergeCell ref="CU729:CY729"/>
    <mergeCell ref="CP733:CT733"/>
    <mergeCell ref="CK735:CL735"/>
    <mergeCell ref="CP732:CT732"/>
    <mergeCell ref="CM729:CN729"/>
    <mergeCell ref="CZ731:DD731"/>
    <mergeCell ref="CK731:CL731"/>
    <mergeCell ref="CK729:CL729"/>
    <mergeCell ref="CU723:CY723"/>
    <mergeCell ref="CM722:CN722"/>
    <mergeCell ref="CG722:CH722"/>
    <mergeCell ref="DE727:DI727"/>
    <mergeCell ref="CK737:CL737"/>
    <mergeCell ref="CG725:CH725"/>
    <mergeCell ref="CZ723:DD723"/>
    <mergeCell ref="DE731:DI731"/>
    <mergeCell ref="CI723:CJ723"/>
    <mergeCell ref="CP728:CT728"/>
    <mergeCell ref="CU728:CY728"/>
    <mergeCell ref="CK732:CL732"/>
    <mergeCell ref="DE734:DI734"/>
    <mergeCell ref="DE722:DI722"/>
    <mergeCell ref="CP723:CT723"/>
    <mergeCell ref="CM723:CN723"/>
    <mergeCell ref="CM725:CN725"/>
    <mergeCell ref="CK730:CL730"/>
    <mergeCell ref="CP731:CT731"/>
    <mergeCell ref="CZ722:DD722"/>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U727:CY727"/>
    <mergeCell ref="CK724:CL724"/>
    <mergeCell ref="CI729:CJ729"/>
    <mergeCell ref="CP729:CT729"/>
    <mergeCell ref="CK736:CL736"/>
    <mergeCell ref="DE730:DI730"/>
    <mergeCell ref="CM730:CN730"/>
    <mergeCell ref="CK727:CL727"/>
    <mergeCell ref="DE729:DI729"/>
    <mergeCell ref="DE726:DI726"/>
    <mergeCell ref="CI727:CJ727"/>
    <mergeCell ref="CZ735:DD735"/>
    <mergeCell ref="CU733:CY733"/>
    <mergeCell ref="CU726:CY726"/>
    <mergeCell ref="CZ726:DD726"/>
    <mergeCell ref="CP726:CT726"/>
    <mergeCell ref="CZ724:DD724"/>
    <mergeCell ref="CU736:CY736"/>
    <mergeCell ref="CZ729:DD729"/>
    <mergeCell ref="CZ725:DD725"/>
    <mergeCell ref="W628:Y628"/>
    <mergeCell ref="P663:R663"/>
    <mergeCell ref="AO640:AS640"/>
    <mergeCell ref="W636:Y636"/>
    <mergeCell ref="AO632:AS632"/>
    <mergeCell ref="AF629:AJ629"/>
    <mergeCell ref="AI613:AK613"/>
    <mergeCell ref="AA614:AK614"/>
    <mergeCell ref="AC624:AE626"/>
    <mergeCell ref="T630:V630"/>
    <mergeCell ref="T631:V631"/>
    <mergeCell ref="AC628:AE628"/>
    <mergeCell ref="G644:R644"/>
    <mergeCell ref="P655:R655"/>
    <mergeCell ref="AA648:AK648"/>
    <mergeCell ref="AK637:AN637"/>
    <mergeCell ref="CG719:CH719"/>
    <mergeCell ref="Z668:AK668"/>
    <mergeCell ref="G676:R676"/>
    <mergeCell ref="N673:O673"/>
    <mergeCell ref="M637:P637"/>
    <mergeCell ref="M638:P638"/>
    <mergeCell ref="W638:Y638"/>
    <mergeCell ref="Z654:AK654"/>
    <mergeCell ref="P647:R647"/>
    <mergeCell ref="AI647:AK647"/>
    <mergeCell ref="AC629:AE629"/>
    <mergeCell ref="CZ718:DD71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D444:AF444"/>
    <mergeCell ref="R411:S411"/>
    <mergeCell ref="W551:Y553"/>
    <mergeCell ref="AH521:AK521"/>
    <mergeCell ref="AC530:AF530"/>
    <mergeCell ref="T565:V565"/>
    <mergeCell ref="C560:L560"/>
    <mergeCell ref="Z560:AD560"/>
    <mergeCell ref="AI563:AL563"/>
    <mergeCell ref="Q624:S626"/>
    <mergeCell ref="H672:R672"/>
    <mergeCell ref="AA606:AK606"/>
    <mergeCell ref="P605:R605"/>
    <mergeCell ref="C628:L628"/>
    <mergeCell ref="W633:Y633"/>
    <mergeCell ref="Z630:AB630"/>
    <mergeCell ref="Z603:AK603"/>
    <mergeCell ref="M634:P634"/>
    <mergeCell ref="Z661:AK661"/>
    <mergeCell ref="C629:L629"/>
    <mergeCell ref="Q638:S638"/>
    <mergeCell ref="H648:R648"/>
    <mergeCell ref="Q634:S634"/>
    <mergeCell ref="AK636:AN636"/>
    <mergeCell ref="C637:L637"/>
    <mergeCell ref="Z662:AK662"/>
    <mergeCell ref="G651:R651"/>
    <mergeCell ref="G652:R652"/>
    <mergeCell ref="Z610:AK610"/>
    <mergeCell ref="AF628:AJ628"/>
    <mergeCell ref="G668:R668"/>
    <mergeCell ref="Z655:AE655"/>
    <mergeCell ref="T560:V560"/>
    <mergeCell ref="G570:R570"/>
    <mergeCell ref="Z561:AD561"/>
    <mergeCell ref="G586:R586"/>
    <mergeCell ref="W560:Y560"/>
    <mergeCell ref="Z683:AK683"/>
    <mergeCell ref="AE702:AF702"/>
    <mergeCell ref="CI717:CJ717"/>
    <mergeCell ref="AA680:AK680"/>
    <mergeCell ref="CP719:CT719"/>
    <mergeCell ref="AO624:AS626"/>
    <mergeCell ref="AG591:AH591"/>
    <mergeCell ref="Z632:AB632"/>
    <mergeCell ref="AI581:AK581"/>
    <mergeCell ref="Z601:AK601"/>
    <mergeCell ref="H590:R590"/>
    <mergeCell ref="AO630:AS630"/>
    <mergeCell ref="Q389:U389"/>
    <mergeCell ref="D447:AF447"/>
    <mergeCell ref="W466:Y466"/>
    <mergeCell ref="AG446:AJ446"/>
    <mergeCell ref="W565:Y565"/>
    <mergeCell ref="Z635:AB635"/>
    <mergeCell ref="G609:R609"/>
    <mergeCell ref="N615:O615"/>
    <mergeCell ref="M628:P628"/>
    <mergeCell ref="M633:P633"/>
    <mergeCell ref="Z605:AE605"/>
    <mergeCell ref="Z609:AK609"/>
    <mergeCell ref="AC632:AE632"/>
    <mergeCell ref="T561:V561"/>
    <mergeCell ref="N599:O599"/>
    <mergeCell ref="AA590:AK590"/>
    <mergeCell ref="C565:L565"/>
    <mergeCell ref="W558:Y558"/>
    <mergeCell ref="AE558:AH558"/>
    <mergeCell ref="C557:L557"/>
    <mergeCell ref="CI720:CJ720"/>
    <mergeCell ref="AO636:AS636"/>
    <mergeCell ref="Z678:AK678"/>
    <mergeCell ref="Z675:AK675"/>
    <mergeCell ref="AM558:AS558"/>
    <mergeCell ref="AM566:AS566"/>
    <mergeCell ref="AM562:AS562"/>
    <mergeCell ref="AM561:AS561"/>
    <mergeCell ref="AM559:AS559"/>
    <mergeCell ref="C563:L563"/>
    <mergeCell ref="AE565:AH565"/>
    <mergeCell ref="G587:R587"/>
    <mergeCell ref="G578:R578"/>
    <mergeCell ref="M636:P636"/>
    <mergeCell ref="G603:R603"/>
    <mergeCell ref="P597:R597"/>
    <mergeCell ref="G597:L597"/>
    <mergeCell ref="G655:L655"/>
    <mergeCell ref="H656:R656"/>
    <mergeCell ref="B714:F717"/>
    <mergeCell ref="Z589:AE589"/>
    <mergeCell ref="G585:R585"/>
    <mergeCell ref="AG575:AH575"/>
    <mergeCell ref="Z568:AK568"/>
    <mergeCell ref="Z571:AK571"/>
    <mergeCell ref="AI564:AL564"/>
    <mergeCell ref="P589:R589"/>
    <mergeCell ref="Z588:AK588"/>
    <mergeCell ref="Z563:AD563"/>
    <mergeCell ref="AC720:AG720"/>
    <mergeCell ref="Z676:AK676"/>
    <mergeCell ref="W700:AK700"/>
    <mergeCell ref="DO717:DS717"/>
    <mergeCell ref="CZ721:DD721"/>
    <mergeCell ref="AE564:AH564"/>
    <mergeCell ref="T638:V638"/>
    <mergeCell ref="T628:V628"/>
    <mergeCell ref="DJ719:DN719"/>
    <mergeCell ref="CU717:CY717"/>
    <mergeCell ref="AC635:AE635"/>
    <mergeCell ref="W635:Y635"/>
    <mergeCell ref="Z597:AE597"/>
    <mergeCell ref="Z631:AB631"/>
    <mergeCell ref="AF624:AJ626"/>
    <mergeCell ref="Z687:AE687"/>
    <mergeCell ref="DO719:DS719"/>
    <mergeCell ref="AK628:AN628"/>
    <mergeCell ref="AM564:AS564"/>
    <mergeCell ref="T629:V629"/>
    <mergeCell ref="AO631:AS631"/>
    <mergeCell ref="AA664:AK664"/>
    <mergeCell ref="T635:V635"/>
    <mergeCell ref="T636:V636"/>
    <mergeCell ref="T637:V637"/>
    <mergeCell ref="Z644:AK644"/>
    <mergeCell ref="AF636:AJ636"/>
    <mergeCell ref="AC634:AE634"/>
    <mergeCell ref="W634:Y634"/>
    <mergeCell ref="AO637:AS637"/>
    <mergeCell ref="W706:AK706"/>
    <mergeCell ref="CU720:CY720"/>
    <mergeCell ref="CU719:CY719"/>
    <mergeCell ref="CG718:CH718"/>
    <mergeCell ref="CP720:CT720"/>
    <mergeCell ref="AC518:AF518"/>
    <mergeCell ref="AH504:AK504"/>
    <mergeCell ref="AH517:AK517"/>
    <mergeCell ref="W471:Y471"/>
    <mergeCell ref="EH652:EL652"/>
    <mergeCell ref="EJ725:EN725"/>
    <mergeCell ref="DZ728:ED728"/>
    <mergeCell ref="EE724:EI724"/>
    <mergeCell ref="Z679:AE679"/>
    <mergeCell ref="Z670:AK670"/>
    <mergeCell ref="AK728:AO728"/>
    <mergeCell ref="W559:Y559"/>
    <mergeCell ref="AK718:AO718"/>
    <mergeCell ref="AK630:AN630"/>
    <mergeCell ref="AK631:AN631"/>
    <mergeCell ref="AK632:AN632"/>
    <mergeCell ref="AI671:AK671"/>
    <mergeCell ref="AK627:AN627"/>
    <mergeCell ref="AF632:AJ632"/>
    <mergeCell ref="AC631:AE631"/>
    <mergeCell ref="AM565:AS565"/>
    <mergeCell ref="AE563:AH563"/>
    <mergeCell ref="AM563:AS563"/>
    <mergeCell ref="DX668:EB668"/>
    <mergeCell ref="EC668:EG668"/>
    <mergeCell ref="DO718:DS718"/>
    <mergeCell ref="AM556:AS556"/>
    <mergeCell ref="W563:Y563"/>
    <mergeCell ref="Z669:AK669"/>
    <mergeCell ref="EE718:EI718"/>
    <mergeCell ref="CU722:CY722"/>
    <mergeCell ref="AF637:AJ637"/>
    <mergeCell ref="EM636:EQ636"/>
    <mergeCell ref="DX637:EB637"/>
    <mergeCell ref="AC633:AE633"/>
    <mergeCell ref="B639:AN639"/>
    <mergeCell ref="B640:AN640"/>
    <mergeCell ref="B719:F719"/>
    <mergeCell ref="Z646:AK646"/>
    <mergeCell ref="G580:R580"/>
    <mergeCell ref="W631:Y631"/>
    <mergeCell ref="AG615:AH615"/>
    <mergeCell ref="G612:R612"/>
    <mergeCell ref="Q636:S636"/>
    <mergeCell ref="Q637:S637"/>
    <mergeCell ref="AA688:AK688"/>
    <mergeCell ref="G659:R659"/>
    <mergeCell ref="G675:R675"/>
    <mergeCell ref="Z667:AK667"/>
    <mergeCell ref="W629:Y629"/>
    <mergeCell ref="M630:P630"/>
    <mergeCell ref="M631:P631"/>
    <mergeCell ref="M632:P632"/>
    <mergeCell ref="Q633:S633"/>
    <mergeCell ref="G684:R684"/>
    <mergeCell ref="DX650:EB650"/>
    <mergeCell ref="EC650:EG650"/>
    <mergeCell ref="G653:R653"/>
    <mergeCell ref="G670:R670"/>
    <mergeCell ref="AF638:AJ638"/>
    <mergeCell ref="Z611:AK611"/>
    <mergeCell ref="AC636:AE636"/>
    <mergeCell ref="Z647:AE647"/>
    <mergeCell ref="Q632:S632"/>
    <mergeCell ref="EO718:ES718"/>
    <mergeCell ref="O726:S726"/>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AE699:AI699"/>
    <mergeCell ref="DE720:DI720"/>
    <mergeCell ref="DE724:DI724"/>
    <mergeCell ref="AA672:AK672"/>
    <mergeCell ref="Z684:AK684"/>
    <mergeCell ref="DX652:EB652"/>
    <mergeCell ref="EC652:EG652"/>
    <mergeCell ref="DJ728:DN728"/>
    <mergeCell ref="AC719:AG719"/>
    <mergeCell ref="Z653:AK653"/>
    <mergeCell ref="AF633:AJ633"/>
    <mergeCell ref="DE719:DI719"/>
    <mergeCell ref="CZ720:DD720"/>
    <mergeCell ref="DE717:DI717"/>
    <mergeCell ref="EE722:EI722"/>
    <mergeCell ref="DZ718:ED718"/>
    <mergeCell ref="DZ727:ED727"/>
    <mergeCell ref="EJ718:EN718"/>
    <mergeCell ref="EE727:EI727"/>
    <mergeCell ref="EE723:EI723"/>
    <mergeCell ref="EJ723:EN723"/>
    <mergeCell ref="EO725:ES725"/>
    <mergeCell ref="EJ724:EN724"/>
    <mergeCell ref="EO723:ES723"/>
    <mergeCell ref="DZ734:ED734"/>
    <mergeCell ref="DU726:DY726"/>
    <mergeCell ref="EO721:ES721"/>
    <mergeCell ref="DO729:DS729"/>
    <mergeCell ref="ET718:EX718"/>
    <mergeCell ref="DU725:DY725"/>
    <mergeCell ref="DZ725:ED725"/>
    <mergeCell ref="DU723:DY723"/>
    <mergeCell ref="DZ723:ED723"/>
    <mergeCell ref="EE719:EI719"/>
    <mergeCell ref="DZ720:ED720"/>
    <mergeCell ref="EJ719:EN719"/>
    <mergeCell ref="ET725:EX725"/>
    <mergeCell ref="DU724:DY724"/>
    <mergeCell ref="DZ719:ED719"/>
    <mergeCell ref="EO730:ES730"/>
    <mergeCell ref="ET730:EX730"/>
    <mergeCell ref="EO724:ES724"/>
    <mergeCell ref="ET724:EX724"/>
    <mergeCell ref="EO726:ES726"/>
    <mergeCell ref="ET726:EX726"/>
    <mergeCell ref="ET722:EX722"/>
    <mergeCell ref="ET720:EX720"/>
    <mergeCell ref="EO728:ES728"/>
    <mergeCell ref="ET728:EX728"/>
    <mergeCell ref="EO720:ES720"/>
    <mergeCell ref="DJ723:DN723"/>
    <mergeCell ref="DJ724:DN724"/>
    <mergeCell ref="DO727:DS727"/>
    <mergeCell ref="DO728:DS728"/>
    <mergeCell ref="DO722:DS722"/>
    <mergeCell ref="DO723:DS723"/>
    <mergeCell ref="DO724:DS724"/>
    <mergeCell ref="DJ721:DN721"/>
    <mergeCell ref="DO726:DS726"/>
    <mergeCell ref="CZ741:DD741"/>
    <mergeCell ref="CZ750:DD750"/>
    <mergeCell ref="DU741:DY741"/>
    <mergeCell ref="DG122:DM122"/>
    <mergeCell ref="CU122:CV122"/>
    <mergeCell ref="AH714:AJ717"/>
    <mergeCell ref="AH725:AJ725"/>
    <mergeCell ref="AK748:AO748"/>
    <mergeCell ref="DU720:DY720"/>
    <mergeCell ref="DX647:EB647"/>
    <mergeCell ref="DU749:DY749"/>
    <mergeCell ref="DZ749:ED749"/>
    <mergeCell ref="CI730:CJ730"/>
    <mergeCell ref="CI736:CJ736"/>
    <mergeCell ref="CZ737:DD737"/>
    <mergeCell ref="DE733:DI733"/>
    <mergeCell ref="CU735:CY735"/>
    <mergeCell ref="AG607:AH607"/>
    <mergeCell ref="Z612:AK612"/>
    <mergeCell ref="DJ718:DN718"/>
    <mergeCell ref="CZ719:DD719"/>
    <mergeCell ref="AA573:AK573"/>
    <mergeCell ref="AC513:AF513"/>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Y825:AB825"/>
    <mergeCell ref="AC825:AF825"/>
    <mergeCell ref="AD759:AF759"/>
    <mergeCell ref="O746:S746"/>
    <mergeCell ref="M831:P831"/>
    <mergeCell ref="Q831:T831"/>
    <mergeCell ref="DJ731:DN731"/>
    <mergeCell ref="DJ729:DN729"/>
    <mergeCell ref="T745:W745"/>
    <mergeCell ref="AH730:AJ73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O796:S796"/>
    <mergeCell ref="U825:X825"/>
    <mergeCell ref="Z814:AE814"/>
    <mergeCell ref="DJ737:DN737"/>
    <mergeCell ref="DJ735:DN735"/>
    <mergeCell ref="AC828:AF828"/>
    <mergeCell ref="AG829:AJ829"/>
    <mergeCell ref="AG826:AJ826"/>
    <mergeCell ref="AG825:AJ825"/>
    <mergeCell ref="M830:P830"/>
    <mergeCell ref="O756:R756"/>
    <mergeCell ref="CG735:CH735"/>
    <mergeCell ref="BI841:BL841"/>
    <mergeCell ref="AC823:AF824"/>
    <mergeCell ref="Z816:AE816"/>
    <mergeCell ref="AC773:AG773"/>
    <mergeCell ref="C830:H830"/>
    <mergeCell ref="F831:L831"/>
    <mergeCell ref="U827:X827"/>
    <mergeCell ref="C827:H827"/>
    <mergeCell ref="I949:T949"/>
    <mergeCell ref="U938:Z938"/>
    <mergeCell ref="U928:Z928"/>
    <mergeCell ref="U948:Z948"/>
    <mergeCell ref="U935:Z935"/>
    <mergeCell ref="AA923:AF923"/>
    <mergeCell ref="AA944:AF944"/>
    <mergeCell ref="W843:AC843"/>
    <mergeCell ref="AA928:AF928"/>
    <mergeCell ref="AA936:AF936"/>
    <mergeCell ref="U943:Z943"/>
    <mergeCell ref="U941:Z941"/>
    <mergeCell ref="AA943:AF943"/>
    <mergeCell ref="AA947:AF947"/>
    <mergeCell ref="Y830:AB830"/>
    <mergeCell ref="U922:Z922"/>
    <mergeCell ref="AA924:AF924"/>
    <mergeCell ref="W859:AC859"/>
    <mergeCell ref="W849:AC849"/>
    <mergeCell ref="M877:V877"/>
    <mergeCell ref="W869:AC869"/>
    <mergeCell ref="AA949:AF949"/>
    <mergeCell ref="E885:AB885"/>
    <mergeCell ref="M861:V861"/>
    <mergeCell ref="W845:AC845"/>
    <mergeCell ref="F942:T942"/>
    <mergeCell ref="U942:Z942"/>
    <mergeCell ref="AA942:AF942"/>
    <mergeCell ref="J849:V849"/>
    <mergeCell ref="W846:AC846"/>
    <mergeCell ref="AE960:AK960"/>
    <mergeCell ref="AE961:AK961"/>
    <mergeCell ref="AA948:AF948"/>
    <mergeCell ref="I948:T948"/>
    <mergeCell ref="AC895:AH895"/>
    <mergeCell ref="AA933:AF933"/>
    <mergeCell ref="Z900:AE900"/>
    <mergeCell ref="AA967:AG967"/>
    <mergeCell ref="AE956:AK956"/>
    <mergeCell ref="AA941:AF941"/>
    <mergeCell ref="AA929:AF929"/>
    <mergeCell ref="U930:Z930"/>
    <mergeCell ref="AA930:AF930"/>
    <mergeCell ref="U949:Z949"/>
    <mergeCell ref="U934:Z934"/>
    <mergeCell ref="C895:AB895"/>
    <mergeCell ref="AA920:AF920"/>
    <mergeCell ref="AA919:AF919"/>
    <mergeCell ref="U925:Z925"/>
    <mergeCell ref="A910:AT911"/>
    <mergeCell ref="F936:T936"/>
    <mergeCell ref="F944:T944"/>
    <mergeCell ref="U944:Z944"/>
    <mergeCell ref="F940:T940"/>
    <mergeCell ref="U939:Z939"/>
    <mergeCell ref="W877:AC877"/>
    <mergeCell ref="W871:AC871"/>
    <mergeCell ref="AC886:AH886"/>
    <mergeCell ref="AA931:AF931"/>
    <mergeCell ref="U932:Z932"/>
    <mergeCell ref="D1125:AK1127"/>
    <mergeCell ref="A1097:B1097"/>
    <mergeCell ref="M969:S969"/>
    <mergeCell ref="M960:S960"/>
    <mergeCell ref="Z901:AE901"/>
    <mergeCell ref="W878:AC878"/>
    <mergeCell ref="U931:Z931"/>
    <mergeCell ref="F915:T915"/>
    <mergeCell ref="I946:T946"/>
    <mergeCell ref="AA946:AF946"/>
    <mergeCell ref="U920:Z920"/>
    <mergeCell ref="M968:S968"/>
    <mergeCell ref="F932:T932"/>
    <mergeCell ref="AA939:AF939"/>
    <mergeCell ref="AA940:AF940"/>
    <mergeCell ref="U940:Z940"/>
    <mergeCell ref="AA938:AF938"/>
    <mergeCell ref="M878:V878"/>
    <mergeCell ref="AA1056:AF1056"/>
    <mergeCell ref="AA1057:AF1057"/>
    <mergeCell ref="G1058:AN1060"/>
    <mergeCell ref="A1125:B1125"/>
    <mergeCell ref="A1100:B1100"/>
    <mergeCell ref="A1094:B1094"/>
    <mergeCell ref="AJ991:AQ991"/>
    <mergeCell ref="AB988:AI988"/>
    <mergeCell ref="D1042:AE1044"/>
    <mergeCell ref="AJ1029:AQ1031"/>
    <mergeCell ref="D1029:AE1029"/>
    <mergeCell ref="B991:AA991"/>
    <mergeCell ref="M955:S955"/>
    <mergeCell ref="AC885:AH88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O792:S792"/>
    <mergeCell ref="W844:AC844"/>
    <mergeCell ref="AC832:AF832"/>
    <mergeCell ref="AB917:AE917"/>
    <mergeCell ref="W865:AC865"/>
    <mergeCell ref="W879:AC879"/>
    <mergeCell ref="AA935:AF935"/>
    <mergeCell ref="AA918:AF918"/>
    <mergeCell ref="U929:Z929"/>
    <mergeCell ref="AE962:AK962"/>
    <mergeCell ref="M961:S961"/>
    <mergeCell ref="AA922:AF922"/>
    <mergeCell ref="M958:S958"/>
    <mergeCell ref="W853:AC853"/>
    <mergeCell ref="U946:Z946"/>
    <mergeCell ref="M846:V846"/>
    <mergeCell ref="K750:N750"/>
    <mergeCell ref="C826:H826"/>
    <mergeCell ref="K752:N752"/>
    <mergeCell ref="J774:N774"/>
    <mergeCell ref="AC751:AG751"/>
    <mergeCell ref="O745:S745"/>
    <mergeCell ref="T748:W748"/>
    <mergeCell ref="X747:AB747"/>
    <mergeCell ref="AH752:AJ752"/>
    <mergeCell ref="X774:AB774"/>
    <mergeCell ref="J788:N788"/>
    <mergeCell ref="T773:W773"/>
    <mergeCell ref="AC747:AG747"/>
    <mergeCell ref="J773:N773"/>
    <mergeCell ref="O773:S773"/>
    <mergeCell ref="T752:W752"/>
    <mergeCell ref="J776:N776"/>
    <mergeCell ref="B746:F746"/>
    <mergeCell ref="B747:F747"/>
    <mergeCell ref="B748:F748"/>
    <mergeCell ref="B749:F749"/>
    <mergeCell ref="B750:F750"/>
    <mergeCell ref="T750:W750"/>
    <mergeCell ref="Q823:T824"/>
    <mergeCell ref="Z809:AE809"/>
    <mergeCell ref="O791:S791"/>
    <mergeCell ref="J783:N786"/>
    <mergeCell ref="T790:W790"/>
    <mergeCell ref="T793:W793"/>
    <mergeCell ref="Z817:AE817"/>
    <mergeCell ref="B739:F739"/>
    <mergeCell ref="K735:N735"/>
    <mergeCell ref="G645:R645"/>
    <mergeCell ref="AC739:AG739"/>
    <mergeCell ref="X732:AB732"/>
    <mergeCell ref="K734:N734"/>
    <mergeCell ref="G723:J723"/>
    <mergeCell ref="O725:S725"/>
    <mergeCell ref="T743:W743"/>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G669:R669"/>
    <mergeCell ref="T718:W718"/>
    <mergeCell ref="O721:S721"/>
    <mergeCell ref="G667:R667"/>
    <mergeCell ref="AC731:AG731"/>
    <mergeCell ref="G730:J730"/>
    <mergeCell ref="X730:AB730"/>
    <mergeCell ref="K744:N744"/>
    <mergeCell ref="O744:S744"/>
    <mergeCell ref="K746:N746"/>
    <mergeCell ref="T751:W751"/>
    <mergeCell ref="K748:N748"/>
    <mergeCell ref="T744:W744"/>
    <mergeCell ref="G726:J726"/>
    <mergeCell ref="AH751:AJ751"/>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F916:T917"/>
    <mergeCell ref="F939:T939"/>
    <mergeCell ref="D994:AE994"/>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AJ1053:AQ1053"/>
    <mergeCell ref="AG1029:AH1029"/>
    <mergeCell ref="D1037:AE1040"/>
    <mergeCell ref="AJ1036:AQ1040"/>
    <mergeCell ref="D1046:AE1047"/>
    <mergeCell ref="AJ1041:AQ1044"/>
    <mergeCell ref="D1041:AE1041"/>
    <mergeCell ref="D985:Q985"/>
    <mergeCell ref="D986:Q986"/>
    <mergeCell ref="AB985:AI985"/>
    <mergeCell ref="AB986:AI986"/>
    <mergeCell ref="AB987:AI987"/>
    <mergeCell ref="D987:Q987"/>
    <mergeCell ref="R989:AA989"/>
    <mergeCell ref="AJ989:AQ989"/>
    <mergeCell ref="D1030:AE1031"/>
    <mergeCell ref="AA925:AF925"/>
    <mergeCell ref="AE958:AK958"/>
    <mergeCell ref="AA969:AG96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AA972:AG972"/>
    <mergeCell ref="R986:AA986"/>
    <mergeCell ref="M959:S959"/>
    <mergeCell ref="M967:S967"/>
    <mergeCell ref="F975:L975"/>
    <mergeCell ref="B993:AE993"/>
    <mergeCell ref="D1000:AE1000"/>
    <mergeCell ref="M975:S975"/>
    <mergeCell ref="D988:Q988"/>
    <mergeCell ref="D989:Q989"/>
    <mergeCell ref="R988:AA988"/>
    <mergeCell ref="O974:P974"/>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J721:FN721"/>
    <mergeCell ref="FO721:FS721"/>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DX649:EB649"/>
    <mergeCell ref="DX655:EB655"/>
    <mergeCell ref="EE734:EI734"/>
    <mergeCell ref="DU731:DY731"/>
    <mergeCell ref="DJ738:DN738"/>
    <mergeCell ref="EO737:ES737"/>
    <mergeCell ref="DU737:DY737"/>
    <mergeCell ref="DU735:DY735"/>
    <mergeCell ref="DO737:DS737"/>
    <mergeCell ref="DO738:DS738"/>
    <mergeCell ref="EO731:ES731"/>
    <mergeCell ref="DZ724:ED724"/>
    <mergeCell ref="ET723:EX723"/>
    <mergeCell ref="EE725:EI725"/>
    <mergeCell ref="ET731:EX731"/>
    <mergeCell ref="EJ727:EN727"/>
    <mergeCell ref="EO729:ES729"/>
    <mergeCell ref="EO732:ES732"/>
    <mergeCell ref="ET729:EX729"/>
    <mergeCell ref="EO719:ES719"/>
    <mergeCell ref="EW668:FA668"/>
    <mergeCell ref="EW664:FA664"/>
    <mergeCell ref="EW666:FA666"/>
    <mergeCell ref="EW654:FA654"/>
    <mergeCell ref="DO733:DS733"/>
    <mergeCell ref="DO734:DS734"/>
    <mergeCell ref="DZ731:ED731"/>
    <mergeCell ref="DO730:DS730"/>
    <mergeCell ref="DO731:DS731"/>
    <mergeCell ref="EO727:ES727"/>
    <mergeCell ref="EJ733:EN733"/>
    <mergeCell ref="DZ729:ED729"/>
    <mergeCell ref="DO735:DS735"/>
    <mergeCell ref="DO736:DS736"/>
    <mergeCell ref="EZ720:FD720"/>
    <mergeCell ref="FE720:FI720"/>
    <mergeCell ref="FJ720:FN720"/>
    <mergeCell ref="FO720:FS720"/>
    <mergeCell ref="EZ717:FD717"/>
    <mergeCell ref="FE717:FI717"/>
    <mergeCell ref="FJ717:FN717"/>
    <mergeCell ref="FO717:FS717"/>
    <mergeCell ref="EW670:FA670"/>
    <mergeCell ref="EW656:FA656"/>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C655:EG655"/>
    <mergeCell ref="DX667:EB667"/>
    <mergeCell ref="ER650:EV650"/>
    <mergeCell ref="EM650:EQ650"/>
    <mergeCell ref="DX653:EB653"/>
    <mergeCell ref="EC653:EG653"/>
    <mergeCell ref="DX654:EB654"/>
    <mergeCell ref="ET719:EX719"/>
    <mergeCell ref="EJ722:EN722"/>
    <mergeCell ref="ET736:EX736"/>
    <mergeCell ref="EE735:EI735"/>
    <mergeCell ref="EJ734:EN734"/>
    <mergeCell ref="EE733:EI733"/>
    <mergeCell ref="ET732:EX732"/>
    <mergeCell ref="ET721:EX721"/>
    <mergeCell ref="EE720:EI720"/>
    <mergeCell ref="DU730:DY730"/>
    <mergeCell ref="EE728:EI728"/>
    <mergeCell ref="EH651:EL651"/>
    <mergeCell ref="EH650:EL650"/>
    <mergeCell ref="EO736:ES736"/>
    <mergeCell ref="ET717:EX717"/>
    <mergeCell ref="EE729:EI729"/>
    <mergeCell ref="EM668:EQ668"/>
    <mergeCell ref="DX670:EB670"/>
    <mergeCell ref="EM664:EQ664"/>
    <mergeCell ref="ER664:EV664"/>
    <mergeCell ref="EC667:EG667"/>
    <mergeCell ref="EH667:EL667"/>
    <mergeCell ref="EM666:EQ666"/>
    <mergeCell ref="EW661:FA661"/>
    <mergeCell ref="EM662:EQ662"/>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DX643:EB643"/>
    <mergeCell ref="N665:O665"/>
    <mergeCell ref="T736:W736"/>
    <mergeCell ref="O720:S720"/>
    <mergeCell ref="O733:S733"/>
    <mergeCell ref="K719:N719"/>
    <mergeCell ref="K731:N731"/>
    <mergeCell ref="AK750:AO750"/>
    <mergeCell ref="DO739:DS739"/>
    <mergeCell ref="CG736:CH736"/>
    <mergeCell ref="CI740:CJ740"/>
    <mergeCell ref="EJ728:EN728"/>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EO745:ES745"/>
    <mergeCell ref="CP753:CT753"/>
    <mergeCell ref="DE739:DI73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M641:EQ641"/>
    <mergeCell ref="ER655:EV655"/>
    <mergeCell ref="EH648:EL648"/>
    <mergeCell ref="CI751:CJ751"/>
    <mergeCell ref="CP735:CT735"/>
    <mergeCell ref="DJ736:DN736"/>
    <mergeCell ref="DE736:DI736"/>
    <mergeCell ref="CM740:CN740"/>
    <mergeCell ref="AK749:AO749"/>
    <mergeCell ref="EJ739:EN739"/>
    <mergeCell ref="AK751:AO751"/>
    <mergeCell ref="ER649:EV649"/>
    <mergeCell ref="EE738:EI738"/>
    <mergeCell ref="EJ738:EN738"/>
    <mergeCell ref="DU739:DY739"/>
    <mergeCell ref="DZ739:ED739"/>
    <mergeCell ref="EE739:EI739"/>
    <mergeCell ref="DJ751:DN751"/>
    <mergeCell ref="CZ745:DD745"/>
    <mergeCell ref="DE745:DI745"/>
    <mergeCell ref="EM655:EQ655"/>
    <mergeCell ref="AI663:AK663"/>
    <mergeCell ref="AH736:AJ736"/>
    <mergeCell ref="AH733:AJ733"/>
    <mergeCell ref="AK737:AO737"/>
    <mergeCell ref="AK738:AO738"/>
    <mergeCell ref="Z686:AK686"/>
    <mergeCell ref="AG649:AH649"/>
    <mergeCell ref="ER661:EV661"/>
    <mergeCell ref="EO738:ES738"/>
    <mergeCell ref="DE738:DI738"/>
    <mergeCell ref="EM649:EQ649"/>
    <mergeCell ref="EM654:EQ654"/>
    <mergeCell ref="ER654:EV654"/>
    <mergeCell ref="EM652:EQ65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9:AO729"/>
    <mergeCell ref="ER666:EV666"/>
    <mergeCell ref="ET727:EX727"/>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DZ738:ED738"/>
    <mergeCell ref="DO732:DS732"/>
    <mergeCell ref="DJ734:DN734"/>
    <mergeCell ref="DO753:DS753"/>
    <mergeCell ref="DO773:DS773"/>
    <mergeCell ref="DZ737:ED737"/>
    <mergeCell ref="EE753:EI753"/>
    <mergeCell ref="EO753:ES753"/>
    <mergeCell ref="DJ776:DN776"/>
    <mergeCell ref="DO776:DS776"/>
    <mergeCell ref="DO775:DS775"/>
    <mergeCell ref="DJ753:DN753"/>
    <mergeCell ref="DE740:DI740"/>
    <mergeCell ref="DU740:DY740"/>
    <mergeCell ref="CZ751:DD751"/>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CK751:CL751"/>
    <mergeCell ref="CP775:CT775"/>
    <mergeCell ref="CP776:CT776"/>
    <mergeCell ref="CP777:CT777"/>
    <mergeCell ref="CP773:CT773"/>
    <mergeCell ref="CU752:CY752"/>
    <mergeCell ref="CU773:CY773"/>
    <mergeCell ref="CP738:CT738"/>
    <mergeCell ref="DZ740:ED740"/>
    <mergeCell ref="EE740:EI740"/>
    <mergeCell ref="EJ740:EN740"/>
    <mergeCell ref="CU775:CY775"/>
    <mergeCell ref="EE745:EI745"/>
    <mergeCell ref="DO752:DS752"/>
    <mergeCell ref="AA656:AK656"/>
    <mergeCell ref="DE735:DI735"/>
    <mergeCell ref="AH737:AJ737"/>
    <mergeCell ref="AH738:AJ738"/>
    <mergeCell ref="C636:L636"/>
    <mergeCell ref="T632:V632"/>
    <mergeCell ref="T633:V633"/>
    <mergeCell ref="AC638:AE638"/>
    <mergeCell ref="W624:Y626"/>
    <mergeCell ref="X727:AB727"/>
    <mergeCell ref="K745:N745"/>
    <mergeCell ref="G728:J728"/>
    <mergeCell ref="O737:S737"/>
    <mergeCell ref="O738:S738"/>
    <mergeCell ref="T740:W740"/>
    <mergeCell ref="G741:J741"/>
    <mergeCell ref="T739:W739"/>
    <mergeCell ref="B740:F740"/>
    <mergeCell ref="O739:S739"/>
    <mergeCell ref="O740:S740"/>
    <mergeCell ref="K741:N741"/>
    <mergeCell ref="O736:S736"/>
    <mergeCell ref="K738:N738"/>
    <mergeCell ref="G647:L647"/>
    <mergeCell ref="C638:L638"/>
    <mergeCell ref="Q631:S631"/>
    <mergeCell ref="M629:P629"/>
    <mergeCell ref="AC627:AE627"/>
    <mergeCell ref="X735:AB735"/>
    <mergeCell ref="AC729:AG729"/>
    <mergeCell ref="O728:S728"/>
    <mergeCell ref="Z629:AB629"/>
    <mergeCell ref="G679:L679"/>
    <mergeCell ref="G677:R677"/>
    <mergeCell ref="E707:AK707"/>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Z602:AK602"/>
    <mergeCell ref="AO628:AS628"/>
    <mergeCell ref="G611:R611"/>
    <mergeCell ref="AA598:AK598"/>
    <mergeCell ref="G581:L581"/>
    <mergeCell ref="Z604:AK604"/>
    <mergeCell ref="AO633:AS633"/>
    <mergeCell ref="AE556:AH556"/>
    <mergeCell ref="AE559:AH559"/>
    <mergeCell ref="AI559:AL559"/>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C733:AG733"/>
    <mergeCell ref="H688:R688"/>
    <mergeCell ref="X721:AB721"/>
    <mergeCell ref="T735:W735"/>
    <mergeCell ref="T734:W734"/>
    <mergeCell ref="AC727:AG727"/>
    <mergeCell ref="AC728:AG728"/>
    <mergeCell ref="AC732:AG732"/>
    <mergeCell ref="X733:AB733"/>
    <mergeCell ref="G732:J732"/>
    <mergeCell ref="AH735:AJ735"/>
    <mergeCell ref="X734:AB73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K731:AO731"/>
    <mergeCell ref="T714:W717"/>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C1081:D1081"/>
    <mergeCell ref="C1082:D1082"/>
    <mergeCell ref="C1083:D1083"/>
    <mergeCell ref="C1084:D1084"/>
    <mergeCell ref="C1085:D1085"/>
    <mergeCell ref="C1087:D1087"/>
    <mergeCell ref="C1088:D1088"/>
    <mergeCell ref="G729:J729"/>
    <mergeCell ref="B726:F726"/>
    <mergeCell ref="AB990:AI990"/>
    <mergeCell ref="B744:F744"/>
    <mergeCell ref="B745:F745"/>
    <mergeCell ref="AJ1045:AQ1048"/>
    <mergeCell ref="AJ1049:AQ1052"/>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abSelected="1" workbookViewId="0">
      <selection activeCell="C5" sqref="C5"/>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71" t="s">
        <v>621</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374</v>
      </c>
      <c r="D2" s="138" t="s">
        <v>373</v>
      </c>
      <c r="E2" s="138" t="s">
        <v>24</v>
      </c>
      <c r="F2" s="139" t="str">
        <f>Application!B627&amp;Application!C627</f>
        <v>1)Citibank</v>
      </c>
      <c r="G2" s="139" t="str">
        <f>Application!B628&amp;Application!C628</f>
        <v>2)HCD - AHSC</v>
      </c>
      <c r="H2" s="139" t="str">
        <f>Application!B629&amp;Application!C629</f>
        <v>3)San Francisco Housing Accelerator Fund</v>
      </c>
      <c r="I2" s="139" t="str">
        <f>Application!B630&amp;Application!C630</f>
        <v>4)County of Santa Clara</v>
      </c>
      <c r="J2" s="139" t="str">
        <f>Application!B631&amp;Application!C631</f>
        <v>5)City of San Jose</v>
      </c>
      <c r="K2" s="139" t="str">
        <f>Application!B632&amp;Application!C632</f>
        <v>6)Affirmed Housing Group, Inc</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v>0</v>
      </c>
      <c r="D4" s="147">
        <v>0</v>
      </c>
      <c r="E4" s="147">
        <v>0</v>
      </c>
      <c r="F4" s="147"/>
      <c r="G4" s="147"/>
      <c r="H4" s="147"/>
      <c r="I4" s="147"/>
      <c r="J4" s="147"/>
      <c r="K4" s="147"/>
      <c r="L4" s="147"/>
      <c r="M4" s="147"/>
      <c r="N4" s="147"/>
      <c r="O4" s="147"/>
      <c r="P4" s="147"/>
      <c r="Q4" s="147"/>
      <c r="R4" s="516">
        <f>SUM(E4:Q4)</f>
        <v>0</v>
      </c>
      <c r="S4" s="148"/>
      <c r="T4" s="148"/>
      <c r="U4" s="143"/>
    </row>
    <row r="5" spans="1:21" s="144" customFormat="1">
      <c r="A5" s="145" t="s">
        <v>28</v>
      </c>
      <c r="B5" s="146">
        <f>SUM(C5+D5)</f>
        <v>107879</v>
      </c>
      <c r="C5" s="147">
        <v>107879</v>
      </c>
      <c r="D5" s="147">
        <v>0</v>
      </c>
      <c r="E5" s="147">
        <v>107879</v>
      </c>
      <c r="F5" s="147"/>
      <c r="G5" s="147"/>
      <c r="H5" s="147"/>
      <c r="I5" s="147"/>
      <c r="J5" s="147"/>
      <c r="K5" s="147"/>
      <c r="L5" s="147"/>
      <c r="M5" s="147"/>
      <c r="N5" s="147"/>
      <c r="O5" s="147"/>
      <c r="P5" s="147"/>
      <c r="Q5" s="147"/>
      <c r="R5" s="516">
        <f>SUM(E5:Q5)</f>
        <v>107879</v>
      </c>
      <c r="S5" s="148"/>
      <c r="T5" s="148"/>
      <c r="U5" s="143"/>
    </row>
    <row r="6" spans="1:21" s="144" customFormat="1">
      <c r="A6" s="145" t="s">
        <v>29</v>
      </c>
      <c r="B6" s="146">
        <f>SUM(C6+D6)</f>
        <v>0</v>
      </c>
      <c r="C6" s="147">
        <v>0</v>
      </c>
      <c r="D6" s="147">
        <v>0</v>
      </c>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11115000</v>
      </c>
      <c r="C7" s="147">
        <v>11115000</v>
      </c>
      <c r="D7" s="147">
        <v>0</v>
      </c>
      <c r="E7" s="147">
        <v>11115000</v>
      </c>
      <c r="F7" s="147"/>
      <c r="G7" s="147"/>
      <c r="H7" s="147"/>
      <c r="I7" s="147"/>
      <c r="J7" s="147"/>
      <c r="K7" s="147"/>
      <c r="L7" s="147"/>
      <c r="M7" s="147"/>
      <c r="N7" s="147"/>
      <c r="O7" s="147"/>
      <c r="P7" s="147"/>
      <c r="Q7" s="147"/>
      <c r="R7" s="516">
        <f>SUM(E7:Q7)</f>
        <v>11115000</v>
      </c>
      <c r="S7" s="148"/>
      <c r="T7" s="148"/>
      <c r="U7" s="143"/>
    </row>
    <row r="8" spans="1:21" s="144" customFormat="1">
      <c r="A8" s="149" t="s">
        <v>593</v>
      </c>
      <c r="B8" s="146">
        <f>SUM(C8:D8)</f>
        <v>11222879</v>
      </c>
      <c r="C8" s="146">
        <f t="shared" ref="C8:Q8" si="0">SUM(C4:C7)</f>
        <v>11222879</v>
      </c>
      <c r="D8" s="146">
        <f t="shared" si="0"/>
        <v>0</v>
      </c>
      <c r="E8" s="146">
        <f t="shared" si="0"/>
        <v>11222879</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11222879</v>
      </c>
      <c r="S8" s="148"/>
      <c r="T8" s="148"/>
      <c r="U8" s="143"/>
    </row>
    <row r="9" spans="1:21" s="144" customFormat="1">
      <c r="A9" s="145" t="s">
        <v>594</v>
      </c>
      <c r="B9" s="146">
        <f>SUM(C9+D9)</f>
        <v>0</v>
      </c>
      <c r="C9" s="147">
        <v>0</v>
      </c>
      <c r="D9" s="147">
        <v>0</v>
      </c>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v>0</v>
      </c>
      <c r="D10" s="147">
        <v>0</v>
      </c>
      <c r="E10" s="147"/>
      <c r="F10" s="147"/>
      <c r="G10" s="147"/>
      <c r="H10" s="147"/>
      <c r="I10" s="147"/>
      <c r="J10" s="147"/>
      <c r="K10" s="147"/>
      <c r="L10" s="147"/>
      <c r="M10" s="147"/>
      <c r="N10" s="147"/>
      <c r="O10" s="147"/>
      <c r="P10" s="147"/>
      <c r="Q10" s="147"/>
      <c r="R10" s="516">
        <f>SUM(E10:Q10)</f>
        <v>0</v>
      </c>
      <c r="S10" s="147">
        <v>0</v>
      </c>
      <c r="T10" s="147"/>
      <c r="U10" s="143"/>
    </row>
    <row r="11" spans="1:21" s="144" customFormat="1">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11222879</v>
      </c>
      <c r="C12" s="146">
        <f t="shared" si="2"/>
        <v>11222879</v>
      </c>
      <c r="D12" s="146">
        <f t="shared" si="2"/>
        <v>0</v>
      </c>
      <c r="E12" s="146">
        <f t="shared" si="2"/>
        <v>11222879</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11222879</v>
      </c>
      <c r="S12" s="148"/>
      <c r="T12" s="148"/>
      <c r="U12" s="143"/>
    </row>
    <row r="13" spans="1:21" s="144" customFormat="1">
      <c r="A13" s="287" t="s">
        <v>902</v>
      </c>
      <c r="B13" s="146">
        <f>SUM(C13+D13)</f>
        <v>132318</v>
      </c>
      <c r="C13" s="147">
        <v>132318</v>
      </c>
      <c r="D13" s="147">
        <v>0</v>
      </c>
      <c r="E13" s="147">
        <f>B13</f>
        <v>132318</v>
      </c>
      <c r="F13" s="147"/>
      <c r="G13" s="147"/>
      <c r="H13" s="147"/>
      <c r="I13" s="147"/>
      <c r="J13" s="147"/>
      <c r="K13" s="147"/>
      <c r="L13" s="147"/>
      <c r="M13" s="147"/>
      <c r="N13" s="147"/>
      <c r="O13" s="147"/>
      <c r="P13" s="147"/>
      <c r="Q13" s="147"/>
      <c r="R13" s="516">
        <f>SUM(E13:Q13)</f>
        <v>132318</v>
      </c>
      <c r="S13" s="147">
        <v>0</v>
      </c>
      <c r="T13" s="147"/>
      <c r="U13" s="143"/>
    </row>
    <row r="14" spans="1:21" s="144" customFormat="1" ht="24">
      <c r="A14" s="288" t="s">
        <v>1643</v>
      </c>
      <c r="B14" s="146">
        <f>SUM(C14+D14)</f>
        <v>0</v>
      </c>
      <c r="C14" s="147">
        <v>0</v>
      </c>
      <c r="D14" s="147">
        <v>0</v>
      </c>
      <c r="E14" s="147"/>
      <c r="F14" s="147"/>
      <c r="G14" s="147"/>
      <c r="H14" s="147"/>
      <c r="I14" s="147"/>
      <c r="J14" s="147"/>
      <c r="K14" s="147"/>
      <c r="L14" s="147"/>
      <c r="M14" s="147"/>
      <c r="N14" s="147"/>
      <c r="O14" s="147"/>
      <c r="P14" s="147"/>
      <c r="Q14" s="147"/>
      <c r="R14" s="516">
        <f>SUM(E14:Q14)</f>
        <v>0</v>
      </c>
      <c r="S14" s="147">
        <v>0</v>
      </c>
      <c r="T14" s="147"/>
      <c r="U14" s="143"/>
    </row>
    <row r="15" spans="1:21" s="144" customFormat="1">
      <c r="A15" s="288" t="s">
        <v>1161</v>
      </c>
      <c r="B15" s="146">
        <f>SUM(C15+D15)</f>
        <v>0</v>
      </c>
      <c r="C15" s="147">
        <v>0</v>
      </c>
      <c r="D15" s="147">
        <v>0</v>
      </c>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v>0</v>
      </c>
      <c r="D17" s="147">
        <v>0</v>
      </c>
      <c r="E17" s="147"/>
      <c r="F17" s="147"/>
      <c r="G17" s="147"/>
      <c r="H17" s="147"/>
      <c r="I17" s="147"/>
      <c r="J17" s="147"/>
      <c r="K17" s="147"/>
      <c r="L17" s="147"/>
      <c r="M17" s="147"/>
      <c r="N17" s="147"/>
      <c r="O17" s="147"/>
      <c r="P17" s="147"/>
      <c r="Q17" s="147"/>
      <c r="R17" s="516">
        <f>SUM(E17:Q17)</f>
        <v>0</v>
      </c>
      <c r="S17" s="147">
        <v>0</v>
      </c>
      <c r="T17" s="147"/>
      <c r="U17" s="143"/>
    </row>
    <row r="18" spans="1:21" s="144" customFormat="1">
      <c r="A18" s="145" t="s">
        <v>599</v>
      </c>
      <c r="B18" s="146">
        <f t="shared" si="3"/>
        <v>0</v>
      </c>
      <c r="C18" s="147">
        <v>0</v>
      </c>
      <c r="D18" s="147">
        <v>0</v>
      </c>
      <c r="E18" s="147"/>
      <c r="F18" s="147"/>
      <c r="G18" s="147"/>
      <c r="H18" s="147"/>
      <c r="I18" s="147"/>
      <c r="J18" s="147"/>
      <c r="K18" s="147"/>
      <c r="L18" s="147"/>
      <c r="M18" s="147"/>
      <c r="N18" s="147"/>
      <c r="O18" s="147"/>
      <c r="P18" s="147"/>
      <c r="Q18" s="147"/>
      <c r="R18" s="516">
        <f>SUM(E18:Q18)</f>
        <v>0</v>
      </c>
      <c r="S18" s="147">
        <v>0</v>
      </c>
      <c r="T18" s="147"/>
      <c r="U18" s="143"/>
    </row>
    <row r="19" spans="1:21" s="144" customFormat="1">
      <c r="A19" s="145" t="s">
        <v>600</v>
      </c>
      <c r="B19" s="146">
        <f t="shared" si="3"/>
        <v>0</v>
      </c>
      <c r="C19" s="147">
        <v>0</v>
      </c>
      <c r="D19" s="147">
        <v>0</v>
      </c>
      <c r="E19" s="147"/>
      <c r="F19" s="147"/>
      <c r="G19" s="147"/>
      <c r="H19" s="147"/>
      <c r="I19" s="147"/>
      <c r="J19" s="147"/>
      <c r="K19" s="147"/>
      <c r="L19" s="147"/>
      <c r="M19" s="147"/>
      <c r="N19" s="147"/>
      <c r="O19" s="147"/>
      <c r="P19" s="147"/>
      <c r="Q19" s="147"/>
      <c r="R19" s="516">
        <f>SUM(E19:Q19)</f>
        <v>0</v>
      </c>
      <c r="S19" s="147">
        <v>0</v>
      </c>
      <c r="T19" s="147"/>
      <c r="U19" s="143"/>
    </row>
    <row r="20" spans="1:21" s="144" customFormat="1">
      <c r="A20" s="145" t="s">
        <v>137</v>
      </c>
      <c r="B20" s="146">
        <f t="shared" si="3"/>
        <v>0</v>
      </c>
      <c r="C20" s="147">
        <v>0</v>
      </c>
      <c r="D20" s="147">
        <v>0</v>
      </c>
      <c r="E20" s="147"/>
      <c r="F20" s="147"/>
      <c r="G20" s="147"/>
      <c r="H20" s="147"/>
      <c r="I20" s="147"/>
      <c r="J20" s="147"/>
      <c r="K20" s="147"/>
      <c r="L20" s="147"/>
      <c r="M20" s="147"/>
      <c r="N20" s="147"/>
      <c r="O20" s="147"/>
      <c r="P20" s="147"/>
      <c r="Q20" s="147"/>
      <c r="R20" s="516">
        <f t="shared" ref="R20:R27" si="4">SUM(E20:Q20)</f>
        <v>0</v>
      </c>
      <c r="S20" s="147">
        <v>0</v>
      </c>
      <c r="T20" s="147"/>
      <c r="U20" s="143"/>
    </row>
    <row r="21" spans="1:21" s="144" customFormat="1">
      <c r="A21" s="145" t="s">
        <v>138</v>
      </c>
      <c r="B21" s="146">
        <f t="shared" si="3"/>
        <v>0</v>
      </c>
      <c r="C21" s="147">
        <v>0</v>
      </c>
      <c r="D21" s="147">
        <v>0</v>
      </c>
      <c r="E21" s="147"/>
      <c r="F21" s="147"/>
      <c r="G21" s="147"/>
      <c r="H21" s="147"/>
      <c r="I21" s="147"/>
      <c r="J21" s="147"/>
      <c r="K21" s="147"/>
      <c r="L21" s="147"/>
      <c r="M21" s="147"/>
      <c r="N21" s="147"/>
      <c r="O21" s="147"/>
      <c r="P21" s="147"/>
      <c r="Q21" s="147"/>
      <c r="R21" s="516">
        <f t="shared" si="4"/>
        <v>0</v>
      </c>
      <c r="S21" s="147">
        <v>0</v>
      </c>
      <c r="T21" s="147"/>
      <c r="U21" s="143"/>
    </row>
    <row r="22" spans="1:21" s="144" customFormat="1">
      <c r="A22" s="145" t="s">
        <v>139</v>
      </c>
      <c r="B22" s="146">
        <f t="shared" si="3"/>
        <v>0</v>
      </c>
      <c r="C22" s="147">
        <v>0</v>
      </c>
      <c r="D22" s="147">
        <v>0</v>
      </c>
      <c r="E22" s="147"/>
      <c r="F22" s="147"/>
      <c r="G22" s="147"/>
      <c r="H22" s="147"/>
      <c r="I22" s="147"/>
      <c r="J22" s="147"/>
      <c r="K22" s="147"/>
      <c r="L22" s="147"/>
      <c r="M22" s="147"/>
      <c r="N22" s="147"/>
      <c r="O22" s="147"/>
      <c r="P22" s="147"/>
      <c r="Q22" s="147"/>
      <c r="R22" s="516">
        <f t="shared" si="4"/>
        <v>0</v>
      </c>
      <c r="S22" s="147">
        <v>0</v>
      </c>
      <c r="T22" s="147"/>
      <c r="U22" s="143"/>
    </row>
    <row r="23" spans="1:21" s="144" customFormat="1">
      <c r="A23" s="145" t="s">
        <v>140</v>
      </c>
      <c r="B23" s="146">
        <f t="shared" si="3"/>
        <v>0</v>
      </c>
      <c r="C23" s="147">
        <v>0</v>
      </c>
      <c r="D23" s="147">
        <v>0</v>
      </c>
      <c r="E23" s="147"/>
      <c r="F23" s="147"/>
      <c r="G23" s="147"/>
      <c r="H23" s="147"/>
      <c r="I23" s="147"/>
      <c r="J23" s="147"/>
      <c r="K23" s="147"/>
      <c r="L23" s="147"/>
      <c r="M23" s="147"/>
      <c r="N23" s="147"/>
      <c r="O23" s="147"/>
      <c r="P23" s="147"/>
      <c r="Q23" s="147"/>
      <c r="R23" s="516">
        <f t="shared" si="4"/>
        <v>0</v>
      </c>
      <c r="S23" s="147">
        <v>0</v>
      </c>
      <c r="T23" s="147"/>
      <c r="U23" s="143"/>
    </row>
    <row r="24" spans="1:21" s="144" customFormat="1">
      <c r="A24" s="508" t="s">
        <v>1640</v>
      </c>
      <c r="B24" s="146">
        <f t="shared" si="3"/>
        <v>0</v>
      </c>
      <c r="C24" s="147">
        <v>0</v>
      </c>
      <c r="D24" s="147">
        <v>0</v>
      </c>
      <c r="E24" s="147"/>
      <c r="F24" s="147"/>
      <c r="G24" s="147"/>
      <c r="H24" s="147"/>
      <c r="I24" s="147"/>
      <c r="J24" s="147"/>
      <c r="K24" s="147"/>
      <c r="L24" s="147"/>
      <c r="M24" s="147"/>
      <c r="N24" s="147"/>
      <c r="O24" s="147"/>
      <c r="P24" s="147"/>
      <c r="Q24" s="147"/>
      <c r="R24" s="516">
        <f t="shared" si="4"/>
        <v>0</v>
      </c>
      <c r="S24" s="147">
        <v>0</v>
      </c>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v>0</v>
      </c>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v>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2241354</v>
      </c>
      <c r="C29" s="147">
        <v>2241354</v>
      </c>
      <c r="D29" s="147">
        <v>0</v>
      </c>
      <c r="E29" s="147"/>
      <c r="F29" s="147">
        <v>2241354</v>
      </c>
      <c r="G29" s="147"/>
      <c r="H29" s="147"/>
      <c r="I29" s="147"/>
      <c r="J29" s="147"/>
      <c r="K29" s="147"/>
      <c r="L29" s="147"/>
      <c r="M29" s="147"/>
      <c r="N29" s="147"/>
      <c r="O29" s="147"/>
      <c r="P29" s="147"/>
      <c r="Q29" s="147"/>
      <c r="R29" s="516">
        <f t="shared" ref="R29:R37" si="7">SUM(E29:Q29)</f>
        <v>2241354</v>
      </c>
      <c r="S29" s="147">
        <f>R29</f>
        <v>2241354</v>
      </c>
      <c r="T29" s="147"/>
      <c r="U29" s="143"/>
    </row>
    <row r="30" spans="1:21" s="144" customFormat="1">
      <c r="A30" s="145" t="s">
        <v>599</v>
      </c>
      <c r="B30" s="146">
        <f t="shared" si="6"/>
        <v>89475094</v>
      </c>
      <c r="C30" s="147">
        <f>87027972+2447122</f>
        <v>89475094</v>
      </c>
      <c r="D30" s="147">
        <v>0</v>
      </c>
      <c r="E30" s="147"/>
      <c r="F30" s="147">
        <f>C30-SUM(G30:J30)</f>
        <v>23961217</v>
      </c>
      <c r="G30" s="147">
        <v>29000000</v>
      </c>
      <c r="H30" s="147">
        <v>15500000</v>
      </c>
      <c r="I30" s="147">
        <v>11115000</v>
      </c>
      <c r="J30" s="147">
        <v>9898877</v>
      </c>
      <c r="K30" s="147"/>
      <c r="L30" s="147"/>
      <c r="M30" s="147"/>
      <c r="N30" s="147"/>
      <c r="O30" s="147"/>
      <c r="P30" s="147"/>
      <c r="Q30" s="147"/>
      <c r="R30" s="516">
        <f t="shared" si="7"/>
        <v>89475094</v>
      </c>
      <c r="S30" s="147">
        <f t="shared" ref="S30:S37" si="8">R30</f>
        <v>89475094</v>
      </c>
      <c r="T30" s="147"/>
      <c r="U30" s="143"/>
    </row>
    <row r="31" spans="1:21" s="144" customFormat="1">
      <c r="A31" s="145" t="s">
        <v>600</v>
      </c>
      <c r="B31" s="146">
        <f t="shared" si="6"/>
        <v>3770693</v>
      </c>
      <c r="C31" s="147">
        <v>3770693</v>
      </c>
      <c r="D31" s="147">
        <v>0</v>
      </c>
      <c r="E31" s="147"/>
      <c r="F31" s="147">
        <v>3770693</v>
      </c>
      <c r="G31" s="147"/>
      <c r="H31" s="147"/>
      <c r="I31" s="147"/>
      <c r="J31" s="147"/>
      <c r="K31" s="147"/>
      <c r="L31" s="147"/>
      <c r="M31" s="147"/>
      <c r="N31" s="147"/>
      <c r="O31" s="147"/>
      <c r="P31" s="147"/>
      <c r="Q31" s="147"/>
      <c r="R31" s="516">
        <f t="shared" si="7"/>
        <v>3770693</v>
      </c>
      <c r="S31" s="147">
        <f t="shared" si="8"/>
        <v>3770693</v>
      </c>
      <c r="T31" s="147"/>
      <c r="U31" s="143"/>
    </row>
    <row r="32" spans="1:21" s="144" customFormat="1">
      <c r="A32" s="145" t="s">
        <v>137</v>
      </c>
      <c r="B32" s="146">
        <f t="shared" si="6"/>
        <v>3729588</v>
      </c>
      <c r="C32" s="147">
        <v>3729588</v>
      </c>
      <c r="D32" s="147">
        <v>0</v>
      </c>
      <c r="E32" s="147"/>
      <c r="F32" s="147">
        <v>3729588</v>
      </c>
      <c r="G32" s="147"/>
      <c r="H32" s="147"/>
      <c r="I32" s="147"/>
      <c r="J32" s="147"/>
      <c r="K32" s="147"/>
      <c r="L32" s="147"/>
      <c r="M32" s="147"/>
      <c r="N32" s="147"/>
      <c r="O32" s="147"/>
      <c r="P32" s="147"/>
      <c r="Q32" s="147"/>
      <c r="R32" s="516">
        <f t="shared" si="7"/>
        <v>3729588</v>
      </c>
      <c r="S32" s="147">
        <f t="shared" si="8"/>
        <v>3729588</v>
      </c>
      <c r="T32" s="147"/>
      <c r="U32" s="143"/>
    </row>
    <row r="33" spans="1:21" s="144" customFormat="1">
      <c r="A33" s="145" t="s">
        <v>138</v>
      </c>
      <c r="B33" s="146">
        <f t="shared" si="6"/>
        <v>2691834</v>
      </c>
      <c r="C33" s="147">
        <v>2691834</v>
      </c>
      <c r="D33" s="147">
        <v>0</v>
      </c>
      <c r="E33" s="147"/>
      <c r="F33" s="147">
        <v>2691834</v>
      </c>
      <c r="G33" s="147"/>
      <c r="H33" s="147"/>
      <c r="I33" s="147"/>
      <c r="J33" s="147"/>
      <c r="K33" s="147"/>
      <c r="L33" s="147"/>
      <c r="M33" s="147"/>
      <c r="N33" s="147"/>
      <c r="O33" s="147"/>
      <c r="P33" s="147"/>
      <c r="Q33" s="147"/>
      <c r="R33" s="516">
        <f t="shared" si="7"/>
        <v>2691834</v>
      </c>
      <c r="S33" s="147">
        <f t="shared" si="8"/>
        <v>2691834</v>
      </c>
      <c r="T33" s="147"/>
      <c r="U33" s="143"/>
    </row>
    <row r="34" spans="1:21" s="144" customFormat="1">
      <c r="A34" s="145" t="s">
        <v>139</v>
      </c>
      <c r="B34" s="146">
        <f t="shared" si="6"/>
        <v>0</v>
      </c>
      <c r="C34" s="147">
        <v>0</v>
      </c>
      <c r="D34" s="147">
        <v>0</v>
      </c>
      <c r="E34" s="147"/>
      <c r="F34" s="147">
        <v>0</v>
      </c>
      <c r="G34" s="147"/>
      <c r="H34" s="147"/>
      <c r="I34" s="147"/>
      <c r="J34" s="147"/>
      <c r="K34" s="147"/>
      <c r="L34" s="147"/>
      <c r="M34" s="147"/>
      <c r="N34" s="147"/>
      <c r="O34" s="147"/>
      <c r="P34" s="147"/>
      <c r="Q34" s="147"/>
      <c r="R34" s="516">
        <f t="shared" si="7"/>
        <v>0</v>
      </c>
      <c r="S34" s="147">
        <f t="shared" si="8"/>
        <v>0</v>
      </c>
      <c r="T34" s="147"/>
      <c r="U34" s="143"/>
    </row>
    <row r="35" spans="1:21" s="144" customFormat="1">
      <c r="A35" s="145" t="s">
        <v>140</v>
      </c>
      <c r="B35" s="146">
        <f t="shared" si="6"/>
        <v>1710059</v>
      </c>
      <c r="C35" s="147">
        <v>1710059</v>
      </c>
      <c r="D35" s="147">
        <v>0</v>
      </c>
      <c r="E35" s="147"/>
      <c r="F35" s="147">
        <v>1710059</v>
      </c>
      <c r="G35" s="147"/>
      <c r="H35" s="147"/>
      <c r="I35" s="147"/>
      <c r="J35" s="147"/>
      <c r="K35" s="147"/>
      <c r="L35" s="147"/>
      <c r="M35" s="147"/>
      <c r="N35" s="147"/>
      <c r="O35" s="147"/>
      <c r="P35" s="147"/>
      <c r="Q35" s="147"/>
      <c r="R35" s="516">
        <f t="shared" si="7"/>
        <v>1710059</v>
      </c>
      <c r="S35" s="147">
        <f t="shared" si="8"/>
        <v>1710059</v>
      </c>
      <c r="T35" s="147"/>
      <c r="U35" s="143"/>
    </row>
    <row r="36" spans="1:21" s="144" customFormat="1">
      <c r="A36" s="283" t="s">
        <v>1640</v>
      </c>
      <c r="B36" s="146">
        <f t="shared" si="6"/>
        <v>140000</v>
      </c>
      <c r="C36" s="147">
        <v>140000</v>
      </c>
      <c r="D36" s="147">
        <v>0</v>
      </c>
      <c r="E36" s="147"/>
      <c r="F36" s="147">
        <v>140000</v>
      </c>
      <c r="G36" s="147"/>
      <c r="H36" s="147"/>
      <c r="I36" s="147"/>
      <c r="J36" s="147"/>
      <c r="K36" s="147"/>
      <c r="L36" s="147"/>
      <c r="M36" s="147"/>
      <c r="N36" s="147"/>
      <c r="O36" s="147"/>
      <c r="P36" s="147"/>
      <c r="Q36" s="147"/>
      <c r="R36" s="516">
        <f t="shared" si="7"/>
        <v>140000</v>
      </c>
      <c r="S36" s="147">
        <f t="shared" si="8"/>
        <v>140000</v>
      </c>
      <c r="T36" s="147"/>
      <c r="U36" s="143"/>
    </row>
    <row r="37" spans="1:21" s="144" customFormat="1">
      <c r="A37" s="1149" t="s">
        <v>2728</v>
      </c>
      <c r="B37" s="146">
        <f t="shared" si="6"/>
        <v>896834</v>
      </c>
      <c r="C37" s="147">
        <v>896834</v>
      </c>
      <c r="D37" s="147">
        <v>0</v>
      </c>
      <c r="E37" s="147"/>
      <c r="F37" s="147">
        <v>896834</v>
      </c>
      <c r="G37" s="147"/>
      <c r="H37" s="147"/>
      <c r="I37" s="147"/>
      <c r="J37" s="147"/>
      <c r="K37" s="147"/>
      <c r="L37" s="147"/>
      <c r="M37" s="147"/>
      <c r="N37" s="147"/>
      <c r="O37" s="147"/>
      <c r="P37" s="147"/>
      <c r="Q37" s="147"/>
      <c r="R37" s="516">
        <f t="shared" si="7"/>
        <v>896834</v>
      </c>
      <c r="S37" s="147">
        <f t="shared" si="8"/>
        <v>896834</v>
      </c>
      <c r="T37" s="147"/>
      <c r="U37" s="143"/>
    </row>
    <row r="38" spans="1:21" s="144" customFormat="1">
      <c r="A38" s="149" t="s">
        <v>143</v>
      </c>
      <c r="B38" s="146">
        <f t="shared" si="6"/>
        <v>104655456</v>
      </c>
      <c r="C38" s="146">
        <f>SUM(C29:C37)</f>
        <v>104655456</v>
      </c>
      <c r="D38" s="146">
        <f t="shared" ref="D38:Q38" si="9">SUM(D29:D37)</f>
        <v>0</v>
      </c>
      <c r="E38" s="146">
        <f t="shared" si="9"/>
        <v>0</v>
      </c>
      <c r="F38" s="146">
        <f t="shared" si="9"/>
        <v>39141579</v>
      </c>
      <c r="G38" s="146">
        <f t="shared" si="9"/>
        <v>29000000</v>
      </c>
      <c r="H38" s="146">
        <f t="shared" si="9"/>
        <v>15500000</v>
      </c>
      <c r="I38" s="146">
        <f t="shared" si="9"/>
        <v>11115000</v>
      </c>
      <c r="J38" s="146">
        <f t="shared" si="9"/>
        <v>9898877</v>
      </c>
      <c r="K38" s="146">
        <f t="shared" si="9"/>
        <v>0</v>
      </c>
      <c r="L38" s="146">
        <f t="shared" si="9"/>
        <v>0</v>
      </c>
      <c r="M38" s="146">
        <f t="shared" si="9"/>
        <v>0</v>
      </c>
      <c r="N38" s="146">
        <f t="shared" si="9"/>
        <v>0</v>
      </c>
      <c r="O38" s="146">
        <f t="shared" si="9"/>
        <v>0</v>
      </c>
      <c r="P38" s="146">
        <f t="shared" si="9"/>
        <v>0</v>
      </c>
      <c r="Q38" s="146">
        <f t="shared" si="9"/>
        <v>0</v>
      </c>
      <c r="R38" s="342">
        <f>SUM(R29:R37)</f>
        <v>104655456</v>
      </c>
      <c r="S38" s="150">
        <f>SUM(S29:S37)</f>
        <v>104655456</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2904000</v>
      </c>
      <c r="C40" s="147">
        <f>3304000-C41</f>
        <v>2904000</v>
      </c>
      <c r="D40" s="147">
        <v>0</v>
      </c>
      <c r="E40" s="147"/>
      <c r="F40" s="147">
        <v>2904000</v>
      </c>
      <c r="G40" s="147"/>
      <c r="H40" s="147"/>
      <c r="I40" s="147"/>
      <c r="J40" s="147"/>
      <c r="K40" s="147"/>
      <c r="L40" s="147"/>
      <c r="M40" s="147"/>
      <c r="N40" s="147"/>
      <c r="O40" s="147"/>
      <c r="P40" s="147"/>
      <c r="Q40" s="147"/>
      <c r="R40" s="516">
        <f>SUM(E40:Q40)</f>
        <v>2904000</v>
      </c>
      <c r="S40" s="147">
        <f>R40</f>
        <v>2904000</v>
      </c>
      <c r="T40" s="147"/>
      <c r="U40" s="143"/>
    </row>
    <row r="41" spans="1:21" s="144" customFormat="1">
      <c r="A41" s="145" t="s">
        <v>146</v>
      </c>
      <c r="B41" s="146">
        <f>SUM(C41+D41)</f>
        <v>400000</v>
      </c>
      <c r="C41" s="147">
        <v>400000</v>
      </c>
      <c r="D41" s="147">
        <v>0</v>
      </c>
      <c r="E41" s="147">
        <v>100876</v>
      </c>
      <c r="F41" s="147">
        <f>C41-E41</f>
        <v>299124</v>
      </c>
      <c r="G41" s="147"/>
      <c r="H41" s="147"/>
      <c r="I41" s="147"/>
      <c r="J41" s="147"/>
      <c r="K41" s="147"/>
      <c r="L41" s="147"/>
      <c r="M41" s="147"/>
      <c r="N41" s="147"/>
      <c r="O41" s="147"/>
      <c r="P41" s="147"/>
      <c r="Q41" s="147"/>
      <c r="R41" s="516">
        <f>SUM(E41:Q41)</f>
        <v>400000</v>
      </c>
      <c r="S41" s="147">
        <f>R41</f>
        <v>400000</v>
      </c>
      <c r="T41" s="147"/>
      <c r="U41" s="143"/>
    </row>
    <row r="42" spans="1:21" s="144" customFormat="1">
      <c r="A42" s="149" t="s">
        <v>147</v>
      </c>
      <c r="B42" s="146">
        <f>SUM(C42:D42)</f>
        <v>3304000</v>
      </c>
      <c r="C42" s="146">
        <f>SUM(C39:C41)</f>
        <v>3304000</v>
      </c>
      <c r="D42" s="146">
        <f>SUM(D39:D41)</f>
        <v>0</v>
      </c>
      <c r="E42" s="146">
        <f t="shared" ref="E42:T42" si="10">SUM(E40:E41)</f>
        <v>100876</v>
      </c>
      <c r="F42" s="146">
        <f t="shared" si="10"/>
        <v>3203124</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3304000</v>
      </c>
      <c r="S42" s="150">
        <f t="shared" si="10"/>
        <v>3304000</v>
      </c>
      <c r="T42" s="150">
        <f t="shared" si="10"/>
        <v>0</v>
      </c>
      <c r="U42" s="143"/>
    </row>
    <row r="43" spans="1:21" s="144" customFormat="1">
      <c r="A43" s="149" t="s">
        <v>148</v>
      </c>
      <c r="B43" s="146">
        <f>SUM(C43:D43)</f>
        <v>2650000</v>
      </c>
      <c r="C43" s="147">
        <v>2650000</v>
      </c>
      <c r="D43" s="147">
        <v>0</v>
      </c>
      <c r="E43" s="147">
        <f>C43</f>
        <v>2650000</v>
      </c>
      <c r="F43" s="147"/>
      <c r="G43" s="147"/>
      <c r="H43" s="147"/>
      <c r="I43" s="147"/>
      <c r="J43" s="147"/>
      <c r="K43" s="147"/>
      <c r="L43" s="147"/>
      <c r="M43" s="147"/>
      <c r="N43" s="147"/>
      <c r="O43" s="147"/>
      <c r="P43" s="147"/>
      <c r="Q43" s="147"/>
      <c r="R43" s="516">
        <f>SUM(E43:Q43)</f>
        <v>2650000</v>
      </c>
      <c r="S43" s="147">
        <f>R43</f>
        <v>2650000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10925000</v>
      </c>
      <c r="C45" s="147">
        <f>8700000+775000+1450000</f>
        <v>10925000</v>
      </c>
      <c r="D45" s="147">
        <v>0</v>
      </c>
      <c r="E45" s="147">
        <f>C45-F45</f>
        <v>10925000</v>
      </c>
      <c r="F45" s="147">
        <v>0</v>
      </c>
      <c r="G45" s="147"/>
      <c r="H45" s="147"/>
      <c r="I45" s="147"/>
      <c r="J45" s="147"/>
      <c r="K45" s="147"/>
      <c r="L45" s="147"/>
      <c r="M45" s="147"/>
      <c r="N45" s="147"/>
      <c r="O45" s="147"/>
      <c r="P45" s="147"/>
      <c r="Q45" s="147"/>
      <c r="R45" s="516">
        <f t="shared" ref="R45:R53" si="12">SUM(E45:Q45)</f>
        <v>10925000</v>
      </c>
      <c r="S45" s="147">
        <f>4200000+880092</f>
        <v>5080092</v>
      </c>
      <c r="T45" s="147"/>
      <c r="U45" s="143"/>
    </row>
    <row r="46" spans="1:21" s="144" customFormat="1">
      <c r="A46" s="145" t="s">
        <v>151</v>
      </c>
      <c r="B46" s="146">
        <f t="shared" si="11"/>
        <v>727593</v>
      </c>
      <c r="C46" s="147">
        <v>727593</v>
      </c>
      <c r="D46" s="147">
        <v>0</v>
      </c>
      <c r="E46" s="147">
        <f>C46</f>
        <v>727593</v>
      </c>
      <c r="F46" s="147">
        <v>0</v>
      </c>
      <c r="G46" s="147"/>
      <c r="H46" s="147"/>
      <c r="I46" s="147"/>
      <c r="J46" s="147"/>
      <c r="K46" s="147"/>
      <c r="L46" s="147"/>
      <c r="M46" s="147"/>
      <c r="N46" s="147"/>
      <c r="O46" s="147"/>
      <c r="P46" s="147"/>
      <c r="Q46" s="147"/>
      <c r="R46" s="516">
        <f t="shared" si="12"/>
        <v>727593</v>
      </c>
      <c r="S46" s="147">
        <f>R46</f>
        <v>727593</v>
      </c>
      <c r="T46" s="147"/>
      <c r="U46" s="143"/>
    </row>
    <row r="47" spans="1:21" s="144" customFormat="1">
      <c r="A47" s="186" t="s">
        <v>152</v>
      </c>
      <c r="B47" s="146">
        <f t="shared" si="11"/>
        <v>0</v>
      </c>
      <c r="C47" s="147"/>
      <c r="D47" s="147"/>
      <c r="E47" s="147"/>
      <c r="F47" s="147"/>
      <c r="G47" s="147"/>
      <c r="H47" s="147"/>
      <c r="I47" s="147"/>
      <c r="J47" s="147"/>
      <c r="K47" s="147"/>
      <c r="L47" s="147"/>
      <c r="M47" s="147"/>
      <c r="N47" s="147"/>
      <c r="O47" s="147"/>
      <c r="P47" s="147"/>
      <c r="Q47" s="147"/>
      <c r="R47" s="516">
        <f t="shared" si="12"/>
        <v>0</v>
      </c>
      <c r="S47" s="147">
        <v>0</v>
      </c>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16">
        <f t="shared" si="12"/>
        <v>0</v>
      </c>
      <c r="S48" s="147">
        <v>0</v>
      </c>
      <c r="T48" s="147"/>
      <c r="U48" s="143"/>
    </row>
    <row r="49" spans="1:21" s="144" customFormat="1">
      <c r="A49" s="145" t="s">
        <v>57</v>
      </c>
      <c r="B49" s="146">
        <f t="shared" si="11"/>
        <v>550000</v>
      </c>
      <c r="C49" s="147">
        <v>550000</v>
      </c>
      <c r="D49" s="147">
        <v>0</v>
      </c>
      <c r="E49" s="147">
        <f>C49</f>
        <v>550000</v>
      </c>
      <c r="F49" s="147"/>
      <c r="G49" s="147"/>
      <c r="H49" s="147"/>
      <c r="I49" s="147"/>
      <c r="J49" s="147"/>
      <c r="K49" s="147"/>
      <c r="L49" s="147"/>
      <c r="M49" s="147"/>
      <c r="N49" s="147"/>
      <c r="O49" s="147"/>
      <c r="P49" s="147"/>
      <c r="Q49" s="147"/>
      <c r="R49" s="516">
        <f t="shared" si="12"/>
        <v>550000</v>
      </c>
      <c r="S49" s="147">
        <f>55000</f>
        <v>55000</v>
      </c>
      <c r="T49" s="147"/>
      <c r="U49" s="143"/>
    </row>
    <row r="50" spans="1:21" s="144" customFormat="1">
      <c r="A50" s="145" t="s">
        <v>156</v>
      </c>
      <c r="B50" s="146">
        <f t="shared" si="11"/>
        <v>225000</v>
      </c>
      <c r="C50" s="147">
        <v>225000</v>
      </c>
      <c r="D50" s="147">
        <v>0</v>
      </c>
      <c r="E50" s="147">
        <f>C50</f>
        <v>225000</v>
      </c>
      <c r="F50" s="147"/>
      <c r="G50" s="147"/>
      <c r="H50" s="147"/>
      <c r="I50" s="147"/>
      <c r="J50" s="147"/>
      <c r="K50" s="147"/>
      <c r="L50" s="147"/>
      <c r="M50" s="147"/>
      <c r="N50" s="147"/>
      <c r="O50" s="147"/>
      <c r="P50" s="147"/>
      <c r="Q50" s="147"/>
      <c r="R50" s="516">
        <f t="shared" si="12"/>
        <v>225000</v>
      </c>
      <c r="S50" s="147">
        <f>R50</f>
        <v>225000</v>
      </c>
      <c r="T50" s="147"/>
      <c r="U50" s="143"/>
    </row>
    <row r="51" spans="1:21" s="144" customFormat="1">
      <c r="A51" s="283" t="s">
        <v>154</v>
      </c>
      <c r="B51" s="146">
        <f t="shared" si="11"/>
        <v>50000</v>
      </c>
      <c r="C51" s="147">
        <v>50000</v>
      </c>
      <c r="D51" s="147">
        <v>0</v>
      </c>
      <c r="E51" s="147">
        <f>C51</f>
        <v>50000</v>
      </c>
      <c r="F51" s="147"/>
      <c r="G51" s="147"/>
      <c r="H51" s="147"/>
      <c r="I51" s="147"/>
      <c r="J51" s="147"/>
      <c r="K51" s="147"/>
      <c r="L51" s="147"/>
      <c r="M51" s="147"/>
      <c r="N51" s="147"/>
      <c r="O51" s="147"/>
      <c r="P51" s="147"/>
      <c r="Q51" s="147"/>
      <c r="R51" s="516">
        <f t="shared" si="12"/>
        <v>50000</v>
      </c>
      <c r="S51" s="147">
        <f t="shared" ref="S51:S53" si="13">R51</f>
        <v>50000</v>
      </c>
      <c r="T51" s="147"/>
      <c r="U51" s="143"/>
    </row>
    <row r="52" spans="1:21" s="144" customFormat="1">
      <c r="A52" s="145" t="s">
        <v>155</v>
      </c>
      <c r="B52" s="146">
        <f t="shared" si="11"/>
        <v>1000000</v>
      </c>
      <c r="C52" s="147">
        <v>1000000</v>
      </c>
      <c r="D52" s="147">
        <v>0</v>
      </c>
      <c r="E52" s="147">
        <f>C52</f>
        <v>1000000</v>
      </c>
      <c r="F52" s="147"/>
      <c r="G52" s="147"/>
      <c r="H52" s="147"/>
      <c r="I52" s="147"/>
      <c r="J52" s="147"/>
      <c r="K52" s="147"/>
      <c r="L52" s="147"/>
      <c r="M52" s="147"/>
      <c r="N52" s="147"/>
      <c r="O52" s="147"/>
      <c r="P52" s="147"/>
      <c r="Q52" s="147"/>
      <c r="R52" s="516">
        <f t="shared" si="12"/>
        <v>1000000</v>
      </c>
      <c r="S52" s="147">
        <f t="shared" si="13"/>
        <v>1000000</v>
      </c>
      <c r="T52" s="147"/>
      <c r="U52" s="143"/>
    </row>
    <row r="53" spans="1:21" s="144" customFormat="1">
      <c r="A53" s="1149" t="s">
        <v>2729</v>
      </c>
      <c r="B53" s="146">
        <f t="shared" si="11"/>
        <v>80000</v>
      </c>
      <c r="C53" s="147">
        <v>80000</v>
      </c>
      <c r="D53" s="147">
        <v>0</v>
      </c>
      <c r="E53" s="147">
        <f>C53</f>
        <v>80000</v>
      </c>
      <c r="F53" s="147"/>
      <c r="G53" s="147"/>
      <c r="H53" s="147"/>
      <c r="I53" s="147"/>
      <c r="J53" s="147"/>
      <c r="K53" s="147"/>
      <c r="L53" s="147"/>
      <c r="M53" s="147"/>
      <c r="N53" s="147"/>
      <c r="O53" s="147"/>
      <c r="P53" s="147"/>
      <c r="Q53" s="147"/>
      <c r="R53" s="516">
        <f t="shared" si="12"/>
        <v>80000</v>
      </c>
      <c r="S53" s="147">
        <f t="shared" si="13"/>
        <v>80000</v>
      </c>
      <c r="T53" s="147"/>
      <c r="U53" s="143"/>
    </row>
    <row r="54" spans="1:21" s="153" customFormat="1">
      <c r="A54" s="149" t="s">
        <v>157</v>
      </c>
      <c r="B54" s="150">
        <f>SUM(C54:D54)</f>
        <v>13557593</v>
      </c>
      <c r="C54" s="150">
        <f t="shared" ref="C54:T54" si="14">SUM(C45:C53)</f>
        <v>13557593</v>
      </c>
      <c r="D54" s="150">
        <f t="shared" si="14"/>
        <v>0</v>
      </c>
      <c r="E54" s="150">
        <f t="shared" si="14"/>
        <v>13557593</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13557593</v>
      </c>
      <c r="S54" s="150">
        <f t="shared" si="14"/>
        <v>7217685</v>
      </c>
      <c r="T54" s="150">
        <f t="shared" si="14"/>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360797</v>
      </c>
      <c r="C56" s="147">
        <v>360797</v>
      </c>
      <c r="D56" s="147">
        <v>0</v>
      </c>
      <c r="E56" s="147">
        <f>C56</f>
        <v>360797</v>
      </c>
      <c r="F56" s="147"/>
      <c r="G56" s="147"/>
      <c r="H56" s="147"/>
      <c r="I56" s="147"/>
      <c r="J56" s="147"/>
      <c r="K56" s="147"/>
      <c r="L56" s="147"/>
      <c r="M56" s="147"/>
      <c r="N56" s="147"/>
      <c r="O56" s="147"/>
      <c r="P56" s="147"/>
      <c r="Q56" s="147"/>
      <c r="R56" s="516">
        <f t="shared" ref="R56:R61" si="16">SUM(E56:Q56)</f>
        <v>360797</v>
      </c>
      <c r="S56" s="148"/>
      <c r="T56" s="148"/>
      <c r="U56" s="143"/>
    </row>
    <row r="57" spans="1:21" s="192" customFormat="1">
      <c r="A57" s="186" t="s">
        <v>152</v>
      </c>
      <c r="B57" s="193">
        <f t="shared" si="15"/>
        <v>17000</v>
      </c>
      <c r="C57" s="190">
        <v>17000</v>
      </c>
      <c r="D57" s="190">
        <v>0</v>
      </c>
      <c r="E57" s="190">
        <f t="shared" ref="E57:E61" si="17">C57</f>
        <v>17000</v>
      </c>
      <c r="F57" s="190"/>
      <c r="G57" s="190"/>
      <c r="H57" s="190"/>
      <c r="I57" s="190"/>
      <c r="J57" s="190"/>
      <c r="K57" s="190"/>
      <c r="L57" s="190"/>
      <c r="M57" s="190"/>
      <c r="N57" s="190"/>
      <c r="O57" s="190"/>
      <c r="P57" s="190"/>
      <c r="Q57" s="190"/>
      <c r="R57" s="516">
        <f t="shared" si="16"/>
        <v>17000</v>
      </c>
      <c r="S57" s="194"/>
      <c r="T57" s="194"/>
      <c r="U57" s="191"/>
    </row>
    <row r="58" spans="1:21" s="144" customFormat="1">
      <c r="A58" s="145" t="s">
        <v>156</v>
      </c>
      <c r="B58" s="146">
        <f t="shared" si="15"/>
        <v>50000</v>
      </c>
      <c r="C58" s="147">
        <v>50000</v>
      </c>
      <c r="D58" s="147">
        <v>0</v>
      </c>
      <c r="E58" s="147">
        <f t="shared" si="17"/>
        <v>50000</v>
      </c>
      <c r="F58" s="147"/>
      <c r="G58" s="147"/>
      <c r="H58" s="147"/>
      <c r="I58" s="147"/>
      <c r="J58" s="147"/>
      <c r="K58" s="147"/>
      <c r="L58" s="147"/>
      <c r="M58" s="147"/>
      <c r="N58" s="147"/>
      <c r="O58" s="147"/>
      <c r="P58" s="147"/>
      <c r="Q58" s="147"/>
      <c r="R58" s="516">
        <f t="shared" si="16"/>
        <v>50000</v>
      </c>
      <c r="S58" s="148"/>
      <c r="T58" s="148"/>
      <c r="U58" s="143"/>
    </row>
    <row r="59" spans="1:21" s="144" customFormat="1">
      <c r="A59" s="283" t="s">
        <v>154</v>
      </c>
      <c r="B59" s="146">
        <f t="shared" si="15"/>
        <v>0</v>
      </c>
      <c r="C59" s="147">
        <v>0</v>
      </c>
      <c r="D59" s="147">
        <v>0</v>
      </c>
      <c r="E59" s="147"/>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v>0</v>
      </c>
      <c r="D60" s="147">
        <v>0</v>
      </c>
      <c r="E60" s="147"/>
      <c r="F60" s="147"/>
      <c r="G60" s="147"/>
      <c r="H60" s="147"/>
      <c r="I60" s="147"/>
      <c r="J60" s="147"/>
      <c r="K60" s="147"/>
      <c r="L60" s="147"/>
      <c r="M60" s="147"/>
      <c r="N60" s="147"/>
      <c r="O60" s="147"/>
      <c r="P60" s="147"/>
      <c r="Q60" s="147"/>
      <c r="R60" s="516">
        <f t="shared" si="16"/>
        <v>0</v>
      </c>
      <c r="S60" s="148"/>
      <c r="T60" s="148"/>
      <c r="U60" s="143"/>
    </row>
    <row r="61" spans="1:21" s="144" customFormat="1" ht="24">
      <c r="A61" s="1149" t="s">
        <v>2730</v>
      </c>
      <c r="B61" s="146">
        <f t="shared" si="15"/>
        <v>0</v>
      </c>
      <c r="C61" s="147">
        <v>0</v>
      </c>
      <c r="D61" s="147">
        <v>0</v>
      </c>
      <c r="E61" s="147">
        <f t="shared" si="17"/>
        <v>0</v>
      </c>
      <c r="F61" s="147"/>
      <c r="G61" s="147"/>
      <c r="H61" s="147"/>
      <c r="I61" s="147"/>
      <c r="J61" s="147"/>
      <c r="K61" s="147"/>
      <c r="L61" s="147"/>
      <c r="M61" s="147"/>
      <c r="N61" s="147"/>
      <c r="O61" s="147"/>
      <c r="P61" s="147"/>
      <c r="Q61" s="147"/>
      <c r="R61" s="516">
        <f t="shared" si="16"/>
        <v>0</v>
      </c>
      <c r="S61" s="148"/>
      <c r="T61" s="148"/>
      <c r="U61" s="143"/>
    </row>
    <row r="62" spans="1:21" s="144" customFormat="1" ht="13.7" customHeight="1">
      <c r="A62" s="149" t="s">
        <v>301</v>
      </c>
      <c r="B62" s="146">
        <f>SUM(C62:D62)</f>
        <v>427797</v>
      </c>
      <c r="C62" s="146">
        <f t="shared" ref="C62:R62" si="18">SUM(C56:C61)</f>
        <v>427797</v>
      </c>
      <c r="D62" s="146">
        <f t="shared" si="18"/>
        <v>0</v>
      </c>
      <c r="E62" s="146">
        <f t="shared" si="18"/>
        <v>427797</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427797</v>
      </c>
      <c r="S62" s="148"/>
      <c r="T62" s="148"/>
      <c r="U62" s="143"/>
    </row>
    <row r="63" spans="1:21" s="144" customFormat="1">
      <c r="A63" s="154" t="s">
        <v>302</v>
      </c>
      <c r="B63" s="146">
        <f t="shared" ref="B63:R63" si="19">SUM(B8+B11+B13+B14+B15+B26+B27+B38+B42+B43+B54+B62)</f>
        <v>135950043</v>
      </c>
      <c r="C63" s="146">
        <f t="shared" si="19"/>
        <v>135950043</v>
      </c>
      <c r="D63" s="146">
        <f t="shared" si="19"/>
        <v>0</v>
      </c>
      <c r="E63" s="146">
        <f t="shared" si="19"/>
        <v>28091463</v>
      </c>
      <c r="F63" s="146">
        <f t="shared" si="19"/>
        <v>42344703</v>
      </c>
      <c r="G63" s="146">
        <f t="shared" si="19"/>
        <v>29000000</v>
      </c>
      <c r="H63" s="146">
        <f t="shared" si="19"/>
        <v>15500000</v>
      </c>
      <c r="I63" s="146">
        <f t="shared" si="19"/>
        <v>11115000</v>
      </c>
      <c r="J63" s="146">
        <f t="shared" si="19"/>
        <v>9898877</v>
      </c>
      <c r="K63" s="146">
        <f t="shared" si="19"/>
        <v>0</v>
      </c>
      <c r="L63" s="146">
        <f t="shared" si="19"/>
        <v>0</v>
      </c>
      <c r="M63" s="146">
        <f t="shared" si="19"/>
        <v>0</v>
      </c>
      <c r="N63" s="146">
        <f t="shared" si="19"/>
        <v>0</v>
      </c>
      <c r="O63" s="146">
        <f t="shared" si="19"/>
        <v>0</v>
      </c>
      <c r="P63" s="146">
        <f t="shared" si="19"/>
        <v>0</v>
      </c>
      <c r="Q63" s="146">
        <f t="shared" si="19"/>
        <v>0</v>
      </c>
      <c r="R63" s="342">
        <f t="shared" si="19"/>
        <v>135950043</v>
      </c>
      <c r="S63" s="146">
        <f>SUM(S10+S13+S14+S15+S26+S27+S38+S42+S43+S54)</f>
        <v>117827141</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393500</v>
      </c>
      <c r="C65" s="147">
        <f>243500+150000</f>
        <v>393500</v>
      </c>
      <c r="D65" s="147">
        <v>0</v>
      </c>
      <c r="E65" s="147">
        <f>C65</f>
        <v>393500</v>
      </c>
      <c r="F65" s="147"/>
      <c r="G65" s="147"/>
      <c r="H65" s="147"/>
      <c r="I65" s="147"/>
      <c r="J65" s="147"/>
      <c r="K65" s="147"/>
      <c r="L65" s="147"/>
      <c r="M65" s="147"/>
      <c r="N65" s="147"/>
      <c r="O65" s="147"/>
      <c r="P65" s="147"/>
      <c r="Q65" s="147"/>
      <c r="R65" s="516">
        <f>SUM(E65:Q65)</f>
        <v>393500</v>
      </c>
      <c r="S65" s="147">
        <v>60000</v>
      </c>
      <c r="T65" s="147"/>
      <c r="U65" s="143"/>
    </row>
    <row r="66" spans="1:21" s="144" customFormat="1" ht="24" customHeight="1">
      <c r="A66" s="283" t="s">
        <v>1641</v>
      </c>
      <c r="B66" s="146">
        <f>SUM(C66+D66)</f>
        <v>0</v>
      </c>
      <c r="C66" s="147">
        <v>0</v>
      </c>
      <c r="D66" s="147">
        <v>0</v>
      </c>
      <c r="E66" s="147"/>
      <c r="F66" s="147"/>
      <c r="G66" s="147"/>
      <c r="H66" s="147"/>
      <c r="I66" s="147"/>
      <c r="J66" s="147"/>
      <c r="K66" s="147"/>
      <c r="L66" s="147"/>
      <c r="M66" s="147"/>
      <c r="N66" s="147"/>
      <c r="O66" s="147"/>
      <c r="P66" s="147"/>
      <c r="Q66" s="147"/>
      <c r="R66" s="516">
        <f>SUM(E66:Q66)</f>
        <v>0</v>
      </c>
      <c r="S66" s="147">
        <v>0</v>
      </c>
      <c r="T66" s="147"/>
      <c r="U66" s="143"/>
    </row>
    <row r="67" spans="1:21" s="144" customFormat="1" ht="24" customHeight="1">
      <c r="A67" s="283" t="s">
        <v>1642</v>
      </c>
      <c r="B67" s="146">
        <f>SUM(C67+D67)</f>
        <v>0</v>
      </c>
      <c r="C67" s="147">
        <v>0</v>
      </c>
      <c r="D67" s="147">
        <v>0</v>
      </c>
      <c r="E67" s="147"/>
      <c r="F67" s="147"/>
      <c r="G67" s="147"/>
      <c r="H67" s="147"/>
      <c r="I67" s="147"/>
      <c r="J67" s="147"/>
      <c r="K67" s="147"/>
      <c r="L67" s="147"/>
      <c r="M67" s="147"/>
      <c r="N67" s="147"/>
      <c r="O67" s="147"/>
      <c r="P67" s="147"/>
      <c r="Q67" s="147"/>
      <c r="R67" s="516">
        <f>SUM(E67:Q67)</f>
        <v>0</v>
      </c>
      <c r="S67" s="147">
        <v>0</v>
      </c>
      <c r="T67" s="147"/>
      <c r="U67" s="143"/>
    </row>
    <row r="68" spans="1:21" s="144" customFormat="1" ht="12" customHeight="1">
      <c r="A68" s="283" t="s">
        <v>1648</v>
      </c>
      <c r="B68" s="146">
        <f>SUM(C68+D68)</f>
        <v>0</v>
      </c>
      <c r="C68" s="147">
        <v>0</v>
      </c>
      <c r="D68" s="147">
        <v>0</v>
      </c>
      <c r="E68" s="147"/>
      <c r="F68" s="147"/>
      <c r="G68" s="147"/>
      <c r="H68" s="147"/>
      <c r="I68" s="147"/>
      <c r="J68" s="147"/>
      <c r="K68" s="147"/>
      <c r="L68" s="147"/>
      <c r="M68" s="147"/>
      <c r="N68" s="147"/>
      <c r="O68" s="147"/>
      <c r="P68" s="147"/>
      <c r="Q68" s="147"/>
      <c r="R68" s="516">
        <f>SUM(E68:Q68)</f>
        <v>0</v>
      </c>
      <c r="S68" s="147">
        <v>0</v>
      </c>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v>0</v>
      </c>
      <c r="T69" s="147"/>
      <c r="U69" s="143"/>
    </row>
    <row r="70" spans="1:21" s="144" customFormat="1">
      <c r="A70" s="149" t="s">
        <v>1645</v>
      </c>
      <c r="B70" s="146">
        <f>SUM(C70:D70)</f>
        <v>393500</v>
      </c>
      <c r="C70" s="146">
        <f>SUM(C65:C69)</f>
        <v>393500</v>
      </c>
      <c r="D70" s="146">
        <f>SUM(D65:D69)</f>
        <v>0</v>
      </c>
      <c r="E70" s="146">
        <f t="shared" ref="E70:T70" si="20">SUM(E65:E69)</f>
        <v>393500</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42">
        <f t="shared" si="20"/>
        <v>393500</v>
      </c>
      <c r="S70" s="150">
        <f t="shared" si="20"/>
        <v>60000</v>
      </c>
      <c r="T70" s="150">
        <f t="shared" si="20"/>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v>0</v>
      </c>
      <c r="D72" s="147">
        <v>0</v>
      </c>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v>0</v>
      </c>
      <c r="D73" s="147">
        <v>0</v>
      </c>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v>0</v>
      </c>
      <c r="D74" s="147">
        <v>0</v>
      </c>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1202000</v>
      </c>
      <c r="C75" s="147">
        <v>1202000</v>
      </c>
      <c r="D75" s="147">
        <v>0</v>
      </c>
      <c r="E75" s="147">
        <f>C75</f>
        <v>1202000</v>
      </c>
      <c r="F75" s="147"/>
      <c r="G75" s="147"/>
      <c r="H75" s="147"/>
      <c r="I75" s="147"/>
      <c r="J75" s="147"/>
      <c r="K75" s="147"/>
      <c r="L75" s="147"/>
      <c r="M75" s="147"/>
      <c r="N75" s="147"/>
      <c r="O75" s="147"/>
      <c r="P75" s="147"/>
      <c r="Q75" s="147"/>
      <c r="R75" s="516">
        <f>SUM(E75:Q75)</f>
        <v>1202000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1202000</v>
      </c>
      <c r="C77" s="146">
        <f>SUM(C72:C76)</f>
        <v>1202000</v>
      </c>
      <c r="D77" s="146">
        <f>SUM(D72:D76)</f>
        <v>0</v>
      </c>
      <c r="E77" s="146">
        <f t="shared" ref="E77:Q77" si="21">SUM(E72:E76)</f>
        <v>1202000</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42">
        <f>SUM(R72:R76)</f>
        <v>1202000</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6277402</v>
      </c>
      <c r="C79" s="147">
        <v>6277402</v>
      </c>
      <c r="D79" s="147">
        <v>0</v>
      </c>
      <c r="E79" s="147">
        <f>C79</f>
        <v>6277402</v>
      </c>
      <c r="F79" s="147"/>
      <c r="G79" s="147"/>
      <c r="H79" s="147"/>
      <c r="I79" s="147"/>
      <c r="J79" s="147"/>
      <c r="K79" s="147"/>
      <c r="L79" s="147"/>
      <c r="M79" s="147"/>
      <c r="N79" s="147"/>
      <c r="O79" s="147"/>
      <c r="P79" s="147"/>
      <c r="Q79" s="147"/>
      <c r="R79" s="516">
        <f>SUM(E79:Q79)</f>
        <v>6277402</v>
      </c>
      <c r="S79" s="147">
        <f>R79</f>
        <v>6277402</v>
      </c>
      <c r="T79" s="147"/>
      <c r="U79" s="143"/>
    </row>
    <row r="80" spans="1:21" s="144" customFormat="1">
      <c r="A80" s="283" t="s">
        <v>58</v>
      </c>
      <c r="B80" s="146">
        <f>SUM(C80:D80)</f>
        <v>1453313</v>
      </c>
      <c r="C80" s="147">
        <v>1453313</v>
      </c>
      <c r="D80" s="147">
        <v>0</v>
      </c>
      <c r="E80" s="147">
        <f>C80</f>
        <v>1453313</v>
      </c>
      <c r="F80" s="147"/>
      <c r="G80" s="147"/>
      <c r="H80" s="147"/>
      <c r="I80" s="147"/>
      <c r="J80" s="147"/>
      <c r="K80" s="147"/>
      <c r="L80" s="147"/>
      <c r="M80" s="147"/>
      <c r="N80" s="147"/>
      <c r="O80" s="147"/>
      <c r="P80" s="147"/>
      <c r="Q80" s="147"/>
      <c r="R80" s="516">
        <f>SUM(E80:Q80)</f>
        <v>1453313</v>
      </c>
      <c r="S80" s="147">
        <f>R80</f>
        <v>1453313</v>
      </c>
      <c r="T80" s="147"/>
      <c r="U80" s="143"/>
    </row>
    <row r="81" spans="1:21" s="144" customFormat="1">
      <c r="A81" s="149" t="s">
        <v>1209</v>
      </c>
      <c r="B81" s="146">
        <f>SUM(C81:D81)</f>
        <v>7730715</v>
      </c>
      <c r="C81" s="509">
        <f>SUM(C79:C80)</f>
        <v>7730715</v>
      </c>
      <c r="D81" s="509">
        <f t="shared" ref="D81:T81" si="22">SUM(D79:D80)</f>
        <v>0</v>
      </c>
      <c r="E81" s="509">
        <f t="shared" si="22"/>
        <v>7730715</v>
      </c>
      <c r="F81" s="509">
        <f t="shared" si="22"/>
        <v>0</v>
      </c>
      <c r="G81" s="509">
        <f t="shared" si="22"/>
        <v>0</v>
      </c>
      <c r="H81" s="509">
        <f t="shared" si="22"/>
        <v>0</v>
      </c>
      <c r="I81" s="509">
        <f t="shared" si="22"/>
        <v>0</v>
      </c>
      <c r="J81" s="509">
        <f t="shared" si="22"/>
        <v>0</v>
      </c>
      <c r="K81" s="509">
        <f t="shared" si="22"/>
        <v>0</v>
      </c>
      <c r="L81" s="509">
        <f t="shared" si="22"/>
        <v>0</v>
      </c>
      <c r="M81" s="509">
        <f t="shared" si="22"/>
        <v>0</v>
      </c>
      <c r="N81" s="509">
        <f t="shared" si="22"/>
        <v>0</v>
      </c>
      <c r="O81" s="509">
        <f t="shared" si="22"/>
        <v>0</v>
      </c>
      <c r="P81" s="509">
        <f t="shared" si="22"/>
        <v>0</v>
      </c>
      <c r="Q81" s="509">
        <f t="shared" si="22"/>
        <v>0</v>
      </c>
      <c r="R81" s="509">
        <f t="shared" si="22"/>
        <v>7730715</v>
      </c>
      <c r="S81" s="509">
        <f t="shared" si="22"/>
        <v>7730715</v>
      </c>
      <c r="T81" s="509">
        <f t="shared" si="22"/>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3">SUM(C83+D83)</f>
        <v>250000</v>
      </c>
      <c r="C83" s="147">
        <v>250000</v>
      </c>
      <c r="D83" s="147">
        <v>0</v>
      </c>
      <c r="E83" s="147">
        <f>C83</f>
        <v>250000</v>
      </c>
      <c r="F83" s="147"/>
      <c r="G83" s="147"/>
      <c r="H83" s="147"/>
      <c r="I83" s="147"/>
      <c r="J83" s="147"/>
      <c r="K83" s="147"/>
      <c r="L83" s="147"/>
      <c r="M83" s="147"/>
      <c r="N83" s="147"/>
      <c r="O83" s="147"/>
      <c r="P83" s="147"/>
      <c r="Q83" s="147"/>
      <c r="R83" s="516">
        <f t="shared" ref="R83:R95" si="24">SUM(E83:Q83)</f>
        <v>250000</v>
      </c>
      <c r="S83" s="148"/>
      <c r="T83" s="148"/>
      <c r="U83" s="143"/>
    </row>
    <row r="84" spans="1:21" s="144" customFormat="1">
      <c r="A84" s="145" t="s">
        <v>767</v>
      </c>
      <c r="B84" s="146">
        <f t="shared" si="23"/>
        <v>125000</v>
      </c>
      <c r="C84" s="147">
        <v>125000</v>
      </c>
      <c r="D84" s="147">
        <v>0</v>
      </c>
      <c r="E84" s="147">
        <f t="shared" ref="E84:E94" si="25">C84</f>
        <v>125000</v>
      </c>
      <c r="F84" s="147"/>
      <c r="G84" s="147"/>
      <c r="H84" s="147"/>
      <c r="I84" s="147"/>
      <c r="J84" s="147"/>
      <c r="K84" s="147"/>
      <c r="L84" s="147"/>
      <c r="M84" s="147"/>
      <c r="N84" s="147"/>
      <c r="O84" s="147"/>
      <c r="P84" s="147"/>
      <c r="Q84" s="147"/>
      <c r="R84" s="516">
        <f t="shared" si="24"/>
        <v>125000</v>
      </c>
      <c r="S84" s="147">
        <f>R84</f>
        <v>125000</v>
      </c>
      <c r="T84" s="147"/>
      <c r="U84" s="143"/>
    </row>
    <row r="85" spans="1:21" s="144" customFormat="1">
      <c r="A85" s="145" t="s">
        <v>768</v>
      </c>
      <c r="B85" s="146">
        <f t="shared" si="23"/>
        <v>4342187</v>
      </c>
      <c r="C85" s="147">
        <v>4342187</v>
      </c>
      <c r="D85" s="147">
        <v>0</v>
      </c>
      <c r="E85" s="147">
        <f t="shared" si="25"/>
        <v>4342187</v>
      </c>
      <c r="F85" s="147"/>
      <c r="G85" s="147"/>
      <c r="H85" s="147"/>
      <c r="I85" s="147"/>
      <c r="J85" s="147"/>
      <c r="K85" s="147"/>
      <c r="L85" s="147"/>
      <c r="M85" s="147"/>
      <c r="N85" s="147"/>
      <c r="O85" s="147"/>
      <c r="P85" s="147"/>
      <c r="Q85" s="147"/>
      <c r="R85" s="516">
        <f t="shared" si="24"/>
        <v>4342187</v>
      </c>
      <c r="S85" s="147">
        <f t="shared" ref="S85:S87" si="26">R85</f>
        <v>4342187</v>
      </c>
      <c r="T85" s="147"/>
      <c r="U85" s="143"/>
    </row>
    <row r="86" spans="1:21" s="144" customFormat="1">
      <c r="A86" s="145" t="s">
        <v>769</v>
      </c>
      <c r="B86" s="146">
        <f t="shared" si="23"/>
        <v>1732690</v>
      </c>
      <c r="C86" s="147">
        <v>1732690</v>
      </c>
      <c r="D86" s="147">
        <v>0</v>
      </c>
      <c r="E86" s="147">
        <f t="shared" si="25"/>
        <v>1732690</v>
      </c>
      <c r="F86" s="147"/>
      <c r="G86" s="147"/>
      <c r="H86" s="147"/>
      <c r="I86" s="147"/>
      <c r="J86" s="147"/>
      <c r="K86" s="147"/>
      <c r="L86" s="147"/>
      <c r="M86" s="147"/>
      <c r="N86" s="147"/>
      <c r="O86" s="147"/>
      <c r="P86" s="147"/>
      <c r="Q86" s="147"/>
      <c r="R86" s="516">
        <f t="shared" si="24"/>
        <v>1732690</v>
      </c>
      <c r="S86" s="147">
        <f t="shared" si="26"/>
        <v>1732690</v>
      </c>
      <c r="T86" s="147"/>
      <c r="U86" s="143"/>
    </row>
    <row r="87" spans="1:21" s="144" customFormat="1">
      <c r="A87" s="145" t="s">
        <v>770</v>
      </c>
      <c r="B87" s="146">
        <f t="shared" si="23"/>
        <v>0</v>
      </c>
      <c r="C87" s="147">
        <v>0</v>
      </c>
      <c r="D87" s="147">
        <v>0</v>
      </c>
      <c r="E87" s="147"/>
      <c r="F87" s="147"/>
      <c r="G87" s="147"/>
      <c r="H87" s="147"/>
      <c r="I87" s="147"/>
      <c r="J87" s="147"/>
      <c r="K87" s="147"/>
      <c r="L87" s="147"/>
      <c r="M87" s="147"/>
      <c r="N87" s="147"/>
      <c r="O87" s="147"/>
      <c r="P87" s="147"/>
      <c r="Q87" s="147"/>
      <c r="R87" s="516">
        <f t="shared" si="24"/>
        <v>0</v>
      </c>
      <c r="S87" s="147">
        <f t="shared" si="26"/>
        <v>0</v>
      </c>
      <c r="T87" s="147"/>
      <c r="U87" s="143"/>
    </row>
    <row r="88" spans="1:21" s="144" customFormat="1">
      <c r="A88" s="145" t="s">
        <v>771</v>
      </c>
      <c r="B88" s="146">
        <f t="shared" si="23"/>
        <v>25000</v>
      </c>
      <c r="C88" s="147">
        <v>25000</v>
      </c>
      <c r="D88" s="147">
        <v>0</v>
      </c>
      <c r="E88" s="147">
        <f t="shared" si="25"/>
        <v>25000</v>
      </c>
      <c r="F88" s="147"/>
      <c r="G88" s="147"/>
      <c r="H88" s="147"/>
      <c r="I88" s="147"/>
      <c r="J88" s="147"/>
      <c r="K88" s="147"/>
      <c r="L88" s="147"/>
      <c r="M88" s="147"/>
      <c r="N88" s="147"/>
      <c r="O88" s="147"/>
      <c r="P88" s="147"/>
      <c r="Q88" s="147"/>
      <c r="R88" s="516">
        <f t="shared" si="24"/>
        <v>25000</v>
      </c>
      <c r="S88" s="148"/>
      <c r="T88" s="148"/>
      <c r="U88" s="143"/>
    </row>
    <row r="89" spans="1:21" s="144" customFormat="1">
      <c r="A89" s="145" t="s">
        <v>772</v>
      </c>
      <c r="B89" s="146">
        <f t="shared" si="23"/>
        <v>625000</v>
      </c>
      <c r="C89" s="147">
        <v>625000</v>
      </c>
      <c r="D89" s="147">
        <v>0</v>
      </c>
      <c r="E89" s="147">
        <f t="shared" si="25"/>
        <v>625000</v>
      </c>
      <c r="F89" s="147"/>
      <c r="G89" s="147"/>
      <c r="H89" s="147"/>
      <c r="I89" s="147"/>
      <c r="J89" s="147"/>
      <c r="K89" s="147"/>
      <c r="L89" s="147"/>
      <c r="M89" s="147"/>
      <c r="N89" s="147"/>
      <c r="O89" s="147"/>
      <c r="P89" s="147"/>
      <c r="Q89" s="147"/>
      <c r="R89" s="516">
        <f t="shared" si="24"/>
        <v>625000</v>
      </c>
      <c r="S89" s="147">
        <f>R89</f>
        <v>625000</v>
      </c>
      <c r="T89" s="147"/>
      <c r="U89" s="143"/>
    </row>
    <row r="90" spans="1:21" s="144" customFormat="1">
      <c r="A90" s="145" t="s">
        <v>773</v>
      </c>
      <c r="B90" s="146">
        <f t="shared" si="23"/>
        <v>15000</v>
      </c>
      <c r="C90" s="147">
        <v>15000</v>
      </c>
      <c r="D90" s="147">
        <v>0</v>
      </c>
      <c r="E90" s="147">
        <f t="shared" si="25"/>
        <v>15000</v>
      </c>
      <c r="F90" s="147"/>
      <c r="G90" s="147"/>
      <c r="H90" s="147"/>
      <c r="I90" s="147"/>
      <c r="J90" s="147"/>
      <c r="K90" s="147"/>
      <c r="L90" s="147"/>
      <c r="M90" s="147"/>
      <c r="N90" s="147"/>
      <c r="O90" s="147"/>
      <c r="P90" s="147"/>
      <c r="Q90" s="147"/>
      <c r="R90" s="516">
        <f t="shared" si="24"/>
        <v>15000</v>
      </c>
      <c r="S90" s="147">
        <f t="shared" ref="S90:S95" si="27">R90</f>
        <v>15000</v>
      </c>
      <c r="T90" s="147"/>
      <c r="U90" s="143"/>
    </row>
    <row r="91" spans="1:21" s="144" customFormat="1">
      <c r="A91" s="145" t="s">
        <v>372</v>
      </c>
      <c r="B91" s="146">
        <f t="shared" si="23"/>
        <v>25000</v>
      </c>
      <c r="C91" s="147">
        <v>25000</v>
      </c>
      <c r="D91" s="147">
        <v>0</v>
      </c>
      <c r="E91" s="147">
        <f t="shared" si="25"/>
        <v>25000</v>
      </c>
      <c r="F91" s="147"/>
      <c r="G91" s="147"/>
      <c r="H91" s="147"/>
      <c r="I91" s="147"/>
      <c r="J91" s="147"/>
      <c r="K91" s="147"/>
      <c r="L91" s="147"/>
      <c r="M91" s="147"/>
      <c r="N91" s="147"/>
      <c r="O91" s="147"/>
      <c r="P91" s="147"/>
      <c r="Q91" s="147"/>
      <c r="R91" s="516">
        <f t="shared" si="24"/>
        <v>25000</v>
      </c>
      <c r="S91" s="147">
        <f t="shared" si="27"/>
        <v>25000</v>
      </c>
      <c r="T91" s="147"/>
      <c r="U91" s="143"/>
    </row>
    <row r="92" spans="1:21" s="144" customFormat="1">
      <c r="A92" s="283" t="s">
        <v>1211</v>
      </c>
      <c r="B92" s="146">
        <f t="shared" si="23"/>
        <v>15000</v>
      </c>
      <c r="C92" s="147">
        <v>15000</v>
      </c>
      <c r="D92" s="147">
        <v>0</v>
      </c>
      <c r="E92" s="147">
        <f t="shared" si="25"/>
        <v>15000</v>
      </c>
      <c r="F92" s="147"/>
      <c r="G92" s="147"/>
      <c r="H92" s="147"/>
      <c r="I92" s="147"/>
      <c r="J92" s="147"/>
      <c r="K92" s="147"/>
      <c r="L92" s="147"/>
      <c r="M92" s="147"/>
      <c r="N92" s="147"/>
      <c r="O92" s="147"/>
      <c r="P92" s="147"/>
      <c r="Q92" s="147"/>
      <c r="R92" s="516">
        <f t="shared" si="24"/>
        <v>15000</v>
      </c>
      <c r="S92" s="147">
        <f t="shared" si="27"/>
        <v>15000</v>
      </c>
      <c r="T92" s="147"/>
      <c r="U92" s="143"/>
    </row>
    <row r="93" spans="1:21" s="144" customFormat="1">
      <c r="A93" s="1149" t="s">
        <v>2731</v>
      </c>
      <c r="B93" s="146">
        <f t="shared" si="23"/>
        <v>125000</v>
      </c>
      <c r="C93" s="147">
        <v>125000</v>
      </c>
      <c r="D93" s="147">
        <v>0</v>
      </c>
      <c r="E93" s="147">
        <f t="shared" si="25"/>
        <v>125000</v>
      </c>
      <c r="F93" s="147"/>
      <c r="G93" s="147"/>
      <c r="H93" s="147"/>
      <c r="I93" s="147"/>
      <c r="J93" s="147"/>
      <c r="K93" s="147"/>
      <c r="L93" s="147"/>
      <c r="M93" s="147"/>
      <c r="N93" s="147"/>
      <c r="O93" s="147"/>
      <c r="P93" s="147"/>
      <c r="Q93" s="147"/>
      <c r="R93" s="516">
        <f t="shared" si="24"/>
        <v>125000</v>
      </c>
      <c r="S93" s="147">
        <v>0</v>
      </c>
      <c r="T93" s="147"/>
      <c r="U93" s="143"/>
    </row>
    <row r="94" spans="1:21" s="144" customFormat="1">
      <c r="A94" s="1149" t="s">
        <v>2732</v>
      </c>
      <c r="B94" s="146">
        <f t="shared" si="23"/>
        <v>75000</v>
      </c>
      <c r="C94" s="147">
        <v>75000</v>
      </c>
      <c r="D94" s="147">
        <v>0</v>
      </c>
      <c r="E94" s="147">
        <f t="shared" si="25"/>
        <v>75000</v>
      </c>
      <c r="F94" s="147"/>
      <c r="G94" s="147"/>
      <c r="H94" s="147"/>
      <c r="I94" s="147"/>
      <c r="J94" s="147"/>
      <c r="K94" s="147"/>
      <c r="L94" s="147"/>
      <c r="M94" s="147"/>
      <c r="N94" s="147"/>
      <c r="O94" s="147"/>
      <c r="P94" s="147"/>
      <c r="Q94" s="147"/>
      <c r="R94" s="516">
        <f t="shared" si="24"/>
        <v>75000</v>
      </c>
      <c r="S94" s="147">
        <v>0</v>
      </c>
      <c r="T94" s="147"/>
      <c r="U94" s="143"/>
    </row>
    <row r="95" spans="1:21" s="144" customFormat="1">
      <c r="A95" s="1149" t="s">
        <v>34</v>
      </c>
      <c r="B95" s="146">
        <f t="shared" si="23"/>
        <v>0</v>
      </c>
      <c r="C95" s="147"/>
      <c r="D95" s="147"/>
      <c r="E95" s="147"/>
      <c r="F95" s="147"/>
      <c r="G95" s="147"/>
      <c r="H95" s="147"/>
      <c r="I95" s="147"/>
      <c r="J95" s="147"/>
      <c r="K95" s="147"/>
      <c r="L95" s="147"/>
      <c r="M95" s="147"/>
      <c r="N95" s="147"/>
      <c r="O95" s="147"/>
      <c r="P95" s="147"/>
      <c r="Q95" s="147"/>
      <c r="R95" s="516">
        <f t="shared" si="24"/>
        <v>0</v>
      </c>
      <c r="S95" s="147">
        <f t="shared" si="27"/>
        <v>0</v>
      </c>
      <c r="T95" s="147"/>
      <c r="U95" s="143"/>
    </row>
    <row r="96" spans="1:21" s="144" customFormat="1">
      <c r="A96" s="149" t="s">
        <v>774</v>
      </c>
      <c r="B96" s="146">
        <f>SUM(C96:D96)</f>
        <v>7354877</v>
      </c>
      <c r="C96" s="146">
        <f t="shared" ref="C96:R96" si="28">SUM(C83:C95)</f>
        <v>7354877</v>
      </c>
      <c r="D96" s="146">
        <f t="shared" si="28"/>
        <v>0</v>
      </c>
      <c r="E96" s="146">
        <f t="shared" si="28"/>
        <v>7354877</v>
      </c>
      <c r="F96" s="146">
        <f t="shared" si="28"/>
        <v>0</v>
      </c>
      <c r="G96" s="146">
        <f t="shared" si="28"/>
        <v>0</v>
      </c>
      <c r="H96" s="146">
        <f t="shared" si="28"/>
        <v>0</v>
      </c>
      <c r="I96" s="146">
        <f t="shared" si="28"/>
        <v>0</v>
      </c>
      <c r="J96" s="146">
        <f t="shared" si="28"/>
        <v>0</v>
      </c>
      <c r="K96" s="146">
        <f t="shared" si="28"/>
        <v>0</v>
      </c>
      <c r="L96" s="146">
        <f t="shared" si="28"/>
        <v>0</v>
      </c>
      <c r="M96" s="146">
        <f t="shared" si="28"/>
        <v>0</v>
      </c>
      <c r="N96" s="146">
        <f t="shared" si="28"/>
        <v>0</v>
      </c>
      <c r="O96" s="146">
        <f t="shared" si="28"/>
        <v>0</v>
      </c>
      <c r="P96" s="146">
        <f t="shared" si="28"/>
        <v>0</v>
      </c>
      <c r="Q96" s="146">
        <f t="shared" si="28"/>
        <v>0</v>
      </c>
      <c r="R96" s="342">
        <f t="shared" si="28"/>
        <v>7354877</v>
      </c>
      <c r="S96" s="150">
        <f>SUM(S84:S87,S89:S95)</f>
        <v>6879877</v>
      </c>
      <c r="T96" s="146">
        <f>SUM(T84:T87,T89:T95)</f>
        <v>0</v>
      </c>
      <c r="U96" s="143"/>
    </row>
    <row r="97" spans="1:21" s="144" customFormat="1">
      <c r="A97" s="149" t="s">
        <v>775</v>
      </c>
      <c r="B97" s="146">
        <f>SUM(C97:D97)</f>
        <v>152631135</v>
      </c>
      <c r="C97" s="146">
        <f t="shared" ref="C97:R97" si="29">SUM(C63+C70+C77+C81+C96)</f>
        <v>152631135</v>
      </c>
      <c r="D97" s="146">
        <f t="shared" si="29"/>
        <v>0</v>
      </c>
      <c r="E97" s="146">
        <f t="shared" si="29"/>
        <v>44772555</v>
      </c>
      <c r="F97" s="146">
        <f t="shared" si="29"/>
        <v>42344703</v>
      </c>
      <c r="G97" s="146">
        <f t="shared" si="29"/>
        <v>29000000</v>
      </c>
      <c r="H97" s="146">
        <f t="shared" si="29"/>
        <v>15500000</v>
      </c>
      <c r="I97" s="146">
        <f t="shared" si="29"/>
        <v>11115000</v>
      </c>
      <c r="J97" s="146">
        <f t="shared" si="29"/>
        <v>9898877</v>
      </c>
      <c r="K97" s="146">
        <f t="shared" si="29"/>
        <v>0</v>
      </c>
      <c r="L97" s="146">
        <f t="shared" si="29"/>
        <v>0</v>
      </c>
      <c r="M97" s="146">
        <f t="shared" si="29"/>
        <v>0</v>
      </c>
      <c r="N97" s="146">
        <f t="shared" si="29"/>
        <v>0</v>
      </c>
      <c r="O97" s="146">
        <f t="shared" si="29"/>
        <v>0</v>
      </c>
      <c r="P97" s="146">
        <f t="shared" si="29"/>
        <v>0</v>
      </c>
      <c r="Q97" s="146">
        <f t="shared" si="29"/>
        <v>0</v>
      </c>
      <c r="R97" s="146">
        <f t="shared" si="29"/>
        <v>152631135</v>
      </c>
      <c r="S97" s="146">
        <f>SUM(S63+S70+S81+S96)</f>
        <v>132497733</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9961739</v>
      </c>
      <c r="C99" s="979">
        <v>9961739</v>
      </c>
      <c r="D99" s="979">
        <v>0</v>
      </c>
      <c r="E99" s="979">
        <f>C99-K99</f>
        <v>6000116</v>
      </c>
      <c r="F99" s="147"/>
      <c r="G99" s="147"/>
      <c r="H99" s="147"/>
      <c r="I99" s="147"/>
      <c r="J99" s="147"/>
      <c r="K99" s="147">
        <v>3961623</v>
      </c>
      <c r="L99" s="147"/>
      <c r="M99" s="147"/>
      <c r="N99" s="147"/>
      <c r="O99" s="147"/>
      <c r="P99" s="147"/>
      <c r="Q99" s="147"/>
      <c r="R99" s="516">
        <f>SUM(E99:Q99)</f>
        <v>9961739</v>
      </c>
      <c r="S99" s="147">
        <f>R99</f>
        <v>9961739</v>
      </c>
      <c r="T99" s="147"/>
      <c r="U99" s="143"/>
    </row>
    <row r="100" spans="1:21" s="144" customFormat="1">
      <c r="A100" s="283" t="s">
        <v>1646</v>
      </c>
      <c r="B100" s="146">
        <f>SUM(C100+D100)</f>
        <v>0</v>
      </c>
      <c r="C100" s="147">
        <v>0</v>
      </c>
      <c r="D100" s="147">
        <v>0</v>
      </c>
      <c r="E100" s="147"/>
      <c r="F100" s="147"/>
      <c r="G100" s="147"/>
      <c r="H100" s="147"/>
      <c r="I100" s="147"/>
      <c r="J100" s="147"/>
      <c r="K100" s="147"/>
      <c r="L100" s="147"/>
      <c r="M100" s="147"/>
      <c r="N100" s="147"/>
      <c r="O100" s="147"/>
      <c r="P100" s="147"/>
      <c r="Q100" s="147"/>
      <c r="R100" s="516">
        <f>SUM(E100:Q100)</f>
        <v>0</v>
      </c>
      <c r="S100" s="147">
        <f t="shared" ref="S100:S103" si="30">R100</f>
        <v>0</v>
      </c>
      <c r="T100" s="147"/>
      <c r="U100" s="143"/>
    </row>
    <row r="101" spans="1:21" s="144" customFormat="1" ht="12" customHeight="1">
      <c r="A101" s="145" t="s">
        <v>778</v>
      </c>
      <c r="B101" s="146">
        <f>SUM(C101+D101)</f>
        <v>0</v>
      </c>
      <c r="C101" s="147">
        <v>0</v>
      </c>
      <c r="D101" s="147">
        <v>0</v>
      </c>
      <c r="E101" s="147"/>
      <c r="F101" s="147"/>
      <c r="G101" s="147"/>
      <c r="H101" s="147"/>
      <c r="I101" s="147"/>
      <c r="J101" s="147"/>
      <c r="K101" s="147"/>
      <c r="L101" s="147"/>
      <c r="M101" s="147"/>
      <c r="N101" s="147"/>
      <c r="O101" s="147"/>
      <c r="P101" s="147"/>
      <c r="Q101" s="147"/>
      <c r="R101" s="516">
        <f>SUM(E101:Q101)</f>
        <v>0</v>
      </c>
      <c r="S101" s="147">
        <f t="shared" si="30"/>
        <v>0</v>
      </c>
      <c r="T101" s="147"/>
      <c r="U101" s="143"/>
    </row>
    <row r="102" spans="1:21" s="144" customFormat="1">
      <c r="A102" s="283" t="s">
        <v>1647</v>
      </c>
      <c r="B102" s="146">
        <f>SUM(C102+D102)</f>
        <v>0</v>
      </c>
      <c r="C102" s="147">
        <v>0</v>
      </c>
      <c r="D102" s="147">
        <v>0</v>
      </c>
      <c r="E102" s="147"/>
      <c r="F102" s="147"/>
      <c r="G102" s="147"/>
      <c r="H102" s="147"/>
      <c r="I102" s="147"/>
      <c r="J102" s="147"/>
      <c r="K102" s="147"/>
      <c r="L102" s="147"/>
      <c r="M102" s="147"/>
      <c r="N102" s="147"/>
      <c r="O102" s="147"/>
      <c r="P102" s="147"/>
      <c r="Q102" s="147"/>
      <c r="R102" s="516">
        <f>SUM(E102:Q102)</f>
        <v>0</v>
      </c>
      <c r="S102" s="147">
        <f t="shared" si="30"/>
        <v>0</v>
      </c>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f t="shared" si="30"/>
        <v>0</v>
      </c>
      <c r="T103" s="147"/>
      <c r="U103" s="143"/>
    </row>
    <row r="104" spans="1:21" s="144" customFormat="1">
      <c r="A104" s="149" t="s">
        <v>779</v>
      </c>
      <c r="B104" s="146">
        <f>SUM(C104:D104)</f>
        <v>9961739</v>
      </c>
      <c r="C104" s="146">
        <f>SUM(C99:C103)</f>
        <v>9961739</v>
      </c>
      <c r="D104" s="146">
        <f t="shared" ref="D104:T104" si="31">SUM(D99:D103)</f>
        <v>0</v>
      </c>
      <c r="E104" s="146">
        <f t="shared" si="31"/>
        <v>6000116</v>
      </c>
      <c r="F104" s="146">
        <f t="shared" si="31"/>
        <v>0</v>
      </c>
      <c r="G104" s="146">
        <f t="shared" si="31"/>
        <v>0</v>
      </c>
      <c r="H104" s="146">
        <f t="shared" si="31"/>
        <v>0</v>
      </c>
      <c r="I104" s="146">
        <f t="shared" si="31"/>
        <v>0</v>
      </c>
      <c r="J104" s="146">
        <f t="shared" si="31"/>
        <v>0</v>
      </c>
      <c r="K104" s="146">
        <f t="shared" si="31"/>
        <v>3961623</v>
      </c>
      <c r="L104" s="146">
        <f t="shared" si="31"/>
        <v>0</v>
      </c>
      <c r="M104" s="146">
        <f t="shared" si="31"/>
        <v>0</v>
      </c>
      <c r="N104" s="146">
        <f t="shared" si="31"/>
        <v>0</v>
      </c>
      <c r="O104" s="146">
        <f t="shared" si="31"/>
        <v>0</v>
      </c>
      <c r="P104" s="146">
        <f t="shared" si="31"/>
        <v>0</v>
      </c>
      <c r="Q104" s="146">
        <f t="shared" si="31"/>
        <v>0</v>
      </c>
      <c r="R104" s="342">
        <f t="shared" si="31"/>
        <v>9961739</v>
      </c>
      <c r="S104" s="150">
        <f t="shared" si="31"/>
        <v>9961739</v>
      </c>
      <c r="T104" s="150">
        <f t="shared" si="31"/>
        <v>0</v>
      </c>
      <c r="U104" s="143"/>
    </row>
    <row r="105" spans="1:21" s="144" customFormat="1">
      <c r="A105" s="149" t="s">
        <v>780</v>
      </c>
      <c r="B105" s="150">
        <f>SUM(C105:D105)</f>
        <v>162592874</v>
      </c>
      <c r="C105" s="150">
        <f t="shared" ref="C105:R105" si="32">SUM(C97+C104)</f>
        <v>162592874</v>
      </c>
      <c r="D105" s="150">
        <f t="shared" si="32"/>
        <v>0</v>
      </c>
      <c r="E105" s="150">
        <f t="shared" si="32"/>
        <v>50772671</v>
      </c>
      <c r="F105" s="150">
        <f t="shared" si="32"/>
        <v>42344703</v>
      </c>
      <c r="G105" s="150">
        <f t="shared" si="32"/>
        <v>29000000</v>
      </c>
      <c r="H105" s="150">
        <f t="shared" si="32"/>
        <v>15500000</v>
      </c>
      <c r="I105" s="150">
        <f t="shared" si="32"/>
        <v>11115000</v>
      </c>
      <c r="J105" s="150">
        <f t="shared" si="32"/>
        <v>9898877</v>
      </c>
      <c r="K105" s="150">
        <f t="shared" si="32"/>
        <v>3961623</v>
      </c>
      <c r="L105" s="150">
        <f t="shared" si="32"/>
        <v>0</v>
      </c>
      <c r="M105" s="150">
        <f t="shared" si="32"/>
        <v>0</v>
      </c>
      <c r="N105" s="150">
        <f t="shared" si="32"/>
        <v>0</v>
      </c>
      <c r="O105" s="150">
        <f t="shared" si="32"/>
        <v>0</v>
      </c>
      <c r="P105" s="150">
        <f t="shared" si="32"/>
        <v>0</v>
      </c>
      <c r="Q105" s="150">
        <f t="shared" si="32"/>
        <v>0</v>
      </c>
      <c r="R105" s="342">
        <f t="shared" si="32"/>
        <v>162592874</v>
      </c>
      <c r="S105" s="150">
        <f>S97+S104</f>
        <v>142459472</v>
      </c>
      <c r="T105" s="150">
        <f>T97+T104</f>
        <v>0</v>
      </c>
      <c r="U105" s="143"/>
    </row>
    <row r="106" spans="1:21">
      <c r="A106" s="514" t="s">
        <v>1020</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142459472</v>
      </c>
      <c r="T107" s="150">
        <f>T105+T106</f>
        <v>0</v>
      </c>
    </row>
    <row r="108" spans="1:21" s="189" customFormat="1">
      <c r="A108" s="162" t="s">
        <v>879</v>
      </c>
      <c r="B108" s="157"/>
      <c r="C108" s="157"/>
      <c r="D108" s="157"/>
      <c r="E108" s="301">
        <f>Application!AO640</f>
        <v>50772671</v>
      </c>
      <c r="F108" s="301">
        <f>Application!AO627</f>
        <v>42344703</v>
      </c>
      <c r="G108" s="301">
        <f>Application!AO628</f>
        <v>29000000</v>
      </c>
      <c r="H108" s="301">
        <f>Application!AO629</f>
        <v>15500000</v>
      </c>
      <c r="I108" s="301">
        <f>Application!AO630</f>
        <v>11115000</v>
      </c>
      <c r="J108" s="301">
        <f>Application!AO631</f>
        <v>9898877</v>
      </c>
      <c r="K108" s="301">
        <f>Application!AO632</f>
        <v>3961623</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77" t="s">
        <v>990</v>
      </c>
      <c r="E122" s="1877"/>
      <c r="F122" s="1877"/>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9" t="s">
        <v>1224</v>
      </c>
      <c r="E123" s="1804"/>
      <c r="F123" s="1804"/>
      <c r="G123" s="1804"/>
      <c r="H123" s="1804"/>
      <c r="I123" s="1804"/>
      <c r="J123" s="1804"/>
      <c r="K123" s="1804"/>
      <c r="L123" s="1804"/>
      <c r="M123" s="1804"/>
      <c r="N123" s="1804"/>
      <c r="O123" s="1804"/>
      <c r="P123" s="1804"/>
      <c r="Q123" s="1804"/>
      <c r="R123" s="1804"/>
      <c r="S123" s="1804"/>
      <c r="T123" s="324"/>
      <c r="U123" s="326"/>
    </row>
    <row r="124" spans="1:21" ht="12.75">
      <c r="A124" s="117" t="s">
        <v>992</v>
      </c>
      <c r="B124" s="333"/>
      <c r="C124" s="117"/>
      <c r="D124" s="1804"/>
      <c r="E124" s="1804"/>
      <c r="F124" s="1804"/>
      <c r="G124" s="1804"/>
      <c r="H124" s="1804"/>
      <c r="I124" s="1804"/>
      <c r="J124" s="1804"/>
      <c r="K124" s="1804"/>
      <c r="L124" s="1804"/>
      <c r="M124" s="1804"/>
      <c r="N124" s="1804"/>
      <c r="O124" s="1804"/>
      <c r="P124" s="1804"/>
      <c r="Q124" s="1804"/>
      <c r="R124" s="1804"/>
      <c r="S124" s="1804"/>
      <c r="T124" s="324"/>
      <c r="U124" s="326"/>
    </row>
    <row r="125" spans="1:21" ht="12.75">
      <c r="A125" s="117" t="s">
        <v>993</v>
      </c>
      <c r="B125" s="333"/>
      <c r="C125" s="117"/>
      <c r="D125" s="1804"/>
      <c r="E125" s="1804"/>
      <c r="F125" s="1804"/>
      <c r="G125" s="1804"/>
      <c r="H125" s="1804"/>
      <c r="I125" s="1804"/>
      <c r="J125" s="1804"/>
      <c r="K125" s="1804"/>
      <c r="L125" s="1804"/>
      <c r="M125" s="1804"/>
      <c r="N125" s="1804"/>
      <c r="O125" s="1804"/>
      <c r="P125" s="1804"/>
      <c r="Q125" s="1804"/>
      <c r="R125" s="1804"/>
      <c r="S125" s="1804"/>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74"/>
      <c r="E128" s="1874"/>
      <c r="F128" s="1874"/>
      <c r="G128" s="1874"/>
      <c r="H128" s="1874"/>
      <c r="I128" s="117"/>
      <c r="J128" s="1875"/>
      <c r="K128" s="1875"/>
      <c r="L128" s="117"/>
      <c r="M128" s="117"/>
      <c r="N128" s="117"/>
      <c r="O128" s="117"/>
      <c r="P128" s="117"/>
      <c r="Q128" s="117"/>
      <c r="R128" s="117"/>
      <c r="S128" s="117"/>
      <c r="T128" s="324"/>
      <c r="U128" s="326"/>
    </row>
    <row r="129" spans="1:21" ht="12.75">
      <c r="A129" s="117" t="s">
        <v>300</v>
      </c>
      <c r="B129" s="333"/>
      <c r="C129" s="117"/>
      <c r="D129" s="1876" t="s">
        <v>997</v>
      </c>
      <c r="E129" s="1876"/>
      <c r="F129" s="1876"/>
      <c r="G129" s="1876"/>
      <c r="H129" s="1876"/>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826"/>
      <c r="E131" s="1826"/>
      <c r="F131" s="1826"/>
      <c r="G131" s="1826"/>
      <c r="H131" s="1826"/>
      <c r="I131" s="117"/>
      <c r="J131" s="1826"/>
      <c r="K131" s="1826"/>
      <c r="L131" s="1826"/>
      <c r="M131" s="1826"/>
      <c r="N131" s="117"/>
      <c r="O131" s="117"/>
      <c r="P131" s="117"/>
      <c r="Q131" s="117"/>
      <c r="R131" s="117"/>
      <c r="S131" s="117"/>
      <c r="T131" s="324"/>
      <c r="U131" s="326"/>
    </row>
    <row r="132" spans="1:21" ht="12" customHeight="1">
      <c r="A132" s="336"/>
      <c r="B132" s="117"/>
      <c r="C132" s="117"/>
      <c r="D132" s="1880" t="s">
        <v>1000</v>
      </c>
      <c r="E132" s="1880"/>
      <c r="F132" s="1880"/>
      <c r="G132" s="1880"/>
      <c r="H132" s="1880"/>
      <c r="I132" s="117"/>
      <c r="J132" s="1880" t="s">
        <v>1001</v>
      </c>
      <c r="K132" s="1880"/>
      <c r="L132" s="1880"/>
      <c r="M132" s="1880"/>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81"/>
      <c r="B138" s="1874"/>
      <c r="C138" s="1874"/>
      <c r="D138" s="328"/>
      <c r="E138" s="1875"/>
      <c r="F138" s="1875"/>
      <c r="G138" s="117"/>
      <c r="H138" s="117"/>
      <c r="I138" s="117"/>
      <c r="J138" s="117"/>
      <c r="K138" s="117"/>
      <c r="L138" s="117"/>
      <c r="M138" s="117"/>
      <c r="N138" s="117"/>
      <c r="O138" s="117"/>
      <c r="P138" s="117"/>
      <c r="Q138" s="117"/>
      <c r="R138" s="117"/>
      <c r="S138" s="117"/>
      <c r="T138" s="330"/>
      <c r="U138" s="331"/>
    </row>
    <row r="139" spans="1:21" ht="12.75">
      <c r="A139" s="1878" t="s">
        <v>1004</v>
      </c>
      <c r="B139" s="1878"/>
      <c r="C139" s="1878"/>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3" workbookViewId="0">
      <selection activeCell="E99" sqref="E99"/>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84" t="s">
        <v>1227</v>
      </c>
      <c r="B1" s="1885"/>
      <c r="C1" s="1885"/>
      <c r="D1" s="1885"/>
      <c r="E1" s="1885"/>
      <c r="F1" s="1885"/>
      <c r="G1" s="1885"/>
      <c r="H1" s="1885"/>
      <c r="I1" s="1885"/>
      <c r="J1" s="1886"/>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v>0</v>
      </c>
      <c r="E4" s="363"/>
      <c r="F4" s="363"/>
      <c r="G4" s="363"/>
      <c r="H4" s="363"/>
      <c r="I4" s="363"/>
      <c r="J4" s="363"/>
      <c r="K4" s="359"/>
    </row>
    <row r="5" spans="1:11" s="360" customFormat="1">
      <c r="A5" s="364" t="s">
        <v>28</v>
      </c>
      <c r="B5" s="361">
        <f>'Sources and Uses Budget'!C5</f>
        <v>107879</v>
      </c>
      <c r="C5" s="362"/>
      <c r="D5" s="362">
        <v>107879</v>
      </c>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11115000</v>
      </c>
      <c r="C7" s="362"/>
      <c r="D7" s="362">
        <v>11115000</v>
      </c>
      <c r="E7" s="363"/>
      <c r="F7" s="363"/>
      <c r="G7" s="363"/>
      <c r="H7" s="363"/>
      <c r="I7" s="363"/>
      <c r="J7" s="363"/>
      <c r="K7" s="359"/>
    </row>
    <row r="8" spans="1:11" s="360" customFormat="1">
      <c r="A8" s="365" t="s">
        <v>593</v>
      </c>
      <c r="B8" s="361">
        <f>'Sources and Uses Budget'!C8</f>
        <v>11222879</v>
      </c>
      <c r="C8" s="361">
        <f>SUM(C4:C7)</f>
        <v>0</v>
      </c>
      <c r="D8" s="361">
        <f>SUM(D4:D7)</f>
        <v>11222879</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11222879</v>
      </c>
      <c r="C12" s="361">
        <f>SUM(C8+C11)</f>
        <v>0</v>
      </c>
      <c r="D12" s="361">
        <f>SUM(D8+D11)</f>
        <v>11222879</v>
      </c>
      <c r="E12" s="363"/>
      <c r="F12" s="363"/>
      <c r="G12" s="363"/>
      <c r="H12" s="363"/>
      <c r="I12" s="363"/>
      <c r="J12" s="363"/>
      <c r="K12" s="359"/>
    </row>
    <row r="13" spans="1:11" s="360" customFormat="1">
      <c r="A13" s="366" t="s">
        <v>902</v>
      </c>
      <c r="B13" s="361">
        <f>'Sources and Uses Budget'!C13</f>
        <v>132318</v>
      </c>
      <c r="C13" s="362"/>
      <c r="D13" s="362">
        <v>132318</v>
      </c>
      <c r="E13" s="361">
        <f>'Sources and Uses Budget'!S13</f>
        <v>0</v>
      </c>
      <c r="F13" s="362"/>
      <c r="G13" s="362">
        <v>0</v>
      </c>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2241354</v>
      </c>
      <c r="C29" s="362"/>
      <c r="D29" s="362">
        <f>B29</f>
        <v>2241354</v>
      </c>
      <c r="E29" s="361">
        <f>'Sources and Uses Budget'!S29</f>
        <v>2241354</v>
      </c>
      <c r="F29" s="362"/>
      <c r="G29" s="362">
        <f>E29</f>
        <v>2241354</v>
      </c>
      <c r="H29" s="361">
        <f>'Sources and Uses Budget'!T29</f>
        <v>0</v>
      </c>
      <c r="I29" s="362"/>
      <c r="J29" s="362"/>
      <c r="K29" s="359"/>
    </row>
    <row r="30" spans="1:11" s="360" customFormat="1">
      <c r="A30" s="145" t="s">
        <v>599</v>
      </c>
      <c r="B30" s="361">
        <f>'Sources and Uses Budget'!C30</f>
        <v>89475094</v>
      </c>
      <c r="C30" s="362"/>
      <c r="D30" s="362">
        <f t="shared" ref="D30:D37" si="0">B30</f>
        <v>89475094</v>
      </c>
      <c r="E30" s="361">
        <f>'Sources and Uses Budget'!S30</f>
        <v>89475094</v>
      </c>
      <c r="F30" s="362"/>
      <c r="G30" s="362">
        <f t="shared" ref="G30:G37" si="1">E30</f>
        <v>89475094</v>
      </c>
      <c r="H30" s="361">
        <f>'Sources and Uses Budget'!T30</f>
        <v>0</v>
      </c>
      <c r="I30" s="362"/>
      <c r="J30" s="362"/>
      <c r="K30" s="359"/>
    </row>
    <row r="31" spans="1:11" s="360" customFormat="1">
      <c r="A31" s="145" t="s">
        <v>600</v>
      </c>
      <c r="B31" s="361">
        <f>'Sources and Uses Budget'!C31</f>
        <v>3770693</v>
      </c>
      <c r="C31" s="362"/>
      <c r="D31" s="362">
        <f t="shared" si="0"/>
        <v>3770693</v>
      </c>
      <c r="E31" s="361">
        <f>'Sources and Uses Budget'!S31</f>
        <v>3770693</v>
      </c>
      <c r="F31" s="362"/>
      <c r="G31" s="362">
        <f t="shared" si="1"/>
        <v>3770693</v>
      </c>
      <c r="H31" s="361">
        <f>'Sources and Uses Budget'!T31</f>
        <v>0</v>
      </c>
      <c r="I31" s="362"/>
      <c r="J31" s="362"/>
      <c r="K31" s="359"/>
    </row>
    <row r="32" spans="1:11" s="360" customFormat="1">
      <c r="A32" s="145" t="s">
        <v>137</v>
      </c>
      <c r="B32" s="361">
        <f>'Sources and Uses Budget'!C32</f>
        <v>3729588</v>
      </c>
      <c r="C32" s="362"/>
      <c r="D32" s="362">
        <f t="shared" si="0"/>
        <v>3729588</v>
      </c>
      <c r="E32" s="361">
        <f>'Sources and Uses Budget'!S32</f>
        <v>3729588</v>
      </c>
      <c r="F32" s="362"/>
      <c r="G32" s="362">
        <f t="shared" si="1"/>
        <v>3729588</v>
      </c>
      <c r="H32" s="361">
        <f>'Sources and Uses Budget'!T32</f>
        <v>0</v>
      </c>
      <c r="I32" s="362"/>
      <c r="J32" s="362"/>
      <c r="K32" s="359"/>
    </row>
    <row r="33" spans="1:11" s="360" customFormat="1">
      <c r="A33" s="145" t="s">
        <v>138</v>
      </c>
      <c r="B33" s="361">
        <f>'Sources and Uses Budget'!C33</f>
        <v>2691834</v>
      </c>
      <c r="C33" s="362"/>
      <c r="D33" s="362">
        <f t="shared" si="0"/>
        <v>2691834</v>
      </c>
      <c r="E33" s="361">
        <f>'Sources and Uses Budget'!S33</f>
        <v>2691834</v>
      </c>
      <c r="F33" s="362"/>
      <c r="G33" s="362">
        <f t="shared" si="1"/>
        <v>2691834</v>
      </c>
      <c r="H33" s="361">
        <f>'Sources and Uses Budget'!T33</f>
        <v>0</v>
      </c>
      <c r="I33" s="362"/>
      <c r="J33" s="362"/>
      <c r="K33" s="359"/>
    </row>
    <row r="34" spans="1:11" s="360" customFormat="1">
      <c r="A34" s="145" t="s">
        <v>139</v>
      </c>
      <c r="B34" s="361">
        <f>'Sources and Uses Budget'!C34</f>
        <v>0</v>
      </c>
      <c r="C34" s="362"/>
      <c r="D34" s="362">
        <f t="shared" si="0"/>
        <v>0</v>
      </c>
      <c r="E34" s="361">
        <f>'Sources and Uses Budget'!S34</f>
        <v>0</v>
      </c>
      <c r="F34" s="362"/>
      <c r="G34" s="362">
        <f t="shared" si="1"/>
        <v>0</v>
      </c>
      <c r="H34" s="361">
        <f>'Sources and Uses Budget'!T34</f>
        <v>0</v>
      </c>
      <c r="I34" s="362"/>
      <c r="J34" s="362"/>
      <c r="K34" s="359"/>
    </row>
    <row r="35" spans="1:11" s="360" customFormat="1">
      <c r="A35" s="145" t="s">
        <v>140</v>
      </c>
      <c r="B35" s="361">
        <f>'Sources and Uses Budget'!C35</f>
        <v>1710059</v>
      </c>
      <c r="C35" s="362"/>
      <c r="D35" s="362">
        <f t="shared" si="0"/>
        <v>1710059</v>
      </c>
      <c r="E35" s="361">
        <f>'Sources and Uses Budget'!S35</f>
        <v>1710059</v>
      </c>
      <c r="F35" s="362"/>
      <c r="G35" s="362">
        <f t="shared" si="1"/>
        <v>1710059</v>
      </c>
      <c r="H35" s="361">
        <f>'Sources and Uses Budget'!T35</f>
        <v>0</v>
      </c>
      <c r="I35" s="362"/>
      <c r="J35" s="362"/>
      <c r="K35" s="359"/>
    </row>
    <row r="36" spans="1:11" s="360" customFormat="1">
      <c r="A36" s="508" t="s">
        <v>1640</v>
      </c>
      <c r="B36" s="361">
        <f>'Sources and Uses Budget'!C36</f>
        <v>140000</v>
      </c>
      <c r="C36" s="362"/>
      <c r="D36" s="362">
        <f t="shared" si="0"/>
        <v>140000</v>
      </c>
      <c r="E36" s="361">
        <f>'Sources and Uses Budget'!S36</f>
        <v>140000</v>
      </c>
      <c r="F36" s="362"/>
      <c r="G36" s="362">
        <f t="shared" si="1"/>
        <v>140000</v>
      </c>
      <c r="H36" s="361">
        <f>'Sources and Uses Budget'!T36</f>
        <v>0</v>
      </c>
      <c r="I36" s="362"/>
      <c r="J36" s="362"/>
      <c r="K36" s="359"/>
    </row>
    <row r="37" spans="1:11" s="360" customFormat="1">
      <c r="A37" s="364" t="str">
        <f>'Sources and Uses Budget'!$A37</f>
        <v>Other: Solar</v>
      </c>
      <c r="B37" s="361">
        <f>'Sources and Uses Budget'!C37</f>
        <v>896834</v>
      </c>
      <c r="C37" s="362"/>
      <c r="D37" s="362">
        <f t="shared" si="0"/>
        <v>896834</v>
      </c>
      <c r="E37" s="361">
        <f>'Sources and Uses Budget'!S37</f>
        <v>896834</v>
      </c>
      <c r="F37" s="362"/>
      <c r="G37" s="362">
        <f t="shared" si="1"/>
        <v>896834</v>
      </c>
      <c r="H37" s="361">
        <f>'Sources and Uses Budget'!T37</f>
        <v>0</v>
      </c>
      <c r="I37" s="362"/>
      <c r="J37" s="362"/>
      <c r="K37" s="359"/>
    </row>
    <row r="38" spans="1:11" s="360" customFormat="1">
      <c r="A38" s="365" t="s">
        <v>143</v>
      </c>
      <c r="B38" s="361">
        <f>'Sources and Uses Budget'!C38</f>
        <v>104655456</v>
      </c>
      <c r="C38" s="361">
        <f>SUM(C29:C37)</f>
        <v>0</v>
      </c>
      <c r="D38" s="361">
        <f>SUM(D29:D37)</f>
        <v>104655456</v>
      </c>
      <c r="E38" s="361">
        <f>'Sources and Uses Budget'!S38</f>
        <v>104655456</v>
      </c>
      <c r="F38" s="367">
        <f>SUM(F29:F37)</f>
        <v>0</v>
      </c>
      <c r="G38" s="367">
        <f>SUM(G29:G37)</f>
        <v>104655456</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2904000</v>
      </c>
      <c r="C40" s="362"/>
      <c r="D40" s="362">
        <f>B40</f>
        <v>2904000</v>
      </c>
      <c r="E40" s="361">
        <f>'Sources and Uses Budget'!S40</f>
        <v>2904000</v>
      </c>
      <c r="F40" s="362"/>
      <c r="G40" s="362">
        <f>E40</f>
        <v>2904000</v>
      </c>
      <c r="H40" s="361">
        <f>'Sources and Uses Budget'!T40</f>
        <v>0</v>
      </c>
      <c r="I40" s="362"/>
      <c r="J40" s="362"/>
      <c r="K40" s="359"/>
    </row>
    <row r="41" spans="1:11" s="360" customFormat="1">
      <c r="A41" s="364" t="s">
        <v>146</v>
      </c>
      <c r="B41" s="361">
        <f>'Sources and Uses Budget'!C41</f>
        <v>400000</v>
      </c>
      <c r="C41" s="362"/>
      <c r="D41" s="362">
        <f>B41</f>
        <v>400000</v>
      </c>
      <c r="E41" s="361">
        <f>'Sources and Uses Budget'!S41</f>
        <v>400000</v>
      </c>
      <c r="F41" s="362"/>
      <c r="G41" s="362">
        <f>E41</f>
        <v>400000</v>
      </c>
      <c r="H41" s="361">
        <f>'Sources and Uses Budget'!T41</f>
        <v>0</v>
      </c>
      <c r="I41" s="362"/>
      <c r="J41" s="362"/>
      <c r="K41" s="359"/>
    </row>
    <row r="42" spans="1:11" s="360" customFormat="1">
      <c r="A42" s="365" t="s">
        <v>147</v>
      </c>
      <c r="B42" s="361">
        <f>'Sources and Uses Budget'!C42</f>
        <v>3304000</v>
      </c>
      <c r="C42" s="361">
        <f>SUM(C39:C41)</f>
        <v>0</v>
      </c>
      <c r="D42" s="361">
        <f>SUM(D39:D41)</f>
        <v>3304000</v>
      </c>
      <c r="E42" s="361">
        <f>'Sources and Uses Budget'!S42</f>
        <v>3304000</v>
      </c>
      <c r="F42" s="367">
        <f>SUM(F40:F41)</f>
        <v>0</v>
      </c>
      <c r="G42" s="367">
        <f>SUM(G40:G41)</f>
        <v>3304000</v>
      </c>
      <c r="H42" s="361">
        <f>'Sources and Uses Budget'!T42</f>
        <v>0</v>
      </c>
      <c r="I42" s="367">
        <f>SUM(I40:I41)</f>
        <v>0</v>
      </c>
      <c r="J42" s="367">
        <f>SUM(J40:J41)</f>
        <v>0</v>
      </c>
      <c r="K42" s="359"/>
    </row>
    <row r="43" spans="1:11" s="360" customFormat="1">
      <c r="A43" s="365" t="s">
        <v>148</v>
      </c>
      <c r="B43" s="361">
        <f>'Sources and Uses Budget'!C43</f>
        <v>2650000</v>
      </c>
      <c r="C43" s="362"/>
      <c r="D43" s="362">
        <f>B43</f>
        <v>2650000</v>
      </c>
      <c r="E43" s="361">
        <f>'Sources and Uses Budget'!S43</f>
        <v>2650000</v>
      </c>
      <c r="F43" s="362"/>
      <c r="G43" s="362">
        <f>E43</f>
        <v>2650000</v>
      </c>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10925000</v>
      </c>
      <c r="C45" s="362"/>
      <c r="D45" s="362">
        <f>B45</f>
        <v>10925000</v>
      </c>
      <c r="E45" s="361">
        <f>'Sources and Uses Budget'!S45</f>
        <v>5080092</v>
      </c>
      <c r="F45" s="362"/>
      <c r="G45" s="362">
        <f>E45</f>
        <v>5080092</v>
      </c>
      <c r="H45" s="361">
        <f>'Sources and Uses Budget'!T45</f>
        <v>0</v>
      </c>
      <c r="I45" s="362"/>
      <c r="J45" s="362"/>
      <c r="K45" s="359"/>
    </row>
    <row r="46" spans="1:11" s="360" customFormat="1">
      <c r="A46" s="364" t="s">
        <v>151</v>
      </c>
      <c r="B46" s="361">
        <f>'Sources and Uses Budget'!C46</f>
        <v>727593</v>
      </c>
      <c r="C46" s="362"/>
      <c r="D46" s="362">
        <f t="shared" ref="D46:D53" si="2">B46</f>
        <v>727593</v>
      </c>
      <c r="E46" s="361">
        <f>'Sources and Uses Budget'!S46</f>
        <v>727593</v>
      </c>
      <c r="F46" s="362"/>
      <c r="G46" s="362">
        <f t="shared" ref="G46:G53" si="3">E46</f>
        <v>727593</v>
      </c>
      <c r="H46" s="361">
        <f>'Sources and Uses Budget'!T46</f>
        <v>0</v>
      </c>
      <c r="I46" s="362"/>
      <c r="J46" s="362"/>
      <c r="K46" s="359"/>
    </row>
    <row r="47" spans="1:11" s="360" customFormat="1" ht="12" customHeight="1">
      <c r="A47" s="364" t="s">
        <v>152</v>
      </c>
      <c r="B47" s="361">
        <f>'Sources and Uses Budget'!C47</f>
        <v>0</v>
      </c>
      <c r="C47" s="362"/>
      <c r="D47" s="362">
        <f t="shared" si="2"/>
        <v>0</v>
      </c>
      <c r="E47" s="361">
        <f>'Sources and Uses Budget'!S47</f>
        <v>0</v>
      </c>
      <c r="F47" s="362"/>
      <c r="G47" s="362">
        <f t="shared" si="3"/>
        <v>0</v>
      </c>
      <c r="H47" s="361">
        <f>'Sources and Uses Budget'!T47</f>
        <v>0</v>
      </c>
      <c r="I47" s="362"/>
      <c r="J47" s="362"/>
      <c r="K47" s="359"/>
    </row>
    <row r="48" spans="1:11" s="360" customFormat="1">
      <c r="A48" s="364" t="s">
        <v>153</v>
      </c>
      <c r="B48" s="361">
        <f>'Sources and Uses Budget'!C48</f>
        <v>0</v>
      </c>
      <c r="C48" s="362"/>
      <c r="D48" s="362">
        <f t="shared" si="2"/>
        <v>0</v>
      </c>
      <c r="E48" s="361">
        <f>'Sources and Uses Budget'!S48</f>
        <v>0</v>
      </c>
      <c r="F48" s="362"/>
      <c r="G48" s="362">
        <f t="shared" si="3"/>
        <v>0</v>
      </c>
      <c r="H48" s="361">
        <f>'Sources and Uses Budget'!T48</f>
        <v>0</v>
      </c>
      <c r="I48" s="362"/>
      <c r="J48" s="362"/>
      <c r="K48" s="359"/>
    </row>
    <row r="49" spans="1:11" s="360" customFormat="1">
      <c r="A49" s="283" t="s">
        <v>57</v>
      </c>
      <c r="B49" s="361">
        <f>'Sources and Uses Budget'!C49</f>
        <v>550000</v>
      </c>
      <c r="C49" s="362"/>
      <c r="D49" s="362">
        <f t="shared" si="2"/>
        <v>550000</v>
      </c>
      <c r="E49" s="361">
        <f>'Sources and Uses Budget'!S49</f>
        <v>55000</v>
      </c>
      <c r="F49" s="362"/>
      <c r="G49" s="362">
        <f t="shared" si="3"/>
        <v>55000</v>
      </c>
      <c r="H49" s="361">
        <f>'Sources and Uses Budget'!T49</f>
        <v>0</v>
      </c>
      <c r="I49" s="362"/>
      <c r="J49" s="362"/>
      <c r="K49" s="359"/>
    </row>
    <row r="50" spans="1:11" s="360" customFormat="1">
      <c r="A50" s="364" t="s">
        <v>156</v>
      </c>
      <c r="B50" s="361">
        <f>'Sources and Uses Budget'!C50</f>
        <v>225000</v>
      </c>
      <c r="C50" s="362"/>
      <c r="D50" s="362">
        <f t="shared" si="2"/>
        <v>225000</v>
      </c>
      <c r="E50" s="361">
        <f>'Sources and Uses Budget'!S50</f>
        <v>225000</v>
      </c>
      <c r="F50" s="362"/>
      <c r="G50" s="362">
        <f t="shared" si="3"/>
        <v>225000</v>
      </c>
      <c r="H50" s="361">
        <f>'Sources and Uses Budget'!T50</f>
        <v>0</v>
      </c>
      <c r="I50" s="362"/>
      <c r="J50" s="362"/>
      <c r="K50" s="359"/>
    </row>
    <row r="51" spans="1:11" s="360" customFormat="1">
      <c r="A51" s="364" t="s">
        <v>154</v>
      </c>
      <c r="B51" s="361">
        <f>'Sources and Uses Budget'!C51</f>
        <v>50000</v>
      </c>
      <c r="C51" s="362"/>
      <c r="D51" s="362">
        <f t="shared" si="2"/>
        <v>50000</v>
      </c>
      <c r="E51" s="361">
        <f>'Sources and Uses Budget'!S51</f>
        <v>50000</v>
      </c>
      <c r="F51" s="362"/>
      <c r="G51" s="362">
        <f t="shared" si="3"/>
        <v>50000</v>
      </c>
      <c r="H51" s="361">
        <f>'Sources and Uses Budget'!T51</f>
        <v>0</v>
      </c>
      <c r="I51" s="362"/>
      <c r="J51" s="362"/>
      <c r="K51" s="359"/>
    </row>
    <row r="52" spans="1:11" s="360" customFormat="1">
      <c r="A52" s="364" t="s">
        <v>155</v>
      </c>
      <c r="B52" s="361">
        <f>'Sources and Uses Budget'!C52</f>
        <v>1000000</v>
      </c>
      <c r="C52" s="362"/>
      <c r="D52" s="362">
        <f t="shared" si="2"/>
        <v>1000000</v>
      </c>
      <c r="E52" s="361">
        <f>'Sources and Uses Budget'!S52</f>
        <v>1000000</v>
      </c>
      <c r="F52" s="362"/>
      <c r="G52" s="362">
        <f t="shared" si="3"/>
        <v>1000000</v>
      </c>
      <c r="H52" s="361">
        <f>'Sources and Uses Budget'!T52</f>
        <v>0</v>
      </c>
      <c r="I52" s="362"/>
      <c r="J52" s="362"/>
      <c r="K52" s="359"/>
    </row>
    <row r="53" spans="1:11" s="360" customFormat="1">
      <c r="A53" s="364" t="str">
        <f>'Sources and Uses Budget'!$A53</f>
        <v>Other: Bank Construction Inspections</v>
      </c>
      <c r="B53" s="361">
        <f>'Sources and Uses Budget'!C53</f>
        <v>80000</v>
      </c>
      <c r="C53" s="362"/>
      <c r="D53" s="362">
        <f t="shared" si="2"/>
        <v>80000</v>
      </c>
      <c r="E53" s="361">
        <f>'Sources and Uses Budget'!S53</f>
        <v>80000</v>
      </c>
      <c r="F53" s="362"/>
      <c r="G53" s="362">
        <f t="shared" si="3"/>
        <v>80000</v>
      </c>
      <c r="H53" s="361">
        <f>'Sources and Uses Budget'!T53</f>
        <v>0</v>
      </c>
      <c r="I53" s="362"/>
      <c r="J53" s="362"/>
      <c r="K53" s="359"/>
    </row>
    <row r="54" spans="1:11" s="369" customFormat="1">
      <c r="A54" s="365" t="s">
        <v>157</v>
      </c>
      <c r="B54" s="361">
        <f>'Sources and Uses Budget'!C54</f>
        <v>13557593</v>
      </c>
      <c r="C54" s="367">
        <f>SUM(C45:C53)</f>
        <v>0</v>
      </c>
      <c r="D54" s="367">
        <f>SUM(D45:D53)</f>
        <v>13557593</v>
      </c>
      <c r="E54" s="361">
        <f>'Sources and Uses Budget'!S54</f>
        <v>7217685</v>
      </c>
      <c r="F54" s="367">
        <f>SUM(F45:F53)</f>
        <v>0</v>
      </c>
      <c r="G54" s="367">
        <f>SUM(G45:G53)</f>
        <v>7217685</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360797</v>
      </c>
      <c r="C56" s="362"/>
      <c r="D56" s="362">
        <f>B56</f>
        <v>360797</v>
      </c>
      <c r="E56" s="363"/>
      <c r="F56" s="363"/>
      <c r="G56" s="363"/>
      <c r="H56" s="363"/>
      <c r="I56" s="363"/>
      <c r="J56" s="363"/>
      <c r="K56" s="359"/>
    </row>
    <row r="57" spans="1:11" s="360" customFormat="1" ht="12" customHeight="1">
      <c r="A57" s="364" t="s">
        <v>152</v>
      </c>
      <c r="B57" s="361">
        <f>'Sources and Uses Budget'!C57</f>
        <v>17000</v>
      </c>
      <c r="C57" s="362"/>
      <c r="D57" s="362">
        <f t="shared" ref="D57:D61" si="4">B57</f>
        <v>17000</v>
      </c>
      <c r="E57" s="363"/>
      <c r="F57" s="363"/>
      <c r="G57" s="363"/>
      <c r="H57" s="363"/>
      <c r="I57" s="363"/>
      <c r="J57" s="363"/>
      <c r="K57" s="359"/>
    </row>
    <row r="58" spans="1:11" s="360" customFormat="1">
      <c r="A58" s="364" t="s">
        <v>156</v>
      </c>
      <c r="B58" s="361">
        <f>'Sources and Uses Budget'!C58</f>
        <v>50000</v>
      </c>
      <c r="C58" s="362"/>
      <c r="D58" s="362">
        <f t="shared" si="4"/>
        <v>50000</v>
      </c>
      <c r="E58" s="363"/>
      <c r="F58" s="363"/>
      <c r="G58" s="363"/>
      <c r="H58" s="363"/>
      <c r="I58" s="363"/>
      <c r="J58" s="363"/>
      <c r="K58" s="359"/>
    </row>
    <row r="59" spans="1:11" s="360" customFormat="1">
      <c r="A59" s="364" t="s">
        <v>154</v>
      </c>
      <c r="B59" s="361">
        <f>'Sources and Uses Budget'!C59</f>
        <v>0</v>
      </c>
      <c r="C59" s="362"/>
      <c r="D59" s="362">
        <f t="shared" si="4"/>
        <v>0</v>
      </c>
      <c r="E59" s="363"/>
      <c r="F59" s="363"/>
      <c r="G59" s="363"/>
      <c r="H59" s="363"/>
      <c r="I59" s="363"/>
      <c r="J59" s="363"/>
      <c r="K59" s="359"/>
    </row>
    <row r="60" spans="1:11" s="360" customFormat="1">
      <c r="A60" s="364" t="s">
        <v>155</v>
      </c>
      <c r="B60" s="361">
        <f>'Sources and Uses Budget'!C60</f>
        <v>0</v>
      </c>
      <c r="C60" s="362"/>
      <c r="D60" s="362">
        <f t="shared" si="4"/>
        <v>0</v>
      </c>
      <c r="E60" s="363"/>
      <c r="F60" s="363"/>
      <c r="G60" s="363"/>
      <c r="H60" s="363"/>
      <c r="I60" s="363"/>
      <c r="J60" s="363"/>
      <c r="K60" s="359"/>
    </row>
    <row r="61" spans="1:11" s="360" customFormat="1" ht="24">
      <c r="A61" s="364" t="str">
        <f>'Sources and Uses Budget'!$A61</f>
        <v>Other: Agency Standby and Bond Underwriting</v>
      </c>
      <c r="B61" s="361">
        <f>'Sources and Uses Budget'!C61</f>
        <v>0</v>
      </c>
      <c r="C61" s="362"/>
      <c r="D61" s="362">
        <f t="shared" si="4"/>
        <v>0</v>
      </c>
      <c r="E61" s="363"/>
      <c r="F61" s="363"/>
      <c r="G61" s="363"/>
      <c r="H61" s="363"/>
      <c r="I61" s="363"/>
      <c r="J61" s="363"/>
      <c r="K61" s="359"/>
    </row>
    <row r="62" spans="1:11" s="360" customFormat="1" ht="13.7" customHeight="1">
      <c r="A62" s="365" t="s">
        <v>301</v>
      </c>
      <c r="B62" s="361">
        <f>'Sources and Uses Budget'!C62</f>
        <v>427797</v>
      </c>
      <c r="C62" s="361">
        <f>SUM(C56:C61)</f>
        <v>0</v>
      </c>
      <c r="D62" s="361">
        <f>SUM(D56:D61)</f>
        <v>427797</v>
      </c>
      <c r="E62" s="363"/>
      <c r="F62" s="363"/>
      <c r="G62" s="363"/>
      <c r="H62" s="363"/>
      <c r="I62" s="363"/>
      <c r="J62" s="363"/>
      <c r="K62" s="359"/>
    </row>
    <row r="63" spans="1:11" s="360" customFormat="1">
      <c r="A63" s="370" t="s">
        <v>302</v>
      </c>
      <c r="B63" s="361">
        <f>'Sources and Uses Budget'!C63</f>
        <v>135950043</v>
      </c>
      <c r="C63" s="361">
        <f>SUM(C8+C11+C13+C14+C15+C26+C27+C38+C42+C43+C54+C62)</f>
        <v>0</v>
      </c>
      <c r="D63" s="361">
        <f>SUM(D8+D11+D13+D14+D15+D26+D27+D38+D42+D43+D54+D62)</f>
        <v>135950043</v>
      </c>
      <c r="E63" s="361">
        <f>'Sources and Uses Budget'!S63</f>
        <v>117827141</v>
      </c>
      <c r="F63" s="361">
        <f>SUM(F10+F13+F14+F15+F26+F27+F38+F42+F43+F54)</f>
        <v>0</v>
      </c>
      <c r="G63" s="361">
        <f>SUM(G10+G13+G14+G15+G26+G27+G38+G42+G43+G54)</f>
        <v>117827141</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393500</v>
      </c>
      <c r="C65" s="362"/>
      <c r="D65" s="362">
        <f>B65</f>
        <v>393500</v>
      </c>
      <c r="E65" s="361">
        <f>'Sources and Uses Budget'!S65</f>
        <v>60000</v>
      </c>
      <c r="F65" s="362"/>
      <c r="G65" s="362">
        <f>E65</f>
        <v>60000</v>
      </c>
      <c r="H65" s="361">
        <f>'Sources and Uses Budget'!T65</f>
        <v>0</v>
      </c>
      <c r="I65" s="362"/>
      <c r="J65" s="362"/>
      <c r="K65" s="359"/>
    </row>
    <row r="66" spans="1:11" s="360" customFormat="1" ht="24">
      <c r="A66" s="283" t="s">
        <v>1641</v>
      </c>
      <c r="B66" s="361">
        <f>'Sources and Uses Budget'!C66</f>
        <v>0</v>
      </c>
      <c r="C66" s="362"/>
      <c r="D66" s="362">
        <f t="shared" ref="D66:D69" si="5">B66</f>
        <v>0</v>
      </c>
      <c r="E66" s="361">
        <f>'Sources and Uses Budget'!S66</f>
        <v>0</v>
      </c>
      <c r="F66" s="362"/>
      <c r="G66" s="362">
        <f t="shared" ref="G66:G69" si="6">E66</f>
        <v>0</v>
      </c>
      <c r="H66" s="361">
        <f>'Sources and Uses Budget'!T66</f>
        <v>0</v>
      </c>
      <c r="I66" s="362"/>
      <c r="J66" s="362"/>
      <c r="K66" s="359"/>
    </row>
    <row r="67" spans="1:11" s="360" customFormat="1" ht="24">
      <c r="A67" s="283" t="s">
        <v>1642</v>
      </c>
      <c r="B67" s="361">
        <f>'Sources and Uses Budget'!C67</f>
        <v>0</v>
      </c>
      <c r="C67" s="362"/>
      <c r="D67" s="362">
        <f t="shared" si="5"/>
        <v>0</v>
      </c>
      <c r="E67" s="361">
        <f>'Sources and Uses Budget'!S67</f>
        <v>0</v>
      </c>
      <c r="F67" s="362"/>
      <c r="G67" s="362">
        <f t="shared" si="6"/>
        <v>0</v>
      </c>
      <c r="H67" s="361">
        <f>'Sources and Uses Budget'!T67</f>
        <v>0</v>
      </c>
      <c r="I67" s="362"/>
      <c r="J67" s="362"/>
      <c r="K67" s="359"/>
    </row>
    <row r="68" spans="1:11" s="360" customFormat="1">
      <c r="A68" s="283" t="s">
        <v>1648</v>
      </c>
      <c r="B68" s="361">
        <f>'Sources and Uses Budget'!C68</f>
        <v>0</v>
      </c>
      <c r="C68" s="362"/>
      <c r="D68" s="362">
        <f t="shared" si="5"/>
        <v>0</v>
      </c>
      <c r="E68" s="361">
        <f>'Sources and Uses Budget'!S68</f>
        <v>0</v>
      </c>
      <c r="F68" s="362"/>
      <c r="G68" s="362">
        <f t="shared" si="6"/>
        <v>0</v>
      </c>
      <c r="H68" s="361">
        <f>'Sources and Uses Budget'!T68</f>
        <v>0</v>
      </c>
      <c r="I68" s="362"/>
      <c r="J68" s="362"/>
      <c r="K68" s="359"/>
    </row>
    <row r="69" spans="1:11" s="360" customFormat="1">
      <c r="A69" s="364" t="str">
        <f>'Sources and Uses Budget'!$A69</f>
        <v>Other: (Specify)</v>
      </c>
      <c r="B69" s="361">
        <f>'Sources and Uses Budget'!C69</f>
        <v>0</v>
      </c>
      <c r="C69" s="362"/>
      <c r="D69" s="362">
        <f t="shared" si="5"/>
        <v>0</v>
      </c>
      <c r="E69" s="361">
        <f>'Sources and Uses Budget'!S69</f>
        <v>0</v>
      </c>
      <c r="F69" s="362"/>
      <c r="G69" s="362">
        <f t="shared" si="6"/>
        <v>0</v>
      </c>
      <c r="H69" s="361">
        <f>'Sources and Uses Budget'!T69</f>
        <v>0</v>
      </c>
      <c r="I69" s="362"/>
      <c r="J69" s="362"/>
      <c r="K69" s="359"/>
    </row>
    <row r="70" spans="1:11" s="360" customFormat="1">
      <c r="A70" s="365" t="s">
        <v>601</v>
      </c>
      <c r="B70" s="361">
        <f>'Sources and Uses Budget'!C70</f>
        <v>393500</v>
      </c>
      <c r="C70" s="361">
        <f>SUM(C64:C69)</f>
        <v>0</v>
      </c>
      <c r="D70" s="361">
        <f>SUM(D64:D69)</f>
        <v>393500</v>
      </c>
      <c r="E70" s="361">
        <f>'Sources and Uses Budget'!S70</f>
        <v>60000</v>
      </c>
      <c r="F70" s="367">
        <f>SUM(F65:F69)</f>
        <v>0</v>
      </c>
      <c r="G70" s="367">
        <f>SUM(G65:G69)</f>
        <v>60000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f>B72</f>
        <v>0</v>
      </c>
      <c r="E72" s="363"/>
      <c r="F72" s="363"/>
      <c r="G72" s="363"/>
      <c r="H72" s="363"/>
      <c r="I72" s="363"/>
      <c r="J72" s="363"/>
      <c r="K72" s="359"/>
    </row>
    <row r="73" spans="1:11" s="360" customFormat="1">
      <c r="A73" s="364" t="s">
        <v>604</v>
      </c>
      <c r="B73" s="361">
        <f>'Sources and Uses Budget'!C73</f>
        <v>0</v>
      </c>
      <c r="C73" s="362"/>
      <c r="D73" s="362">
        <f t="shared" ref="D73:D76" si="7">B73</f>
        <v>0</v>
      </c>
      <c r="E73" s="363"/>
      <c r="F73" s="363"/>
      <c r="G73" s="363"/>
      <c r="H73" s="363"/>
      <c r="I73" s="363"/>
      <c r="J73" s="363"/>
      <c r="K73" s="359"/>
    </row>
    <row r="74" spans="1:11" s="360" customFormat="1">
      <c r="A74" s="366" t="s">
        <v>986</v>
      </c>
      <c r="B74" s="361">
        <f>'Sources and Uses Budget'!C74</f>
        <v>0</v>
      </c>
      <c r="C74" s="362"/>
      <c r="D74" s="362">
        <f t="shared" si="7"/>
        <v>0</v>
      </c>
      <c r="E74" s="363"/>
      <c r="F74" s="363"/>
      <c r="G74" s="363"/>
      <c r="H74" s="363"/>
      <c r="I74" s="363"/>
      <c r="J74" s="363"/>
      <c r="K74" s="359"/>
    </row>
    <row r="75" spans="1:11" s="360" customFormat="1">
      <c r="A75" s="364" t="s">
        <v>605</v>
      </c>
      <c r="B75" s="361">
        <f>'Sources and Uses Budget'!C75</f>
        <v>1202000</v>
      </c>
      <c r="C75" s="362"/>
      <c r="D75" s="362">
        <f t="shared" si="7"/>
        <v>1202000</v>
      </c>
      <c r="E75" s="363"/>
      <c r="F75" s="363"/>
      <c r="G75" s="363"/>
      <c r="H75" s="363"/>
      <c r="I75" s="363"/>
      <c r="J75" s="363"/>
      <c r="K75" s="359"/>
    </row>
    <row r="76" spans="1:11" s="360" customFormat="1">
      <c r="A76" s="364" t="str">
        <f>'Sources and Uses Budget'!$A76</f>
        <v>Other: (Specify)</v>
      </c>
      <c r="B76" s="361">
        <f>'Sources and Uses Budget'!C76</f>
        <v>0</v>
      </c>
      <c r="C76" s="362"/>
      <c r="D76" s="362">
        <f t="shared" si="7"/>
        <v>0</v>
      </c>
      <c r="E76" s="363"/>
      <c r="F76" s="363"/>
      <c r="G76" s="363"/>
      <c r="H76" s="363"/>
      <c r="I76" s="363"/>
      <c r="J76" s="363"/>
      <c r="K76" s="359"/>
    </row>
    <row r="77" spans="1:11" s="360" customFormat="1">
      <c r="A77" s="365" t="s">
        <v>606</v>
      </c>
      <c r="B77" s="361">
        <f>'Sources and Uses Budget'!C77</f>
        <v>1202000</v>
      </c>
      <c r="C77" s="361">
        <f>SUM(C72:C76)</f>
        <v>0</v>
      </c>
      <c r="D77" s="361">
        <f>SUM(D72:D76)</f>
        <v>1202000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6277402</v>
      </c>
      <c r="C79" s="362"/>
      <c r="D79" s="362">
        <f>B79</f>
        <v>6277402</v>
      </c>
      <c r="E79" s="361">
        <f>'Sources and Uses Budget'!S79</f>
        <v>6277402</v>
      </c>
      <c r="F79" s="362"/>
      <c r="G79" s="362">
        <f>E79</f>
        <v>6277402</v>
      </c>
      <c r="H79" s="361">
        <f>'Sources and Uses Budget'!T79</f>
        <v>0</v>
      </c>
      <c r="I79" s="362"/>
      <c r="J79" s="362"/>
      <c r="K79" s="359"/>
    </row>
    <row r="80" spans="1:11" s="360" customFormat="1">
      <c r="A80" s="364" t="s">
        <v>58</v>
      </c>
      <c r="B80" s="361">
        <f>'Sources and Uses Budget'!C80</f>
        <v>1453313</v>
      </c>
      <c r="C80" s="362"/>
      <c r="D80" s="362">
        <f>B80</f>
        <v>1453313</v>
      </c>
      <c r="E80" s="361">
        <f>'Sources and Uses Budget'!S80</f>
        <v>1453313</v>
      </c>
      <c r="F80" s="362"/>
      <c r="G80" s="362">
        <f>E80</f>
        <v>1453313</v>
      </c>
      <c r="H80" s="361">
        <f>'Sources and Uses Budget'!T80</f>
        <v>0</v>
      </c>
      <c r="I80" s="362"/>
      <c r="J80" s="362"/>
      <c r="K80" s="359"/>
    </row>
    <row r="81" spans="1:11" s="360" customFormat="1">
      <c r="A81" s="365" t="s">
        <v>1209</v>
      </c>
      <c r="B81" s="361">
        <f>'Sources and Uses Budget'!C81</f>
        <v>7730715</v>
      </c>
      <c r="C81" s="361">
        <f>SUM(C79:C80)</f>
        <v>0</v>
      </c>
      <c r="D81" s="361">
        <f>SUM(D79:D80)</f>
        <v>7730715</v>
      </c>
      <c r="E81" s="361">
        <f>'Sources and Uses Budget'!S81</f>
        <v>7730715</v>
      </c>
      <c r="F81" s="361">
        <f>SUM(F79:F80)</f>
        <v>0</v>
      </c>
      <c r="G81" s="361">
        <f>SUM(G79:G80)</f>
        <v>7730715</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250000</v>
      </c>
      <c r="C83" s="362"/>
      <c r="D83" s="362">
        <f>B83</f>
        <v>250000</v>
      </c>
      <c r="E83" s="363"/>
      <c r="F83" s="363"/>
      <c r="G83" s="363"/>
      <c r="H83" s="363"/>
      <c r="I83" s="363"/>
      <c r="J83" s="363"/>
      <c r="K83" s="359"/>
    </row>
    <row r="84" spans="1:11" s="360" customFormat="1">
      <c r="A84" s="145" t="s">
        <v>767</v>
      </c>
      <c r="B84" s="361">
        <f>'Sources and Uses Budget'!C84</f>
        <v>125000</v>
      </c>
      <c r="C84" s="362"/>
      <c r="D84" s="362">
        <f t="shared" ref="D84:D95" si="8">B84</f>
        <v>125000</v>
      </c>
      <c r="E84" s="361">
        <f>'Sources and Uses Budget'!S84</f>
        <v>125000</v>
      </c>
      <c r="F84" s="362"/>
      <c r="G84" s="362">
        <f>E84</f>
        <v>125000</v>
      </c>
      <c r="H84" s="361">
        <f>'Sources and Uses Budget'!T84</f>
        <v>0</v>
      </c>
      <c r="I84" s="362"/>
      <c r="J84" s="362"/>
      <c r="K84" s="359"/>
    </row>
    <row r="85" spans="1:11" s="360" customFormat="1">
      <c r="A85" s="145" t="s">
        <v>768</v>
      </c>
      <c r="B85" s="361">
        <f>'Sources and Uses Budget'!C85</f>
        <v>4342187</v>
      </c>
      <c r="C85" s="362"/>
      <c r="D85" s="362">
        <f t="shared" si="8"/>
        <v>4342187</v>
      </c>
      <c r="E85" s="361">
        <f>'Sources and Uses Budget'!S85</f>
        <v>4342187</v>
      </c>
      <c r="F85" s="362"/>
      <c r="G85" s="362">
        <f t="shared" ref="G85:G87" si="9">E85</f>
        <v>4342187</v>
      </c>
      <c r="H85" s="361">
        <f>'Sources and Uses Budget'!T85</f>
        <v>0</v>
      </c>
      <c r="I85" s="362"/>
      <c r="J85" s="362"/>
      <c r="K85" s="359"/>
    </row>
    <row r="86" spans="1:11" s="360" customFormat="1">
      <c r="A86" s="145" t="s">
        <v>769</v>
      </c>
      <c r="B86" s="361">
        <f>'Sources and Uses Budget'!C86</f>
        <v>1732690</v>
      </c>
      <c r="C86" s="362"/>
      <c r="D86" s="362">
        <f t="shared" si="8"/>
        <v>1732690</v>
      </c>
      <c r="E86" s="361">
        <f>'Sources and Uses Budget'!S86</f>
        <v>1732690</v>
      </c>
      <c r="F86" s="362"/>
      <c r="G86" s="362">
        <f t="shared" si="9"/>
        <v>1732690</v>
      </c>
      <c r="H86" s="361">
        <f>'Sources and Uses Budget'!T86</f>
        <v>0</v>
      </c>
      <c r="I86" s="362"/>
      <c r="J86" s="362"/>
      <c r="K86" s="359"/>
    </row>
    <row r="87" spans="1:11" s="360" customFormat="1">
      <c r="A87" s="145" t="s">
        <v>770</v>
      </c>
      <c r="B87" s="361">
        <f>'Sources and Uses Budget'!C87</f>
        <v>0</v>
      </c>
      <c r="C87" s="362"/>
      <c r="D87" s="362">
        <f t="shared" si="8"/>
        <v>0</v>
      </c>
      <c r="E87" s="361">
        <f>'Sources and Uses Budget'!S87</f>
        <v>0</v>
      </c>
      <c r="F87" s="362"/>
      <c r="G87" s="362">
        <f t="shared" si="9"/>
        <v>0</v>
      </c>
      <c r="H87" s="361">
        <f>'Sources and Uses Budget'!T87</f>
        <v>0</v>
      </c>
      <c r="I87" s="362"/>
      <c r="J87" s="362"/>
      <c r="K87" s="359"/>
    </row>
    <row r="88" spans="1:11" s="360" customFormat="1">
      <c r="A88" s="145" t="s">
        <v>771</v>
      </c>
      <c r="B88" s="361">
        <f>'Sources and Uses Budget'!C88</f>
        <v>25000</v>
      </c>
      <c r="C88" s="362"/>
      <c r="D88" s="362">
        <f t="shared" si="8"/>
        <v>25000</v>
      </c>
      <c r="E88" s="363"/>
      <c r="F88" s="363"/>
      <c r="G88" s="363"/>
      <c r="H88" s="363"/>
      <c r="I88" s="363"/>
      <c r="J88" s="363"/>
      <c r="K88" s="359"/>
    </row>
    <row r="89" spans="1:11" s="360" customFormat="1">
      <c r="A89" s="145" t="s">
        <v>772</v>
      </c>
      <c r="B89" s="361">
        <f>'Sources and Uses Budget'!C89</f>
        <v>625000</v>
      </c>
      <c r="C89" s="362"/>
      <c r="D89" s="362">
        <f t="shared" si="8"/>
        <v>625000</v>
      </c>
      <c r="E89" s="361">
        <f>'Sources and Uses Budget'!S89</f>
        <v>625000</v>
      </c>
      <c r="F89" s="362"/>
      <c r="G89" s="362">
        <f>E89</f>
        <v>625000</v>
      </c>
      <c r="H89" s="361">
        <f>'Sources and Uses Budget'!T89</f>
        <v>0</v>
      </c>
      <c r="I89" s="362"/>
      <c r="J89" s="362"/>
      <c r="K89" s="359"/>
    </row>
    <row r="90" spans="1:11" s="360" customFormat="1">
      <c r="A90" s="145" t="s">
        <v>773</v>
      </c>
      <c r="B90" s="361">
        <f>'Sources and Uses Budget'!C90</f>
        <v>15000</v>
      </c>
      <c r="C90" s="362"/>
      <c r="D90" s="362">
        <f t="shared" si="8"/>
        <v>15000</v>
      </c>
      <c r="E90" s="361">
        <f>'Sources and Uses Budget'!S90</f>
        <v>15000</v>
      </c>
      <c r="F90" s="362"/>
      <c r="G90" s="362">
        <f t="shared" ref="G90:G95" si="10">E90</f>
        <v>15000</v>
      </c>
      <c r="H90" s="361">
        <f>'Sources and Uses Budget'!T90</f>
        <v>0</v>
      </c>
      <c r="I90" s="362"/>
      <c r="J90" s="362"/>
      <c r="K90" s="359"/>
    </row>
    <row r="91" spans="1:11" s="360" customFormat="1">
      <c r="A91" s="155" t="s">
        <v>372</v>
      </c>
      <c r="B91" s="361">
        <f>'Sources and Uses Budget'!C91</f>
        <v>25000</v>
      </c>
      <c r="C91" s="362"/>
      <c r="D91" s="362">
        <f t="shared" si="8"/>
        <v>25000</v>
      </c>
      <c r="E91" s="361">
        <f>'Sources and Uses Budget'!S91</f>
        <v>25000</v>
      </c>
      <c r="F91" s="362"/>
      <c r="G91" s="362">
        <f t="shared" si="10"/>
        <v>25000</v>
      </c>
      <c r="H91" s="361">
        <f>'Sources and Uses Budget'!T91</f>
        <v>0</v>
      </c>
      <c r="I91" s="362"/>
      <c r="J91" s="362"/>
      <c r="K91" s="359"/>
    </row>
    <row r="92" spans="1:11" s="360" customFormat="1">
      <c r="A92" s="508" t="s">
        <v>1211</v>
      </c>
      <c r="B92" s="361">
        <f>'Sources and Uses Budget'!C92</f>
        <v>15000</v>
      </c>
      <c r="C92" s="362"/>
      <c r="D92" s="362">
        <f t="shared" si="8"/>
        <v>15000</v>
      </c>
      <c r="E92" s="361">
        <f>'Sources and Uses Budget'!S92</f>
        <v>15000</v>
      </c>
      <c r="F92" s="362"/>
      <c r="G92" s="362">
        <f t="shared" si="10"/>
        <v>15000</v>
      </c>
      <c r="H92" s="361">
        <f>'Sources and Uses Budget'!T92</f>
        <v>0</v>
      </c>
      <c r="I92" s="362"/>
      <c r="J92" s="362"/>
      <c r="K92" s="359"/>
    </row>
    <row r="93" spans="1:11" s="360" customFormat="1">
      <c r="A93" s="364" t="str">
        <f>'Sources and Uses Budget'!$A93</f>
        <v>Other: Lease Up Costs</v>
      </c>
      <c r="B93" s="361">
        <f>'Sources and Uses Budget'!C93</f>
        <v>125000</v>
      </c>
      <c r="C93" s="362"/>
      <c r="D93" s="362">
        <f t="shared" si="8"/>
        <v>125000</v>
      </c>
      <c r="E93" s="361">
        <f>'Sources and Uses Budget'!S93</f>
        <v>0</v>
      </c>
      <c r="F93" s="362"/>
      <c r="G93" s="362">
        <f t="shared" si="10"/>
        <v>0</v>
      </c>
      <c r="H93" s="361">
        <f>'Sources and Uses Budget'!T93</f>
        <v>0</v>
      </c>
      <c r="I93" s="362"/>
      <c r="J93" s="362"/>
      <c r="K93" s="359"/>
    </row>
    <row r="94" spans="1:11" s="360" customFormat="1" ht="24">
      <c r="A94" s="364" t="str">
        <f>'Sources and Uses Budget'!$A94</f>
        <v>Other: Property Management Start Up Fees</v>
      </c>
      <c r="B94" s="361">
        <f>'Sources and Uses Budget'!C94</f>
        <v>75000</v>
      </c>
      <c r="C94" s="362"/>
      <c r="D94" s="362">
        <f t="shared" si="8"/>
        <v>75000</v>
      </c>
      <c r="E94" s="361">
        <f>'Sources and Uses Budget'!S94</f>
        <v>0</v>
      </c>
      <c r="F94" s="362"/>
      <c r="G94" s="362">
        <f t="shared" si="10"/>
        <v>0</v>
      </c>
      <c r="H94" s="361">
        <f>'Sources and Uses Budget'!T94</f>
        <v>0</v>
      </c>
      <c r="I94" s="362"/>
      <c r="J94" s="362"/>
      <c r="K94" s="359"/>
    </row>
    <row r="95" spans="1:11" s="360" customFormat="1">
      <c r="A95" s="364" t="str">
        <f>'Sources and Uses Budget'!$A95</f>
        <v>Other: (Specify)</v>
      </c>
      <c r="B95" s="361">
        <f>'Sources and Uses Budget'!C95</f>
        <v>0</v>
      </c>
      <c r="C95" s="362"/>
      <c r="D95" s="362">
        <f t="shared" si="8"/>
        <v>0</v>
      </c>
      <c r="E95" s="361">
        <f>'Sources and Uses Budget'!S95</f>
        <v>0</v>
      </c>
      <c r="F95" s="362"/>
      <c r="G95" s="362">
        <f t="shared" si="10"/>
        <v>0</v>
      </c>
      <c r="H95" s="361">
        <f>'Sources and Uses Budget'!T95</f>
        <v>0</v>
      </c>
      <c r="I95" s="362"/>
      <c r="J95" s="362"/>
      <c r="K95" s="359"/>
    </row>
    <row r="96" spans="1:11" s="360" customFormat="1">
      <c r="A96" s="365" t="s">
        <v>774</v>
      </c>
      <c r="B96" s="361">
        <f>'Sources and Uses Budget'!C96</f>
        <v>7354877</v>
      </c>
      <c r="C96" s="361">
        <f>SUM(C83:C95)</f>
        <v>0</v>
      </c>
      <c r="D96" s="361">
        <f>SUM(D83:D95)</f>
        <v>7354877</v>
      </c>
      <c r="E96" s="361">
        <f>'Sources and Uses Budget'!S96</f>
        <v>6879877</v>
      </c>
      <c r="F96" s="367">
        <f>SUM(F84:F87,F89:F95)</f>
        <v>0</v>
      </c>
      <c r="G96" s="367">
        <f>SUM(G84:G87,G89:G95)</f>
        <v>6879877</v>
      </c>
      <c r="H96" s="361">
        <f>'Sources and Uses Budget'!T96</f>
        <v>0</v>
      </c>
      <c r="I96" s="361">
        <f>SUM(I84:I87,I89:I95)</f>
        <v>0</v>
      </c>
      <c r="J96" s="361">
        <f>SUM(J84:J87,J89:J95)</f>
        <v>0</v>
      </c>
      <c r="K96" s="359"/>
    </row>
    <row r="97" spans="1:11" s="360" customFormat="1">
      <c r="A97" s="365" t="s">
        <v>1029</v>
      </c>
      <c r="B97" s="361">
        <f>'Sources and Uses Budget'!C97</f>
        <v>152631135</v>
      </c>
      <c r="C97" s="361">
        <f>SUM(C63+C70+C77+C81+C96)</f>
        <v>0</v>
      </c>
      <c r="D97" s="361">
        <f>SUM(D63+D70+D77+D81+D96)</f>
        <v>152631135</v>
      </c>
      <c r="E97" s="361">
        <f>'Sources and Uses Budget'!S97</f>
        <v>132497733</v>
      </c>
      <c r="F97" s="367">
        <f>SUM(+F63+F70+F81+F96)</f>
        <v>0</v>
      </c>
      <c r="G97" s="367">
        <f>SUM(+G63+G70+G81+G96)</f>
        <v>132497733</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9961739</v>
      </c>
      <c r="C99" s="362"/>
      <c r="D99" s="362">
        <f>B99</f>
        <v>9961739</v>
      </c>
      <c r="E99" s="361">
        <f>'Sources and Uses Budget'!S99</f>
        <v>9961739</v>
      </c>
      <c r="F99" s="362"/>
      <c r="G99" s="362">
        <f>E99</f>
        <v>9961739</v>
      </c>
      <c r="H99" s="361">
        <f>'Sources and Uses Budget'!T99</f>
        <v>0</v>
      </c>
      <c r="I99" s="362"/>
      <c r="J99" s="362"/>
      <c r="K99" s="359"/>
    </row>
    <row r="100" spans="1:11" s="360" customFormat="1">
      <c r="A100" s="283" t="s">
        <v>1646</v>
      </c>
      <c r="B100" s="361">
        <f>'Sources and Uses Budget'!C100</f>
        <v>0</v>
      </c>
      <c r="C100" s="362"/>
      <c r="D100" s="362">
        <f t="shared" ref="D100:D103" si="11">B100</f>
        <v>0</v>
      </c>
      <c r="E100" s="361">
        <f>'Sources and Uses Budget'!S100</f>
        <v>0</v>
      </c>
      <c r="F100" s="362"/>
      <c r="G100" s="362">
        <f t="shared" ref="G100:G103" si="12">E100</f>
        <v>0</v>
      </c>
      <c r="H100" s="361">
        <f>'Sources and Uses Budget'!T100</f>
        <v>0</v>
      </c>
      <c r="I100" s="362"/>
      <c r="J100" s="362"/>
      <c r="K100" s="359"/>
    </row>
    <row r="101" spans="1:11" s="360" customFormat="1">
      <c r="A101" s="145" t="s">
        <v>778</v>
      </c>
      <c r="B101" s="361">
        <f>'Sources and Uses Budget'!C101</f>
        <v>0</v>
      </c>
      <c r="C101" s="362"/>
      <c r="D101" s="362">
        <f t="shared" si="11"/>
        <v>0</v>
      </c>
      <c r="E101" s="361">
        <f>'Sources and Uses Budget'!S101</f>
        <v>0</v>
      </c>
      <c r="F101" s="362"/>
      <c r="G101" s="362">
        <f t="shared" si="12"/>
        <v>0</v>
      </c>
      <c r="H101" s="361">
        <f>'Sources and Uses Budget'!T101</f>
        <v>0</v>
      </c>
      <c r="I101" s="362"/>
      <c r="J101" s="362"/>
      <c r="K101" s="359"/>
    </row>
    <row r="102" spans="1:11" s="360" customFormat="1" ht="12" customHeight="1">
      <c r="A102" s="283" t="s">
        <v>1647</v>
      </c>
      <c r="B102" s="361">
        <f>'Sources and Uses Budget'!C102</f>
        <v>0</v>
      </c>
      <c r="C102" s="362"/>
      <c r="D102" s="362">
        <f t="shared" si="11"/>
        <v>0</v>
      </c>
      <c r="E102" s="361">
        <f>'Sources and Uses Budget'!S102</f>
        <v>0</v>
      </c>
      <c r="F102" s="362"/>
      <c r="G102" s="362">
        <f t="shared" si="12"/>
        <v>0</v>
      </c>
      <c r="H102" s="361">
        <f>'Sources and Uses Budget'!T102</f>
        <v>0</v>
      </c>
      <c r="I102" s="362"/>
      <c r="J102" s="362"/>
      <c r="K102" s="359"/>
    </row>
    <row r="103" spans="1:11" s="360" customFormat="1">
      <c r="A103" s="364" t="str">
        <f>'Sources and Uses Budget'!$A103</f>
        <v>Other: (Specify)</v>
      </c>
      <c r="B103" s="361">
        <f>'Sources and Uses Budget'!C103</f>
        <v>0</v>
      </c>
      <c r="C103" s="362"/>
      <c r="D103" s="362">
        <f t="shared" si="11"/>
        <v>0</v>
      </c>
      <c r="E103" s="361">
        <f>'Sources and Uses Budget'!S103</f>
        <v>0</v>
      </c>
      <c r="F103" s="362"/>
      <c r="G103" s="362">
        <f t="shared" si="12"/>
        <v>0</v>
      </c>
      <c r="H103" s="361">
        <f>'Sources and Uses Budget'!T103</f>
        <v>0</v>
      </c>
      <c r="I103" s="362"/>
      <c r="J103" s="362"/>
      <c r="K103" s="359"/>
    </row>
    <row r="104" spans="1:11" s="360" customFormat="1">
      <c r="A104" s="365" t="s">
        <v>779</v>
      </c>
      <c r="B104" s="361">
        <f>'Sources and Uses Budget'!C104</f>
        <v>9961739</v>
      </c>
      <c r="C104" s="361">
        <f>SUM(C99:C103)</f>
        <v>0</v>
      </c>
      <c r="D104" s="361">
        <f>SUM(D99:D103)</f>
        <v>9961739</v>
      </c>
      <c r="E104" s="361">
        <f>'Sources and Uses Budget'!S104</f>
        <v>9961739</v>
      </c>
      <c r="F104" s="367">
        <f>SUM(F99:F103)</f>
        <v>0</v>
      </c>
      <c r="G104" s="367">
        <f>SUM(G99:G103)</f>
        <v>9961739</v>
      </c>
      <c r="H104" s="361">
        <f>'Sources and Uses Budget'!T104</f>
        <v>0</v>
      </c>
      <c r="I104" s="367">
        <f>SUM(I99:I103)</f>
        <v>0</v>
      </c>
      <c r="J104" s="367">
        <f>SUM(J99:J103)</f>
        <v>0</v>
      </c>
      <c r="K104" s="359"/>
    </row>
    <row r="105" spans="1:11" s="360" customFormat="1">
      <c r="A105" s="365" t="s">
        <v>1030</v>
      </c>
      <c r="B105" s="361">
        <f>'Sources and Uses Budget'!C105</f>
        <v>162592874</v>
      </c>
      <c r="C105" s="367">
        <f>SUM(C97+C104)</f>
        <v>0</v>
      </c>
      <c r="D105" s="367">
        <f>SUM(D97+D104)</f>
        <v>162592874</v>
      </c>
      <c r="E105" s="361">
        <f>'Sources and Uses Budget'!S105</f>
        <v>142459472</v>
      </c>
      <c r="F105" s="367">
        <f>F97+F104</f>
        <v>0</v>
      </c>
      <c r="G105" s="367">
        <f>G97+G104</f>
        <v>142459472</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142459472</v>
      </c>
      <c r="F107" s="367">
        <f>F105+F106</f>
        <v>0</v>
      </c>
      <c r="G107" s="367">
        <f>G105+G106</f>
        <v>142459472</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82"/>
      <c r="E124" s="1320"/>
      <c r="F124" s="1320"/>
      <c r="G124" s="1320"/>
      <c r="H124" s="1320"/>
      <c r="I124" s="1320"/>
      <c r="J124" s="376"/>
      <c r="K124" s="359"/>
    </row>
    <row r="125" spans="1:11" s="360" customFormat="1" ht="12.75">
      <c r="A125" s="385"/>
      <c r="B125" s="384"/>
      <c r="C125" s="385"/>
      <c r="D125" s="1320"/>
      <c r="E125" s="1320"/>
      <c r="F125" s="1320"/>
      <c r="G125" s="1320"/>
      <c r="H125" s="1320"/>
      <c r="I125" s="1320"/>
      <c r="J125" s="376"/>
      <c r="K125" s="359"/>
    </row>
    <row r="126" spans="1:11" s="360" customFormat="1" ht="12.75">
      <c r="A126" s="385"/>
      <c r="B126" s="384"/>
      <c r="C126" s="385"/>
      <c r="D126" s="1320"/>
      <c r="E126" s="1320"/>
      <c r="F126" s="1320"/>
      <c r="G126" s="1320"/>
      <c r="H126" s="1320"/>
      <c r="I126" s="1320"/>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83"/>
      <c r="B139" s="1320"/>
      <c r="C139" s="1320"/>
      <c r="D139" s="356"/>
      <c r="E139" s="385"/>
      <c r="F139" s="385"/>
      <c r="G139" s="385"/>
    </row>
    <row r="140" spans="1:11" ht="12" customHeight="1">
      <c r="A140" s="1307"/>
      <c r="B140" s="1307"/>
      <c r="C140" s="1307"/>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32" t="s">
        <v>2458</v>
      </c>
      <c r="B1" s="2333"/>
      <c r="C1" s="2333"/>
      <c r="D1" s="2333"/>
      <c r="E1" s="2333"/>
      <c r="F1" s="2333"/>
      <c r="G1" s="2333"/>
      <c r="H1" s="2333"/>
      <c r="I1" s="2333"/>
      <c r="J1" s="2333"/>
      <c r="K1" s="2333"/>
      <c r="L1" s="2333"/>
      <c r="M1" s="2333"/>
      <c r="N1" s="2333"/>
      <c r="O1" s="2333"/>
      <c r="P1" s="2333"/>
      <c r="Q1" s="2333"/>
      <c r="R1" s="2333"/>
      <c r="S1" s="2333"/>
      <c r="T1" s="2333"/>
      <c r="U1" s="2333"/>
      <c r="V1" s="2333"/>
      <c r="W1" s="2333"/>
      <c r="X1" s="2333"/>
      <c r="Y1" s="2333"/>
      <c r="Z1" s="2333"/>
      <c r="AA1" s="2333"/>
      <c r="AB1" s="2333"/>
      <c r="AC1" s="2333"/>
      <c r="AD1" s="2333"/>
      <c r="AE1" s="2333"/>
      <c r="AF1" s="2333"/>
      <c r="AG1" s="2333"/>
      <c r="AH1" s="2333"/>
      <c r="AI1" s="2333"/>
      <c r="AJ1" s="2333"/>
      <c r="AK1" s="2333"/>
      <c r="AL1" s="2333"/>
      <c r="AM1" s="2333"/>
      <c r="AN1" s="2333"/>
      <c r="AO1" s="2333"/>
      <c r="AP1" s="2333"/>
      <c r="AQ1" s="2333"/>
      <c r="AR1" s="2333"/>
      <c r="AS1" s="2333"/>
      <c r="AT1" s="2333"/>
      <c r="AU1" s="2333"/>
      <c r="AV1" s="2333"/>
      <c r="AW1" s="2333"/>
      <c r="AX1" s="2333"/>
      <c r="AY1" s="2333"/>
      <c r="AZ1" s="2333"/>
      <c r="BA1" s="2333"/>
      <c r="BB1" s="2333"/>
      <c r="BC1" s="2333"/>
      <c r="BD1" s="2333"/>
      <c r="BE1" s="2334"/>
    </row>
    <row r="2" spans="1:65" ht="15.75" customHeight="1">
      <c r="A2" s="2335" t="s">
        <v>2457</v>
      </c>
      <c r="B2" s="2336"/>
      <c r="C2" s="2336"/>
      <c r="D2" s="2336"/>
      <c r="E2" s="2336"/>
      <c r="F2" s="2336"/>
      <c r="G2" s="2336"/>
      <c r="H2" s="2336"/>
      <c r="I2" s="2336"/>
      <c r="J2" s="2336"/>
      <c r="K2" s="2336"/>
      <c r="L2" s="2336"/>
      <c r="M2" s="2336"/>
      <c r="N2" s="2336"/>
      <c r="O2" s="2336"/>
      <c r="P2" s="2336"/>
      <c r="Q2" s="2336"/>
      <c r="R2" s="2336"/>
      <c r="S2" s="2336"/>
      <c r="T2" s="2336"/>
      <c r="U2" s="2336"/>
      <c r="V2" s="2336"/>
      <c r="W2" s="2336"/>
      <c r="X2" s="2336"/>
      <c r="Y2" s="2336"/>
      <c r="Z2" s="2336"/>
      <c r="AA2" s="2336"/>
      <c r="AB2" s="2336"/>
      <c r="AC2" s="2336"/>
      <c r="AD2" s="2336"/>
      <c r="AE2" s="2336"/>
      <c r="AF2" s="2336"/>
      <c r="AG2" s="2336"/>
      <c r="AH2" s="2336"/>
      <c r="AI2" s="2336"/>
      <c r="AJ2" s="2336"/>
      <c r="AK2" s="2336"/>
      <c r="AL2" s="2336"/>
      <c r="AM2" s="2336"/>
      <c r="AN2" s="2336"/>
      <c r="AO2" s="2336"/>
      <c r="AP2" s="2336"/>
      <c r="AQ2" s="2336"/>
      <c r="AR2" s="2336"/>
      <c r="AS2" s="2336"/>
      <c r="AT2" s="2336"/>
      <c r="AU2" s="2336"/>
      <c r="AV2" s="2336"/>
      <c r="AW2" s="2336"/>
      <c r="AX2" s="2336"/>
      <c r="AY2" s="2336"/>
      <c r="AZ2" s="2336"/>
      <c r="BA2" s="2336"/>
      <c r="BB2" s="2336"/>
      <c r="BC2" s="2336"/>
      <c r="BD2" s="2336"/>
      <c r="BE2" s="233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24" t="str">
        <f>IF(Application!H18="","",Application!H18)</f>
        <v>Berryessa TOD</v>
      </c>
      <c r="M4" s="2325"/>
      <c r="N4" s="2325"/>
      <c r="O4" s="2325"/>
      <c r="P4" s="2325"/>
      <c r="Q4" s="2325"/>
      <c r="R4" s="2325"/>
      <c r="S4" s="2325"/>
      <c r="T4" s="2325"/>
      <c r="U4" s="2325"/>
      <c r="V4" s="2325"/>
      <c r="W4" s="2325"/>
      <c r="X4" s="2325"/>
      <c r="Y4" s="2325"/>
      <c r="Z4" s="2325"/>
      <c r="AA4" s="2325"/>
      <c r="AB4" s="2325"/>
      <c r="AC4" s="2326"/>
      <c r="AD4" s="1190"/>
      <c r="AE4" s="1190"/>
      <c r="AF4" s="2320" t="s">
        <v>2456</v>
      </c>
      <c r="AG4" s="2320"/>
      <c r="AH4" s="2320"/>
      <c r="AI4" s="2320"/>
      <c r="AJ4" s="2320"/>
      <c r="AK4" s="2320"/>
      <c r="AL4" s="2320"/>
      <c r="AM4" s="2320"/>
      <c r="AN4" s="2320"/>
      <c r="AO4" s="2320"/>
      <c r="AP4" s="2321"/>
      <c r="AQ4" s="2322"/>
      <c r="AR4" s="2322"/>
      <c r="AS4" s="2322"/>
      <c r="AT4" s="2322"/>
      <c r="AU4" s="2322"/>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20" t="s">
        <v>2455</v>
      </c>
      <c r="AG5" s="2320"/>
      <c r="AH5" s="2320"/>
      <c r="AI5" s="2320"/>
      <c r="AJ5" s="2320"/>
      <c r="AK5" s="2320"/>
      <c r="AL5" s="2320"/>
      <c r="AM5" s="2320"/>
      <c r="AN5" s="2320"/>
      <c r="AO5" s="2320"/>
      <c r="AP5" s="2321"/>
      <c r="AQ5" s="2322"/>
      <c r="AR5" s="2322"/>
      <c r="AS5" s="2322"/>
      <c r="AT5" s="2322"/>
      <c r="AU5" s="2322"/>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24" t="str">
        <f>IF(Application!H16="","",Application!H16)</f>
        <v>Berryessa Affordable Housing, LP</v>
      </c>
      <c r="M6" s="2325"/>
      <c r="N6" s="2325"/>
      <c r="O6" s="2325"/>
      <c r="P6" s="2325"/>
      <c r="Q6" s="2325"/>
      <c r="R6" s="2325"/>
      <c r="S6" s="2325"/>
      <c r="T6" s="2325"/>
      <c r="U6" s="2325"/>
      <c r="V6" s="2325"/>
      <c r="W6" s="2325"/>
      <c r="X6" s="2325"/>
      <c r="Y6" s="2325"/>
      <c r="Z6" s="2325"/>
      <c r="AA6" s="2325"/>
      <c r="AB6" s="2325"/>
      <c r="AC6" s="2326"/>
      <c r="AD6" s="1190"/>
      <c r="AE6" s="1190"/>
      <c r="AF6" s="2327" t="s">
        <v>2453</v>
      </c>
      <c r="AG6" s="2327"/>
      <c r="AH6" s="2327"/>
      <c r="AI6" s="2327"/>
      <c r="AJ6" s="2327"/>
      <c r="AK6" s="2327"/>
      <c r="AL6" s="2327"/>
      <c r="AM6" s="2327"/>
      <c r="AN6" s="2327"/>
      <c r="AO6" s="2327"/>
      <c r="AP6" s="2328"/>
      <c r="AQ6" s="2328"/>
      <c r="AR6" s="2328"/>
      <c r="AS6" s="2328"/>
      <c r="AT6" s="2328"/>
      <c r="AU6" s="2328"/>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7" t="s">
        <v>2452</v>
      </c>
      <c r="AG7" s="2327"/>
      <c r="AH7" s="2327"/>
      <c r="AI7" s="2327"/>
      <c r="AJ7" s="2327"/>
      <c r="AK7" s="2327"/>
      <c r="AL7" s="2327"/>
      <c r="AM7" s="2327"/>
      <c r="AN7" s="2327"/>
      <c r="AO7" s="2327"/>
      <c r="AP7" s="2328"/>
      <c r="AQ7" s="2328"/>
      <c r="AR7" s="2328"/>
      <c r="AS7" s="2328"/>
      <c r="AT7" s="2328"/>
      <c r="AU7" s="2328"/>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9" t="str">
        <f>Application!T197</f>
        <v>No</v>
      </c>
      <c r="AC8" s="2330"/>
      <c r="AD8" s="2331"/>
      <c r="AE8" s="1190"/>
      <c r="AF8" s="2327" t="s">
        <v>2450</v>
      </c>
      <c r="AG8" s="2327"/>
      <c r="AH8" s="2327"/>
      <c r="AI8" s="2327"/>
      <c r="AJ8" s="2327"/>
      <c r="AK8" s="2327"/>
      <c r="AL8" s="2327"/>
      <c r="AM8" s="2327"/>
      <c r="AN8" s="2327"/>
      <c r="AO8" s="2327"/>
      <c r="AP8" s="2328" t="s">
        <v>2099</v>
      </c>
      <c r="AQ8" s="2328"/>
      <c r="AR8" s="2328"/>
      <c r="AS8" s="2328"/>
      <c r="AT8" s="2328"/>
      <c r="AU8" s="2328"/>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20" t="s">
        <v>2449</v>
      </c>
      <c r="AG9" s="2320"/>
      <c r="AH9" s="2320"/>
      <c r="AI9" s="2320"/>
      <c r="AJ9" s="2320"/>
      <c r="AK9" s="2320"/>
      <c r="AL9" s="2320"/>
      <c r="AM9" s="2320"/>
      <c r="AN9" s="2320"/>
      <c r="AO9" s="2320"/>
      <c r="AP9" s="2321"/>
      <c r="AQ9" s="2322"/>
      <c r="AR9" s="2322"/>
      <c r="AS9" s="2322"/>
      <c r="AT9" s="2322"/>
      <c r="AU9" s="2322"/>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23">
        <f>Application!AO627</f>
        <v>42344703</v>
      </c>
      <c r="O10" s="2323"/>
      <c r="P10" s="2323"/>
      <c r="Q10" s="2323"/>
      <c r="R10" s="2323"/>
      <c r="S10" s="2323"/>
      <c r="T10" s="2323"/>
      <c r="U10" s="1190"/>
      <c r="V10" s="1190"/>
      <c r="W10" s="1190"/>
      <c r="X10" s="1193"/>
      <c r="Y10" s="1193"/>
      <c r="Z10" s="1193"/>
      <c r="AA10" s="1193"/>
      <c r="AB10" s="1193"/>
      <c r="AC10" s="1193"/>
      <c r="AD10" s="1193"/>
      <c r="AE10" s="1193"/>
      <c r="AF10" s="2320" t="s">
        <v>2446</v>
      </c>
      <c r="AG10" s="2320"/>
      <c r="AH10" s="2320"/>
      <c r="AI10" s="2320"/>
      <c r="AJ10" s="2320"/>
      <c r="AK10" s="2320"/>
      <c r="AL10" s="2320"/>
      <c r="AM10" s="2320"/>
      <c r="AN10" s="2320"/>
      <c r="AO10" s="2320"/>
      <c r="AP10" s="2321"/>
      <c r="AQ10" s="2322"/>
      <c r="AR10" s="2322"/>
      <c r="AS10" s="2322"/>
      <c r="AT10" s="2322"/>
      <c r="AU10" s="2322"/>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23">
        <f>Application!AA934</f>
        <v>0</v>
      </c>
      <c r="O11" s="2323"/>
      <c r="P11" s="2323"/>
      <c r="Q11" s="2323"/>
      <c r="R11" s="2323"/>
      <c r="S11" s="2323"/>
      <c r="T11" s="2323"/>
      <c r="U11" s="1190"/>
      <c r="V11" s="1190"/>
      <c r="W11" s="1190"/>
      <c r="X11" s="1193"/>
      <c r="Y11" s="1193"/>
      <c r="Z11" s="1193"/>
      <c r="AA11" s="1193"/>
      <c r="AB11" s="1193"/>
      <c r="AC11" s="1193"/>
      <c r="AD11" s="1193"/>
      <c r="AE11" s="1193"/>
      <c r="AF11" s="2320" t="s">
        <v>2443</v>
      </c>
      <c r="AG11" s="2320"/>
      <c r="AH11" s="2320"/>
      <c r="AI11" s="2320"/>
      <c r="AJ11" s="2320"/>
      <c r="AK11" s="2320"/>
      <c r="AL11" s="2320"/>
      <c r="AM11" s="2320"/>
      <c r="AN11" s="2320"/>
      <c r="AO11" s="2320"/>
      <c r="AP11" s="2321"/>
      <c r="AQ11" s="2322"/>
      <c r="AR11" s="2322"/>
      <c r="AS11" s="2322"/>
      <c r="AT11" s="2322"/>
      <c r="AU11" s="2322"/>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2311" t="s">
        <v>2441</v>
      </c>
      <c r="C13" s="2312"/>
      <c r="D13" s="2312"/>
      <c r="E13" s="2312"/>
      <c r="F13" s="2312"/>
      <c r="G13" s="2312"/>
      <c r="H13" s="2312"/>
      <c r="I13" s="2312"/>
      <c r="J13" s="2312"/>
      <c r="K13" s="2312"/>
      <c r="L13" s="2312"/>
      <c r="M13" s="2312"/>
      <c r="N13" s="2312"/>
      <c r="O13" s="2312"/>
      <c r="P13" s="2313"/>
      <c r="Q13" s="2314" t="s">
        <v>669</v>
      </c>
      <c r="R13" s="2315"/>
      <c r="S13" s="2315"/>
      <c r="T13" s="2316"/>
      <c r="U13" s="1193"/>
      <c r="V13" s="1190"/>
      <c r="W13" s="1190"/>
      <c r="X13" s="1190"/>
      <c r="Y13" s="1190"/>
      <c r="Z13" s="1190"/>
      <c r="AA13" s="2301" t="s">
        <v>2440</v>
      </c>
      <c r="AB13" s="2301"/>
      <c r="AC13" s="2301"/>
      <c r="AD13" s="2301"/>
      <c r="AE13" s="2301"/>
      <c r="AF13" s="2301"/>
      <c r="AG13" s="2301"/>
      <c r="AH13" s="2301"/>
      <c r="AI13" s="2301"/>
      <c r="AJ13" s="2301"/>
      <c r="AK13" s="2301"/>
      <c r="AL13" s="2301"/>
      <c r="AM13" s="2301"/>
      <c r="AN13" s="2301"/>
      <c r="AO13" s="2317">
        <f>Application!W473</f>
        <v>0</v>
      </c>
      <c r="AP13" s="2318"/>
      <c r="AQ13" s="2318"/>
      <c r="AR13" s="2318"/>
      <c r="AS13" s="2318"/>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9" t="s">
        <v>2438</v>
      </c>
      <c r="AB14" s="2319"/>
      <c r="AC14" s="2319"/>
      <c r="AD14" s="2319"/>
      <c r="AE14" s="2319"/>
      <c r="AF14" s="2319"/>
      <c r="AG14" s="2319"/>
      <c r="AH14" s="2319"/>
      <c r="AI14" s="2319"/>
      <c r="AJ14" s="2319"/>
      <c r="AK14" s="2319"/>
      <c r="AL14" s="2319"/>
      <c r="AM14" s="2319"/>
      <c r="AN14" s="2319"/>
      <c r="AO14" s="2302"/>
      <c r="AP14" s="2303"/>
      <c r="AQ14" s="2303"/>
      <c r="AR14" s="2303"/>
      <c r="AS14" s="2303"/>
      <c r="AT14" s="1193"/>
      <c r="AU14" s="1193"/>
      <c r="AV14" s="1193"/>
      <c r="AW14" s="1193"/>
      <c r="AX14" s="1193"/>
      <c r="AY14" s="1193"/>
      <c r="AZ14" s="1193"/>
      <c r="BA14" s="1193"/>
      <c r="BB14" s="1193"/>
      <c r="BC14" s="1193"/>
      <c r="BD14" s="1193"/>
      <c r="BE14" s="1194"/>
    </row>
    <row r="15" spans="1:65" thickBot="1">
      <c r="A15" s="1190"/>
      <c r="B15" s="2296" t="s">
        <v>2437</v>
      </c>
      <c r="C15" s="2297"/>
      <c r="D15" s="2297"/>
      <c r="E15" s="2297"/>
      <c r="F15" s="2297"/>
      <c r="G15" s="2297"/>
      <c r="H15" s="2297"/>
      <c r="I15" s="2297"/>
      <c r="J15" s="2297"/>
      <c r="K15" s="2297"/>
      <c r="L15" s="2297"/>
      <c r="M15" s="2297"/>
      <c r="N15" s="2297"/>
      <c r="O15" s="2297"/>
      <c r="P15" s="2297"/>
      <c r="Q15" s="2297"/>
      <c r="R15" s="2298"/>
      <c r="S15" s="2299" t="str">
        <f>IF(Application!AB214="","",Application!AB214)</f>
        <v/>
      </c>
      <c r="T15" s="2299"/>
      <c r="U15" s="2299"/>
      <c r="V15" s="2299"/>
      <c r="W15" s="2300"/>
      <c r="X15" s="1193"/>
      <c r="Y15" s="1190"/>
      <c r="Z15" s="1190"/>
      <c r="AA15" s="2301" t="s">
        <v>2436</v>
      </c>
      <c r="AB15" s="2301"/>
      <c r="AC15" s="2301"/>
      <c r="AD15" s="2301"/>
      <c r="AE15" s="2301"/>
      <c r="AF15" s="2301"/>
      <c r="AG15" s="2301"/>
      <c r="AH15" s="2301"/>
      <c r="AI15" s="2301"/>
      <c r="AJ15" s="2301"/>
      <c r="AK15" s="2301"/>
      <c r="AL15" s="2301"/>
      <c r="AM15" s="2301"/>
      <c r="AN15" s="2301"/>
      <c r="AO15" s="2302"/>
      <c r="AP15" s="2303"/>
      <c r="AQ15" s="2303"/>
      <c r="AR15" s="2303"/>
      <c r="AS15" s="2303"/>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9" t="s">
        <v>2435</v>
      </c>
      <c r="C17" s="2110"/>
      <c r="D17" s="2110"/>
      <c r="E17" s="2110"/>
      <c r="F17" s="2110"/>
      <c r="G17" s="2110"/>
      <c r="H17" s="2110"/>
      <c r="I17" s="2110"/>
      <c r="J17" s="2110"/>
      <c r="K17" s="2110"/>
      <c r="L17" s="2110"/>
      <c r="M17" s="2110"/>
      <c r="N17" s="2110"/>
      <c r="O17" s="2110"/>
      <c r="P17" s="2110"/>
      <c r="Q17" s="2110"/>
      <c r="R17" s="2110"/>
      <c r="S17" s="2110"/>
      <c r="T17" s="2110"/>
      <c r="U17" s="2110"/>
      <c r="V17" s="2110"/>
      <c r="W17" s="2110"/>
      <c r="X17" s="2110"/>
      <c r="Y17" s="2110"/>
      <c r="Z17" s="2110"/>
      <c r="AA17" s="2110"/>
      <c r="AB17" s="2110"/>
      <c r="AC17" s="2110"/>
      <c r="AD17" s="2110"/>
      <c r="AE17" s="2110"/>
      <c r="AF17" s="2110"/>
      <c r="AG17" s="2110"/>
      <c r="AH17" s="2110"/>
      <c r="AI17" s="2110"/>
      <c r="AJ17" s="2110"/>
      <c r="AK17" s="2110"/>
      <c r="AL17" s="2110"/>
      <c r="AM17" s="2110"/>
      <c r="AN17" s="2110"/>
      <c r="AO17" s="2110"/>
      <c r="AP17" s="2110"/>
      <c r="AQ17" s="2110"/>
      <c r="AR17" s="2110"/>
      <c r="AS17" s="2110"/>
      <c r="AT17" s="2110"/>
      <c r="AU17" s="2110"/>
      <c r="AV17" s="2110"/>
      <c r="AW17" s="2110"/>
      <c r="AX17" s="2110"/>
      <c r="AY17" s="2111"/>
      <c r="AZ17" s="1190"/>
      <c r="BA17" s="1190"/>
      <c r="BB17" s="1190"/>
      <c r="BC17" s="1190"/>
      <c r="BD17" s="1190"/>
      <c r="BE17" s="1194"/>
      <c r="BF17" s="1188"/>
    </row>
    <row r="18" spans="1:58" ht="15.75" customHeight="1">
      <c r="A18" s="1190"/>
      <c r="B18" s="2304" t="s">
        <v>2434</v>
      </c>
      <c r="C18" s="2305"/>
      <c r="D18" s="2305"/>
      <c r="E18" s="2305"/>
      <c r="F18" s="2305"/>
      <c r="G18" s="2305"/>
      <c r="H18" s="2305"/>
      <c r="I18" s="2306"/>
      <c r="J18" s="2307" t="s">
        <v>1586</v>
      </c>
      <c r="K18" s="2308"/>
      <c r="L18" s="2308"/>
      <c r="M18" s="2308"/>
      <c r="N18" s="2308"/>
      <c r="O18" s="2309"/>
      <c r="P18" s="2307" t="s">
        <v>324</v>
      </c>
      <c r="Q18" s="2308"/>
      <c r="R18" s="2308"/>
      <c r="S18" s="2308"/>
      <c r="T18" s="2308"/>
      <c r="U18" s="2309"/>
      <c r="V18" s="2307" t="s">
        <v>325</v>
      </c>
      <c r="W18" s="2308"/>
      <c r="X18" s="2308"/>
      <c r="Y18" s="2308"/>
      <c r="Z18" s="2308"/>
      <c r="AA18" s="2309"/>
      <c r="AB18" s="2307" t="s">
        <v>163</v>
      </c>
      <c r="AC18" s="2308"/>
      <c r="AD18" s="2308"/>
      <c r="AE18" s="2308"/>
      <c r="AF18" s="2308"/>
      <c r="AG18" s="2309"/>
      <c r="AH18" s="2307" t="s">
        <v>164</v>
      </c>
      <c r="AI18" s="2308"/>
      <c r="AJ18" s="2308"/>
      <c r="AK18" s="2308"/>
      <c r="AL18" s="2308"/>
      <c r="AM18" s="2309"/>
      <c r="AN18" s="2307" t="s">
        <v>165</v>
      </c>
      <c r="AO18" s="2308"/>
      <c r="AP18" s="2308"/>
      <c r="AQ18" s="2308"/>
      <c r="AR18" s="2308"/>
      <c r="AS18" s="2309"/>
      <c r="AT18" s="2307" t="s">
        <v>2433</v>
      </c>
      <c r="AU18" s="2308"/>
      <c r="AV18" s="2308"/>
      <c r="AW18" s="2308"/>
      <c r="AX18" s="2308"/>
      <c r="AY18" s="2310"/>
      <c r="AZ18" s="1190"/>
      <c r="BA18" s="1190"/>
      <c r="BB18" s="1190"/>
      <c r="BC18" s="1190"/>
      <c r="BD18" s="1190"/>
      <c r="BE18" s="1194"/>
    </row>
    <row r="19" spans="1:58" ht="15">
      <c r="A19" s="1190"/>
      <c r="B19" s="2290">
        <v>0.3</v>
      </c>
      <c r="C19" s="2291"/>
      <c r="D19" s="2291"/>
      <c r="E19" s="2291"/>
      <c r="F19" s="2291"/>
      <c r="G19" s="2291"/>
      <c r="H19" s="2291"/>
      <c r="I19" s="2292"/>
      <c r="J19" s="2293">
        <f t="shared" ref="J19:J24" si="0">SUM(P19:AS19)</f>
        <v>50</v>
      </c>
      <c r="K19" s="2294"/>
      <c r="L19" s="2294"/>
      <c r="M19" s="2294"/>
      <c r="N19" s="2294"/>
      <c r="O19" s="2295"/>
      <c r="P19" s="2293" cm="1">
        <f t="array" ref="P19">SUMPRODUCT((Application!$B$718:$B$752 = 'CalHFA Addendum'!P$18)*(Application!$AC$718:$AC$752 = 'CalHFA Addendum'!$B19),Application!$G$718:$G$752)</f>
        <v>1</v>
      </c>
      <c r="Q19" s="2294"/>
      <c r="R19" s="2294"/>
      <c r="S19" s="2294"/>
      <c r="T19" s="2294"/>
      <c r="U19" s="2295"/>
      <c r="V19" s="2293" cm="1">
        <f t="array" ref="V19">SUMPRODUCT((Application!$B$714:$B$738 = 'CalHFA Addendum'!V$18)*(Application!$AC$714:$AC$738 = 'CalHFA Addendum'!$B19),Application!$G$714:$G$738)</f>
        <v>25</v>
      </c>
      <c r="W19" s="2294"/>
      <c r="X19" s="2294"/>
      <c r="Y19" s="2294"/>
      <c r="Z19" s="2294"/>
      <c r="AA19" s="2295"/>
      <c r="AB19" s="2293" cm="1">
        <f t="array" ref="AB19">SUMPRODUCT((Application!$B$714:$B$738 = 'CalHFA Addendum'!AB$18)*(Application!$AC$714:$AC$738 = 'CalHFA Addendum'!$B19),Application!$G$714:$G$738)</f>
        <v>14</v>
      </c>
      <c r="AC19" s="2294"/>
      <c r="AD19" s="2294"/>
      <c r="AE19" s="2294"/>
      <c r="AF19" s="2294"/>
      <c r="AG19" s="2295"/>
      <c r="AH19" s="2293" cm="1">
        <f t="array" ref="AH19">SUMPRODUCT((Application!$B$714:$B$738 = 'CalHFA Addendum'!AH$18)*(Application!$AC$714:$AC$738 = 'CalHFA Addendum'!$B19),Application!$G$714:$G$738)</f>
        <v>10</v>
      </c>
      <c r="AI19" s="2294"/>
      <c r="AJ19" s="2294"/>
      <c r="AK19" s="2294"/>
      <c r="AL19" s="2294"/>
      <c r="AM19" s="2295"/>
      <c r="AN19" s="2293" cm="1">
        <f t="array" ref="AN19">SUMPRODUCT((Application!$B$714:$B$738 = 'CalHFA Addendum'!AN$18)*(Application!$AC$714:$AC$738 = 'CalHFA Addendum'!$B19),Application!$G$714:$G$738)</f>
        <v>0</v>
      </c>
      <c r="AO19" s="2294"/>
      <c r="AP19" s="2294"/>
      <c r="AQ19" s="2294"/>
      <c r="AR19" s="2294"/>
      <c r="AS19" s="2295"/>
      <c r="AT19" s="2278">
        <f t="shared" ref="AT19:AT29" si="1">J19/$J$29</f>
        <v>0.25641025641025639</v>
      </c>
      <c r="AU19" s="2279"/>
      <c r="AV19" s="2279"/>
      <c r="AW19" s="2279"/>
      <c r="AX19" s="2279"/>
      <c r="AY19" s="2280"/>
      <c r="AZ19" s="1195"/>
      <c r="BA19" s="1190"/>
      <c r="BB19" s="1190"/>
      <c r="BC19" s="1190"/>
      <c r="BD19" s="1190"/>
      <c r="BE19" s="1194"/>
    </row>
    <row r="20" spans="1:58" ht="15" customHeight="1">
      <c r="A20" s="1190"/>
      <c r="B20" s="2290">
        <v>0.4</v>
      </c>
      <c r="C20" s="2291"/>
      <c r="D20" s="2291"/>
      <c r="E20" s="2291"/>
      <c r="F20" s="2291"/>
      <c r="G20" s="2291"/>
      <c r="H20" s="2291"/>
      <c r="I20" s="2292"/>
      <c r="J20" s="2293">
        <f t="shared" si="0"/>
        <v>0</v>
      </c>
      <c r="K20" s="2294"/>
      <c r="L20" s="2294"/>
      <c r="M20" s="2294"/>
      <c r="N20" s="2294"/>
      <c r="O20" s="2295"/>
      <c r="P20" s="2293" cm="1">
        <f t="array" ref="P20">SUMPRODUCT((Application!$B$718:$B$752 = 'CalHFA Addendum'!P$18)*(Application!$AC$718:$AC$752 = 'CalHFA Addendum'!$B20),Application!$G$718:$G$752)</f>
        <v>0</v>
      </c>
      <c r="Q20" s="2294"/>
      <c r="R20" s="2294"/>
      <c r="S20" s="2294"/>
      <c r="T20" s="2294"/>
      <c r="U20" s="2295"/>
      <c r="V20" s="2293" cm="1">
        <f t="array" ref="V20">SUMPRODUCT((Application!$B$714:$B$738 = 'CalHFA Addendum'!V$18)*(Application!$AC$714:$AC$738 = 'CalHFA Addendum'!$B20),Application!$G$714:$G$738)</f>
        <v>0</v>
      </c>
      <c r="W20" s="2294"/>
      <c r="X20" s="2294"/>
      <c r="Y20" s="2294"/>
      <c r="Z20" s="2294"/>
      <c r="AA20" s="2295"/>
      <c r="AB20" s="2293" cm="1">
        <f t="array" ref="AB20">SUMPRODUCT((Application!$B$714:$B$738 = 'CalHFA Addendum'!AB$18)*(Application!$AC$714:$AC$738 = 'CalHFA Addendum'!$B20),Application!$G$714:$G$738)</f>
        <v>0</v>
      </c>
      <c r="AC20" s="2294"/>
      <c r="AD20" s="2294"/>
      <c r="AE20" s="2294"/>
      <c r="AF20" s="2294"/>
      <c r="AG20" s="2295"/>
      <c r="AH20" s="2293" cm="1">
        <f t="array" ref="AH20">SUMPRODUCT((Application!$B$714:$B$738 = 'CalHFA Addendum'!AH$18)*(Application!$AC$714:$AC$738 = 'CalHFA Addendum'!$B20),Application!$G$714:$G$738)</f>
        <v>0</v>
      </c>
      <c r="AI20" s="2294"/>
      <c r="AJ20" s="2294"/>
      <c r="AK20" s="2294"/>
      <c r="AL20" s="2294"/>
      <c r="AM20" s="2295"/>
      <c r="AN20" s="2293" cm="1">
        <f t="array" ref="AN20">SUMPRODUCT((Application!$B$714:$B$738 = 'CalHFA Addendum'!AN$18)*(Application!$AC$714:$AC$738 = 'CalHFA Addendum'!$B20),Application!$G$714:$G$738)</f>
        <v>0</v>
      </c>
      <c r="AO20" s="2294"/>
      <c r="AP20" s="2294"/>
      <c r="AQ20" s="2294"/>
      <c r="AR20" s="2294"/>
      <c r="AS20" s="2295"/>
      <c r="AT20" s="2278">
        <f t="shared" si="1"/>
        <v>0</v>
      </c>
      <c r="AU20" s="2279"/>
      <c r="AV20" s="2279"/>
      <c r="AW20" s="2279"/>
      <c r="AX20" s="2279"/>
      <c r="AY20" s="2280"/>
      <c r="AZ20" s="1190"/>
      <c r="BA20" s="1190"/>
      <c r="BB20" s="1190"/>
      <c r="BC20" s="1190"/>
      <c r="BD20" s="1190"/>
      <c r="BE20" s="1194"/>
    </row>
    <row r="21" spans="1:58" ht="15">
      <c r="A21" s="1190"/>
      <c r="B21" s="2290">
        <v>0.5</v>
      </c>
      <c r="C21" s="2291"/>
      <c r="D21" s="2291"/>
      <c r="E21" s="2291"/>
      <c r="F21" s="2291"/>
      <c r="G21" s="2291"/>
      <c r="H21" s="2291"/>
      <c r="I21" s="2292"/>
      <c r="J21" s="2293">
        <f t="shared" si="0"/>
        <v>92</v>
      </c>
      <c r="K21" s="2294"/>
      <c r="L21" s="2294"/>
      <c r="M21" s="2294"/>
      <c r="N21" s="2294"/>
      <c r="O21" s="2295"/>
      <c r="P21" s="2293" cm="1">
        <f t="array" ref="P21">SUMPRODUCT((Application!$B$714:$B$738 = 'CalHFA Addendum'!P$18)*(Application!$AC$714:$AC$738 = 'CalHFA Addendum'!$B21),Application!$G$714:$G$738)</f>
        <v>62</v>
      </c>
      <c r="Q21" s="2294"/>
      <c r="R21" s="2294"/>
      <c r="S21" s="2294"/>
      <c r="T21" s="2294"/>
      <c r="U21" s="2295"/>
      <c r="V21" s="2293" cm="1">
        <f t="array" ref="V21">SUMPRODUCT((Application!$B$714:$B$738 = 'CalHFA Addendum'!V$18)*(Application!$AC$714:$AC$738 = 'CalHFA Addendum'!$B21),Application!$G$714:$G$738)</f>
        <v>0</v>
      </c>
      <c r="W21" s="2294"/>
      <c r="X21" s="2294"/>
      <c r="Y21" s="2294"/>
      <c r="Z21" s="2294"/>
      <c r="AA21" s="2295"/>
      <c r="AB21" s="2293" cm="1">
        <f t="array" ref="AB21">SUMPRODUCT((Application!$B$714:$B$738 = 'CalHFA Addendum'!AB$18)*(Application!$AC$714:$AC$738 = 'CalHFA Addendum'!$B21),Application!$G$714:$G$738)</f>
        <v>1</v>
      </c>
      <c r="AC21" s="2294"/>
      <c r="AD21" s="2294"/>
      <c r="AE21" s="2294"/>
      <c r="AF21" s="2294"/>
      <c r="AG21" s="2295"/>
      <c r="AH21" s="2293" cm="1">
        <f t="array" ref="AH21">SUMPRODUCT((Application!$B$714:$B$738 = 'CalHFA Addendum'!AH$18)*(Application!$AC$714:$AC$738 = 'CalHFA Addendum'!$B21),Application!$G$714:$G$738)</f>
        <v>29</v>
      </c>
      <c r="AI21" s="2294"/>
      <c r="AJ21" s="2294"/>
      <c r="AK21" s="2294"/>
      <c r="AL21" s="2294"/>
      <c r="AM21" s="2295"/>
      <c r="AN21" s="2293" cm="1">
        <f t="array" ref="AN21">SUMPRODUCT((Application!$B$714:$B$738 = 'CalHFA Addendum'!AN$18)*(Application!$AC$714:$AC$738 = 'CalHFA Addendum'!$B21),Application!$G$714:$G$738)</f>
        <v>0</v>
      </c>
      <c r="AO21" s="2294"/>
      <c r="AP21" s="2294"/>
      <c r="AQ21" s="2294"/>
      <c r="AR21" s="2294"/>
      <c r="AS21" s="2295"/>
      <c r="AT21" s="2278">
        <f t="shared" si="1"/>
        <v>0.47179487179487178</v>
      </c>
      <c r="AU21" s="2279"/>
      <c r="AV21" s="2279"/>
      <c r="AW21" s="2279"/>
      <c r="AX21" s="2279"/>
      <c r="AY21" s="2280"/>
      <c r="AZ21" s="1190"/>
      <c r="BA21" s="1190"/>
      <c r="BB21" s="1190"/>
      <c r="BC21" s="1190"/>
      <c r="BD21" s="1190"/>
      <c r="BE21" s="1194"/>
    </row>
    <row r="22" spans="1:58" ht="15">
      <c r="A22" s="1190"/>
      <c r="B22" s="2290">
        <v>0.6</v>
      </c>
      <c r="C22" s="2291"/>
      <c r="D22" s="2291"/>
      <c r="E22" s="2291"/>
      <c r="F22" s="2291"/>
      <c r="G22" s="2291"/>
      <c r="H22" s="2291"/>
      <c r="I22" s="2292"/>
      <c r="J22" s="2293">
        <f t="shared" si="0"/>
        <v>51</v>
      </c>
      <c r="K22" s="2294"/>
      <c r="L22" s="2294"/>
      <c r="M22" s="2294"/>
      <c r="N22" s="2294"/>
      <c r="O22" s="2295"/>
      <c r="P22" s="2293" cm="1">
        <f t="array" ref="P22">SUMPRODUCT((Application!$B$714:$B$738 = 'CalHFA Addendum'!P$18)*(Application!$AC$714:$AC$738 = 'CalHFA Addendum'!$B22),Application!$G$714:$G$738)</f>
        <v>0</v>
      </c>
      <c r="Q22" s="2294"/>
      <c r="R22" s="2294"/>
      <c r="S22" s="2294"/>
      <c r="T22" s="2294"/>
      <c r="U22" s="2295"/>
      <c r="V22" s="2293" cm="1">
        <f t="array" ref="V22">SUMPRODUCT((Application!$B$714:$B$738 = 'CalHFA Addendum'!V$18)*(Application!$AC$714:$AC$738 = 'CalHFA Addendum'!$B22),Application!$G$714:$G$738)</f>
        <v>0</v>
      </c>
      <c r="W22" s="2294"/>
      <c r="X22" s="2294"/>
      <c r="Y22" s="2294"/>
      <c r="Z22" s="2294"/>
      <c r="AA22" s="2295"/>
      <c r="AB22" s="2293" cm="1">
        <f t="array" ref="AB22">SUMPRODUCT((Application!$B$714:$B$738 = 'CalHFA Addendum'!AB$18)*(Application!$AC$714:$AC$738 = 'CalHFA Addendum'!$B22),Application!$G$714:$G$738)</f>
        <v>38</v>
      </c>
      <c r="AC22" s="2294"/>
      <c r="AD22" s="2294"/>
      <c r="AE22" s="2294"/>
      <c r="AF22" s="2294"/>
      <c r="AG22" s="2295"/>
      <c r="AH22" s="2293" cm="1">
        <f t="array" ref="AH22">SUMPRODUCT((Application!$B$714:$B$738 = 'CalHFA Addendum'!AH$18)*(Application!$AC$714:$AC$738 = 'CalHFA Addendum'!$B22),Application!$G$714:$G$738)</f>
        <v>13</v>
      </c>
      <c r="AI22" s="2294"/>
      <c r="AJ22" s="2294"/>
      <c r="AK22" s="2294"/>
      <c r="AL22" s="2294"/>
      <c r="AM22" s="2295"/>
      <c r="AN22" s="2293" cm="1">
        <f t="array" ref="AN22">SUMPRODUCT((Application!$B$714:$B$738 = 'CalHFA Addendum'!AN$18)*(Application!$AC$714:$AC$738 = 'CalHFA Addendum'!$B22),Application!$G$714:$G$738)</f>
        <v>0</v>
      </c>
      <c r="AO22" s="2294"/>
      <c r="AP22" s="2294"/>
      <c r="AQ22" s="2294"/>
      <c r="AR22" s="2294"/>
      <c r="AS22" s="2295"/>
      <c r="AT22" s="2278">
        <f t="shared" si="1"/>
        <v>0.26153846153846155</v>
      </c>
      <c r="AU22" s="2279"/>
      <c r="AV22" s="2279"/>
      <c r="AW22" s="2279"/>
      <c r="AX22" s="2279"/>
      <c r="AY22" s="2280"/>
      <c r="AZ22" s="1190"/>
      <c r="BA22" s="1190"/>
      <c r="BB22" s="1190"/>
      <c r="BC22" s="1190"/>
      <c r="BD22" s="1190"/>
      <c r="BE22" s="1194"/>
    </row>
    <row r="23" spans="1:58" ht="15">
      <c r="A23" s="1190"/>
      <c r="B23" s="2290">
        <v>0.7</v>
      </c>
      <c r="C23" s="2291"/>
      <c r="D23" s="2291"/>
      <c r="E23" s="2291"/>
      <c r="F23" s="2291"/>
      <c r="G23" s="2291"/>
      <c r="H23" s="2291"/>
      <c r="I23" s="2292"/>
      <c r="J23" s="2293">
        <f t="shared" si="0"/>
        <v>0</v>
      </c>
      <c r="K23" s="2294"/>
      <c r="L23" s="2294"/>
      <c r="M23" s="2294"/>
      <c r="N23" s="2294"/>
      <c r="O23" s="2295"/>
      <c r="P23" s="2293" cm="1">
        <f t="array" ref="P23">SUMPRODUCT((Application!$B$714:$B$738 = 'CalHFA Addendum'!P$18)*(Application!$AC$714:$AC$738 = 'CalHFA Addendum'!$B23),Application!$G$714:$G$738)</f>
        <v>0</v>
      </c>
      <c r="Q23" s="2294"/>
      <c r="R23" s="2294"/>
      <c r="S23" s="2294"/>
      <c r="T23" s="2294"/>
      <c r="U23" s="2295"/>
      <c r="V23" s="2293" cm="1">
        <f t="array" ref="V23">SUMPRODUCT((Application!$B$714:$B$738 = 'CalHFA Addendum'!V$18)*(Application!$AC$714:$AC$738 = 'CalHFA Addendum'!$B23),Application!$G$714:$G$738)</f>
        <v>0</v>
      </c>
      <c r="W23" s="2294"/>
      <c r="X23" s="2294"/>
      <c r="Y23" s="2294"/>
      <c r="Z23" s="2294"/>
      <c r="AA23" s="2295"/>
      <c r="AB23" s="2293" cm="1">
        <f t="array" ref="AB23">SUMPRODUCT((Application!$B$714:$B$738 = 'CalHFA Addendum'!AB$18)*(Application!$AC$714:$AC$738 = 'CalHFA Addendum'!$B23),Application!$G$714:$G$738)</f>
        <v>0</v>
      </c>
      <c r="AC23" s="2294"/>
      <c r="AD23" s="2294"/>
      <c r="AE23" s="2294"/>
      <c r="AF23" s="2294"/>
      <c r="AG23" s="2295"/>
      <c r="AH23" s="2293" cm="1">
        <f t="array" ref="AH23">SUMPRODUCT((Application!$B$714:$B$738 = 'CalHFA Addendum'!AH$18)*(Application!$AC$714:$AC$738 = 'CalHFA Addendum'!$B23),Application!$G$714:$G$738)</f>
        <v>0</v>
      </c>
      <c r="AI23" s="2294"/>
      <c r="AJ23" s="2294"/>
      <c r="AK23" s="2294"/>
      <c r="AL23" s="2294"/>
      <c r="AM23" s="2295"/>
      <c r="AN23" s="2293" cm="1">
        <f t="array" ref="AN23">SUMPRODUCT((Application!$B$714:$B$738 = 'CalHFA Addendum'!AN$18)*(Application!$AC$714:$AC$738 = 'CalHFA Addendum'!$B23),Application!$G$714:$G$738)</f>
        <v>0</v>
      </c>
      <c r="AO23" s="2294"/>
      <c r="AP23" s="2294"/>
      <c r="AQ23" s="2294"/>
      <c r="AR23" s="2294"/>
      <c r="AS23" s="2295"/>
      <c r="AT23" s="2278">
        <f t="shared" si="1"/>
        <v>0</v>
      </c>
      <c r="AU23" s="2279"/>
      <c r="AV23" s="2279"/>
      <c r="AW23" s="2279"/>
      <c r="AX23" s="2279"/>
      <c r="AY23" s="2280"/>
      <c r="AZ23" s="1190"/>
      <c r="BA23" s="1190"/>
      <c r="BB23" s="1190"/>
      <c r="BC23" s="1190"/>
      <c r="BD23" s="1190"/>
      <c r="BE23" s="1194"/>
    </row>
    <row r="24" spans="1:58" ht="15">
      <c r="A24" s="1190"/>
      <c r="B24" s="2290">
        <v>0.8</v>
      </c>
      <c r="C24" s="2291"/>
      <c r="D24" s="2291"/>
      <c r="E24" s="2291"/>
      <c r="F24" s="2291"/>
      <c r="G24" s="2291"/>
      <c r="H24" s="2291"/>
      <c r="I24" s="2292"/>
      <c r="J24" s="2293">
        <f t="shared" si="0"/>
        <v>0</v>
      </c>
      <c r="K24" s="2294"/>
      <c r="L24" s="2294"/>
      <c r="M24" s="2294"/>
      <c r="N24" s="2294"/>
      <c r="O24" s="2295"/>
      <c r="P24" s="2293" cm="1">
        <f t="array" ref="P24">SUMPRODUCT((Application!$B$714:$B$738 = 'CalHFA Addendum'!P$18)*(Application!$AC$714:$AC$738 = 'CalHFA Addendum'!$B24),Application!$G$714:$G$738)</f>
        <v>0</v>
      </c>
      <c r="Q24" s="2294"/>
      <c r="R24" s="2294"/>
      <c r="S24" s="2294"/>
      <c r="T24" s="2294"/>
      <c r="U24" s="2295"/>
      <c r="V24" s="2293" cm="1">
        <f t="array" ref="V24">SUMPRODUCT((Application!$B$714:$B$738 = 'CalHFA Addendum'!V$18)*(Application!$AC$714:$AC$738 = 'CalHFA Addendum'!$B24),Application!$G$714:$G$738)</f>
        <v>0</v>
      </c>
      <c r="W24" s="2294"/>
      <c r="X24" s="2294"/>
      <c r="Y24" s="2294"/>
      <c r="Z24" s="2294"/>
      <c r="AA24" s="2295"/>
      <c r="AB24" s="2293" cm="1">
        <f t="array" ref="AB24">SUMPRODUCT((Application!$B$714:$B$738 = 'CalHFA Addendum'!AB$18)*(Application!$AC$714:$AC$738 = 'CalHFA Addendum'!$B24),Application!$G$714:$G$738)</f>
        <v>0</v>
      </c>
      <c r="AC24" s="2294"/>
      <c r="AD24" s="2294"/>
      <c r="AE24" s="2294"/>
      <c r="AF24" s="2294"/>
      <c r="AG24" s="2295"/>
      <c r="AH24" s="2293" cm="1">
        <f t="array" ref="AH24">SUMPRODUCT((Application!$B$714:$B$738 = 'CalHFA Addendum'!AH$18)*(Application!$AC$714:$AC$738 = 'CalHFA Addendum'!$B24),Application!$G$714:$G$738)</f>
        <v>0</v>
      </c>
      <c r="AI24" s="2294"/>
      <c r="AJ24" s="2294"/>
      <c r="AK24" s="2294"/>
      <c r="AL24" s="2294"/>
      <c r="AM24" s="2295"/>
      <c r="AN24" s="2293" cm="1">
        <f t="array" ref="AN24">SUMPRODUCT((Application!$B$714:$B$738 = 'CalHFA Addendum'!AN$18)*(Application!$AC$714:$AC$738 = 'CalHFA Addendum'!$B24),Application!$G$714:$G$738)</f>
        <v>0</v>
      </c>
      <c r="AO24" s="2294"/>
      <c r="AP24" s="2294"/>
      <c r="AQ24" s="2294"/>
      <c r="AR24" s="2294"/>
      <c r="AS24" s="2295"/>
      <c r="AT24" s="2278">
        <f t="shared" si="1"/>
        <v>0</v>
      </c>
      <c r="AU24" s="2279"/>
      <c r="AV24" s="2279"/>
      <c r="AW24" s="2279"/>
      <c r="AX24" s="2279"/>
      <c r="AY24" s="2280"/>
      <c r="AZ24" s="1190"/>
      <c r="BA24" s="1190"/>
      <c r="BB24" s="1190"/>
      <c r="BC24" s="1190"/>
      <c r="BD24" s="1190"/>
      <c r="BE24" s="1194"/>
    </row>
    <row r="25" spans="1:58" ht="15">
      <c r="A25" s="1190"/>
      <c r="B25" s="2290">
        <v>0.9</v>
      </c>
      <c r="C25" s="2291"/>
      <c r="D25" s="2291"/>
      <c r="E25" s="2291"/>
      <c r="F25" s="2291"/>
      <c r="G25" s="2291"/>
      <c r="H25" s="2291"/>
      <c r="I25" s="2292"/>
      <c r="J25" s="2275"/>
      <c r="K25" s="2276"/>
      <c r="L25" s="2276"/>
      <c r="M25" s="2276"/>
      <c r="N25" s="2276"/>
      <c r="O25" s="2277"/>
      <c r="P25" s="2275"/>
      <c r="Q25" s="2276"/>
      <c r="R25" s="2276"/>
      <c r="S25" s="2276"/>
      <c r="T25" s="2276"/>
      <c r="U25" s="2277"/>
      <c r="V25" s="2275"/>
      <c r="W25" s="2276"/>
      <c r="X25" s="2276"/>
      <c r="Y25" s="2276"/>
      <c r="Z25" s="2276"/>
      <c r="AA25" s="2277"/>
      <c r="AB25" s="2275"/>
      <c r="AC25" s="2276"/>
      <c r="AD25" s="2276"/>
      <c r="AE25" s="2276"/>
      <c r="AF25" s="2276"/>
      <c r="AG25" s="2277"/>
      <c r="AH25" s="2275"/>
      <c r="AI25" s="2276"/>
      <c r="AJ25" s="2276"/>
      <c r="AK25" s="2276"/>
      <c r="AL25" s="2276"/>
      <c r="AM25" s="2277"/>
      <c r="AN25" s="2275"/>
      <c r="AO25" s="2276"/>
      <c r="AP25" s="2276"/>
      <c r="AQ25" s="2276"/>
      <c r="AR25" s="2276"/>
      <c r="AS25" s="2277"/>
      <c r="AT25" s="2278">
        <f t="shared" si="1"/>
        <v>0</v>
      </c>
      <c r="AU25" s="2279"/>
      <c r="AV25" s="2279"/>
      <c r="AW25" s="2279"/>
      <c r="AX25" s="2279"/>
      <c r="AY25" s="2280"/>
      <c r="AZ25" s="1190"/>
      <c r="BA25" s="1190"/>
      <c r="BB25" s="1190"/>
      <c r="BC25" s="1190"/>
      <c r="BD25" s="1190"/>
      <c r="BE25" s="1194"/>
    </row>
    <row r="26" spans="1:58" ht="15">
      <c r="A26" s="1190"/>
      <c r="B26" s="2290">
        <v>1</v>
      </c>
      <c r="C26" s="2291"/>
      <c r="D26" s="2291"/>
      <c r="E26" s="2291"/>
      <c r="F26" s="2291"/>
      <c r="G26" s="2291"/>
      <c r="H26" s="2291"/>
      <c r="I26" s="2292"/>
      <c r="J26" s="2275"/>
      <c r="K26" s="2276"/>
      <c r="L26" s="2276"/>
      <c r="M26" s="2276"/>
      <c r="N26" s="2276"/>
      <c r="O26" s="2277"/>
      <c r="P26" s="2275"/>
      <c r="Q26" s="2276"/>
      <c r="R26" s="2276"/>
      <c r="S26" s="2276"/>
      <c r="T26" s="2276"/>
      <c r="U26" s="2277"/>
      <c r="V26" s="2275"/>
      <c r="W26" s="2276"/>
      <c r="X26" s="2276"/>
      <c r="Y26" s="2276"/>
      <c r="Z26" s="2276"/>
      <c r="AA26" s="2277"/>
      <c r="AB26" s="2275"/>
      <c r="AC26" s="2276"/>
      <c r="AD26" s="2276"/>
      <c r="AE26" s="2276"/>
      <c r="AF26" s="2276"/>
      <c r="AG26" s="2277"/>
      <c r="AH26" s="2275"/>
      <c r="AI26" s="2276"/>
      <c r="AJ26" s="2276"/>
      <c r="AK26" s="2276"/>
      <c r="AL26" s="2276"/>
      <c r="AM26" s="2277"/>
      <c r="AN26" s="2275"/>
      <c r="AO26" s="2276"/>
      <c r="AP26" s="2276"/>
      <c r="AQ26" s="2276"/>
      <c r="AR26" s="2276"/>
      <c r="AS26" s="2277"/>
      <c r="AT26" s="2278">
        <f t="shared" si="1"/>
        <v>0</v>
      </c>
      <c r="AU26" s="2279"/>
      <c r="AV26" s="2279"/>
      <c r="AW26" s="2279"/>
      <c r="AX26" s="2279"/>
      <c r="AY26" s="2280"/>
      <c r="AZ26" s="1190"/>
      <c r="BA26" s="1190"/>
      <c r="BB26" s="1190"/>
      <c r="BC26" s="1190"/>
      <c r="BD26" s="1190"/>
      <c r="BE26" s="1194"/>
    </row>
    <row r="27" spans="1:58" ht="15">
      <c r="A27" s="1190"/>
      <c r="B27" s="2290">
        <v>1.2</v>
      </c>
      <c r="C27" s="2291"/>
      <c r="D27" s="2291"/>
      <c r="E27" s="2291"/>
      <c r="F27" s="2291"/>
      <c r="G27" s="2291"/>
      <c r="H27" s="2291"/>
      <c r="I27" s="2292"/>
      <c r="J27" s="2275"/>
      <c r="K27" s="2276"/>
      <c r="L27" s="2276"/>
      <c r="M27" s="2276"/>
      <c r="N27" s="2276"/>
      <c r="O27" s="2277"/>
      <c r="P27" s="2275"/>
      <c r="Q27" s="2276"/>
      <c r="R27" s="2276"/>
      <c r="S27" s="2276"/>
      <c r="T27" s="2276"/>
      <c r="U27" s="2277"/>
      <c r="V27" s="2275"/>
      <c r="W27" s="2276"/>
      <c r="X27" s="2276"/>
      <c r="Y27" s="2276"/>
      <c r="Z27" s="2276"/>
      <c r="AA27" s="2277"/>
      <c r="AB27" s="2275"/>
      <c r="AC27" s="2276"/>
      <c r="AD27" s="2276"/>
      <c r="AE27" s="2276"/>
      <c r="AF27" s="2276"/>
      <c r="AG27" s="2277"/>
      <c r="AH27" s="2275"/>
      <c r="AI27" s="2276"/>
      <c r="AJ27" s="2276"/>
      <c r="AK27" s="2276"/>
      <c r="AL27" s="2276"/>
      <c r="AM27" s="2277"/>
      <c r="AN27" s="2275"/>
      <c r="AO27" s="2276"/>
      <c r="AP27" s="2276"/>
      <c r="AQ27" s="2276"/>
      <c r="AR27" s="2276"/>
      <c r="AS27" s="2277"/>
      <c r="AT27" s="2278">
        <f t="shared" si="1"/>
        <v>0</v>
      </c>
      <c r="AU27" s="2279"/>
      <c r="AV27" s="2279"/>
      <c r="AW27" s="2279"/>
      <c r="AX27" s="2279"/>
      <c r="AY27" s="2280"/>
      <c r="AZ27" s="1190"/>
      <c r="BA27" s="1190"/>
      <c r="BB27" s="1190"/>
      <c r="BC27" s="1190"/>
      <c r="BD27" s="1190"/>
      <c r="BE27" s="1194"/>
    </row>
    <row r="28" spans="1:58" thickBot="1">
      <c r="A28" s="1190"/>
      <c r="B28" s="2281" t="s">
        <v>2432</v>
      </c>
      <c r="C28" s="2282"/>
      <c r="D28" s="2282"/>
      <c r="E28" s="2282"/>
      <c r="F28" s="2282"/>
      <c r="G28" s="2282"/>
      <c r="H28" s="2282"/>
      <c r="I28" s="2283"/>
      <c r="J28" s="2284">
        <f>SUM(P28:AS28)</f>
        <v>2</v>
      </c>
      <c r="K28" s="2285"/>
      <c r="L28" s="2285"/>
      <c r="M28" s="2285"/>
      <c r="N28" s="2285"/>
      <c r="O28" s="2286"/>
      <c r="P28" s="2284">
        <f>_xlfn.IFNA(VLOOKUP(P$18,Application!$J$773:$S$776,6,FALSE), 0)</f>
        <v>0</v>
      </c>
      <c r="Q28" s="2285"/>
      <c r="R28" s="2285"/>
      <c r="S28" s="2285"/>
      <c r="T28" s="2285"/>
      <c r="U28" s="2286"/>
      <c r="V28" s="2284">
        <f>_xlfn.IFNA(VLOOKUP(V$18,Application!$J$773:$S$776,6,FALSE), 0)</f>
        <v>0</v>
      </c>
      <c r="W28" s="2285"/>
      <c r="X28" s="2285"/>
      <c r="Y28" s="2285"/>
      <c r="Z28" s="2285"/>
      <c r="AA28" s="2286"/>
      <c r="AB28" s="2284">
        <f>_xlfn.IFNA(VLOOKUP(AB$18,Application!$J$773:$S$776,6,FALSE), 0)</f>
        <v>1</v>
      </c>
      <c r="AC28" s="2285"/>
      <c r="AD28" s="2285"/>
      <c r="AE28" s="2285"/>
      <c r="AF28" s="2285"/>
      <c r="AG28" s="2286"/>
      <c r="AH28" s="2284">
        <f>_xlfn.IFNA(VLOOKUP(AH$18,Application!$J$773:$S$776,6,FALSE), 0)</f>
        <v>1</v>
      </c>
      <c r="AI28" s="2285"/>
      <c r="AJ28" s="2285"/>
      <c r="AK28" s="2285"/>
      <c r="AL28" s="2285"/>
      <c r="AM28" s="2286"/>
      <c r="AN28" s="2284">
        <f>_xlfn.IFNA(VLOOKUP(AN$18,Application!$J$773:$S$776,6,FALSE), 0)</f>
        <v>0</v>
      </c>
      <c r="AO28" s="2285"/>
      <c r="AP28" s="2285"/>
      <c r="AQ28" s="2285"/>
      <c r="AR28" s="2285"/>
      <c r="AS28" s="2286"/>
      <c r="AT28" s="2287">
        <f t="shared" si="1"/>
        <v>1.0256410256410256E-2</v>
      </c>
      <c r="AU28" s="2288"/>
      <c r="AV28" s="2288"/>
      <c r="AW28" s="2288"/>
      <c r="AX28" s="2288"/>
      <c r="AY28" s="2289"/>
      <c r="AZ28" s="1190"/>
      <c r="BA28" s="1190"/>
      <c r="BB28" s="1190"/>
      <c r="BC28" s="1190"/>
      <c r="BD28" s="1190"/>
      <c r="BE28" s="1194"/>
    </row>
    <row r="29" spans="1:58" thickBot="1">
      <c r="A29" s="1190"/>
      <c r="B29" s="2264" t="s">
        <v>1586</v>
      </c>
      <c r="C29" s="2237"/>
      <c r="D29" s="2237"/>
      <c r="E29" s="2237"/>
      <c r="F29" s="2237"/>
      <c r="G29" s="2237"/>
      <c r="H29" s="2237"/>
      <c r="I29" s="2238"/>
      <c r="J29" s="2236">
        <f>SUM(J19:O28)</f>
        <v>195</v>
      </c>
      <c r="K29" s="2237"/>
      <c r="L29" s="2237"/>
      <c r="M29" s="2237"/>
      <c r="N29" s="2237"/>
      <c r="O29" s="2238"/>
      <c r="P29" s="2236">
        <f>SUM(P19:U28)</f>
        <v>63</v>
      </c>
      <c r="Q29" s="2237"/>
      <c r="R29" s="2237"/>
      <c r="S29" s="2237"/>
      <c r="T29" s="2237"/>
      <c r="U29" s="2238"/>
      <c r="V29" s="2236">
        <f>SUM(V19:AA28)</f>
        <v>25</v>
      </c>
      <c r="W29" s="2237"/>
      <c r="X29" s="2237"/>
      <c r="Y29" s="2237"/>
      <c r="Z29" s="2237"/>
      <c r="AA29" s="2238"/>
      <c r="AB29" s="2236">
        <f>SUM(AB19:AG28)</f>
        <v>54</v>
      </c>
      <c r="AC29" s="2237"/>
      <c r="AD29" s="2237"/>
      <c r="AE29" s="2237"/>
      <c r="AF29" s="2237"/>
      <c r="AG29" s="2238"/>
      <c r="AH29" s="2236">
        <f>SUM(AH19:AM28)</f>
        <v>53</v>
      </c>
      <c r="AI29" s="2237"/>
      <c r="AJ29" s="2237"/>
      <c r="AK29" s="2237"/>
      <c r="AL29" s="2237"/>
      <c r="AM29" s="2238"/>
      <c r="AN29" s="2236">
        <f>SUM(AN19:AS28)</f>
        <v>0</v>
      </c>
      <c r="AO29" s="2237"/>
      <c r="AP29" s="2237"/>
      <c r="AQ29" s="2237"/>
      <c r="AR29" s="2237"/>
      <c r="AS29" s="2238"/>
      <c r="AT29" s="2239">
        <f t="shared" si="1"/>
        <v>1</v>
      </c>
      <c r="AU29" s="2240"/>
      <c r="AV29" s="2240"/>
      <c r="AW29" s="2240"/>
      <c r="AX29" s="2240"/>
      <c r="AY29" s="2241"/>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42" t="s">
        <v>2431</v>
      </c>
      <c r="C31" s="2243"/>
      <c r="D31" s="2243"/>
      <c r="E31" s="2243"/>
      <c r="F31" s="2243"/>
      <c r="G31" s="2243"/>
      <c r="H31" s="2243"/>
      <c r="I31" s="2243"/>
      <c r="J31" s="2243"/>
      <c r="K31" s="2243"/>
      <c r="L31" s="2243"/>
      <c r="M31" s="2243"/>
      <c r="N31" s="2243"/>
      <c r="O31" s="2243"/>
      <c r="P31" s="2243"/>
      <c r="Q31" s="2243"/>
      <c r="R31" s="2243"/>
      <c r="S31" s="2243"/>
      <c r="T31" s="2243"/>
      <c r="U31" s="2243"/>
      <c r="V31" s="2243"/>
      <c r="W31" s="2243"/>
      <c r="X31" s="2243"/>
      <c r="Y31" s="2243"/>
      <c r="Z31" s="2243"/>
      <c r="AA31" s="2243"/>
      <c r="AB31" s="2243"/>
      <c r="AC31" s="2243"/>
      <c r="AD31" s="2243"/>
      <c r="AE31" s="2243"/>
      <c r="AF31" s="2243"/>
      <c r="AG31" s="2243"/>
      <c r="AH31" s="2243"/>
      <c r="AI31" s="2243"/>
      <c r="AJ31" s="2243"/>
      <c r="AK31" s="2243"/>
      <c r="AL31" s="2243"/>
      <c r="AM31" s="2243"/>
      <c r="AN31" s="2243"/>
      <c r="AO31" s="2243"/>
      <c r="AP31" s="2243"/>
      <c r="AQ31" s="2243"/>
      <c r="AR31" s="2243"/>
      <c r="AS31" s="2243"/>
      <c r="AT31" s="2243"/>
      <c r="AU31" s="2243"/>
      <c r="AV31" s="2243"/>
      <c r="AW31" s="2243"/>
      <c r="AX31" s="2243"/>
      <c r="AY31" s="2243"/>
      <c r="AZ31" s="2243"/>
      <c r="BA31" s="2243"/>
      <c r="BB31" s="2243"/>
      <c r="BC31" s="2243"/>
      <c r="BD31" s="2244"/>
      <c r="BE31" s="1194"/>
    </row>
    <row r="32" spans="1:58" thickBot="1">
      <c r="A32" s="1190"/>
      <c r="B32" s="2245" t="s">
        <v>2430</v>
      </c>
      <c r="C32" s="2246"/>
      <c r="D32" s="2246"/>
      <c r="E32" s="2246"/>
      <c r="F32" s="2246"/>
      <c r="G32" s="2246"/>
      <c r="H32" s="2246"/>
      <c r="I32" s="2246"/>
      <c r="J32" s="2249" t="s">
        <v>2429</v>
      </c>
      <c r="K32" s="2250"/>
      <c r="L32" s="2250"/>
      <c r="M32" s="2250"/>
      <c r="N32" s="2249" t="s">
        <v>2428</v>
      </c>
      <c r="O32" s="2250"/>
      <c r="P32" s="2250"/>
      <c r="Q32" s="2252"/>
      <c r="R32" s="2254" t="s">
        <v>2427</v>
      </c>
      <c r="S32" s="2255"/>
      <c r="T32" s="2255"/>
      <c r="U32" s="2255"/>
      <c r="V32" s="2255"/>
      <c r="W32" s="2255"/>
      <c r="X32" s="2255"/>
      <c r="Y32" s="2255"/>
      <c r="Z32" s="2255"/>
      <c r="AA32" s="2255"/>
      <c r="AB32" s="2255"/>
      <c r="AC32" s="2255"/>
      <c r="AD32" s="2255"/>
      <c r="AE32" s="2255"/>
      <c r="AF32" s="2255"/>
      <c r="AG32" s="2255"/>
      <c r="AH32" s="2255"/>
      <c r="AI32" s="2255"/>
      <c r="AJ32" s="2255"/>
      <c r="AK32" s="2255"/>
      <c r="AL32" s="2255"/>
      <c r="AM32" s="2255"/>
      <c r="AN32" s="2255"/>
      <c r="AO32" s="2255"/>
      <c r="AP32" s="2255"/>
      <c r="AQ32" s="2255"/>
      <c r="AR32" s="2255"/>
      <c r="AS32" s="2255"/>
      <c r="AT32" s="2255"/>
      <c r="AU32" s="2255"/>
      <c r="AV32" s="2255"/>
      <c r="AW32" s="2255"/>
      <c r="AX32" s="2255"/>
      <c r="AY32" s="2255"/>
      <c r="AZ32" s="2255"/>
      <c r="BA32" s="2255"/>
      <c r="BB32" s="2255"/>
      <c r="BC32" s="2255"/>
      <c r="BD32" s="2256"/>
      <c r="BE32" s="1194"/>
    </row>
    <row r="33" spans="1:58" ht="15" customHeight="1">
      <c r="A33" s="1190"/>
      <c r="B33" s="2247"/>
      <c r="C33" s="2248"/>
      <c r="D33" s="2248"/>
      <c r="E33" s="2248"/>
      <c r="F33" s="2248"/>
      <c r="G33" s="2248"/>
      <c r="H33" s="2248"/>
      <c r="I33" s="2248"/>
      <c r="J33" s="2251"/>
      <c r="K33" s="2251"/>
      <c r="L33" s="2251"/>
      <c r="M33" s="2251"/>
      <c r="N33" s="2251"/>
      <c r="O33" s="2251"/>
      <c r="P33" s="2251"/>
      <c r="Q33" s="2253"/>
      <c r="R33" s="2257" t="s">
        <v>2426</v>
      </c>
      <c r="S33" s="2258"/>
      <c r="T33" s="2258"/>
      <c r="U33" s="2258"/>
      <c r="V33" s="2258"/>
      <c r="W33" s="2258"/>
      <c r="X33" s="2258"/>
      <c r="Y33" s="2258"/>
      <c r="Z33" s="2258"/>
      <c r="AA33" s="2258"/>
      <c r="AB33" s="2258"/>
      <c r="AC33" s="2258"/>
      <c r="AD33" s="2258"/>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2258"/>
      <c r="BB33" s="2258"/>
      <c r="BC33" s="2258"/>
      <c r="BD33" s="2259"/>
      <c r="BE33" s="1194"/>
    </row>
    <row r="34" spans="1:58" ht="15.75" customHeight="1" thickBot="1">
      <c r="A34" s="1190"/>
      <c r="B34" s="2247"/>
      <c r="C34" s="2248"/>
      <c r="D34" s="2248"/>
      <c r="E34" s="2248"/>
      <c r="F34" s="2248"/>
      <c r="G34" s="2248"/>
      <c r="H34" s="2248"/>
      <c r="I34" s="2248"/>
      <c r="J34" s="2251"/>
      <c r="K34" s="2251"/>
      <c r="L34" s="2251"/>
      <c r="M34" s="2251"/>
      <c r="N34" s="2251"/>
      <c r="O34" s="2251"/>
      <c r="P34" s="2251"/>
      <c r="Q34" s="2253"/>
      <c r="R34" s="2260"/>
      <c r="S34" s="2261"/>
      <c r="T34" s="2261"/>
      <c r="U34" s="2261"/>
      <c r="V34" s="2261"/>
      <c r="W34" s="2261"/>
      <c r="X34" s="2261"/>
      <c r="Y34" s="2261"/>
      <c r="Z34" s="2261"/>
      <c r="AA34" s="2261"/>
      <c r="AB34" s="2261"/>
      <c r="AC34" s="2261"/>
      <c r="AD34" s="2261"/>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2261"/>
      <c r="BB34" s="2261"/>
      <c r="BC34" s="2261"/>
      <c r="BD34" s="2262"/>
      <c r="BE34" s="1194"/>
    </row>
    <row r="35" spans="1:58" ht="15.75" customHeight="1">
      <c r="A35" s="1190"/>
      <c r="B35" s="2247"/>
      <c r="C35" s="2248"/>
      <c r="D35" s="2248"/>
      <c r="E35" s="2248"/>
      <c r="F35" s="2248"/>
      <c r="G35" s="2248"/>
      <c r="H35" s="2248"/>
      <c r="I35" s="2248"/>
      <c r="J35" s="2251"/>
      <c r="K35" s="2251"/>
      <c r="L35" s="2251"/>
      <c r="M35" s="2251"/>
      <c r="N35" s="2251"/>
      <c r="O35" s="2251"/>
      <c r="P35" s="2251"/>
      <c r="Q35" s="2251"/>
      <c r="R35" s="2263">
        <v>0.3</v>
      </c>
      <c r="S35" s="2263"/>
      <c r="T35" s="2263"/>
      <c r="U35" s="2263"/>
      <c r="V35" s="2263">
        <v>0.4</v>
      </c>
      <c r="W35" s="2263"/>
      <c r="X35" s="2263"/>
      <c r="Y35" s="2263"/>
      <c r="Z35" s="2263">
        <v>0.5</v>
      </c>
      <c r="AA35" s="2263"/>
      <c r="AB35" s="2263"/>
      <c r="AC35" s="2263"/>
      <c r="AD35" s="2263">
        <v>0.6</v>
      </c>
      <c r="AE35" s="2263"/>
      <c r="AF35" s="2263"/>
      <c r="AG35" s="2263"/>
      <c r="AH35" s="2263">
        <v>0.7</v>
      </c>
      <c r="AI35" s="2263"/>
      <c r="AJ35" s="2263"/>
      <c r="AK35" s="2263"/>
      <c r="AL35" s="2268">
        <v>0.8</v>
      </c>
      <c r="AM35" s="2269"/>
      <c r="AN35" s="2269"/>
      <c r="AO35" s="2270"/>
      <c r="AP35" s="2271">
        <v>1.2</v>
      </c>
      <c r="AQ35" s="2272"/>
      <c r="AR35" s="2273"/>
      <c r="AS35" s="2265" t="s">
        <v>2425</v>
      </c>
      <c r="AT35" s="2266"/>
      <c r="AU35" s="2266"/>
      <c r="AV35" s="2266"/>
      <c r="AW35" s="2266"/>
      <c r="AX35" s="2274"/>
      <c r="AY35" s="2265" t="s">
        <v>2424</v>
      </c>
      <c r="AZ35" s="2266"/>
      <c r="BA35" s="2266"/>
      <c r="BB35" s="2266"/>
      <c r="BC35" s="2266"/>
      <c r="BD35" s="2267"/>
      <c r="BE35" s="1194"/>
    </row>
    <row r="36" spans="1:58" ht="15.75" customHeight="1">
      <c r="A36" s="1190"/>
      <c r="B36" s="2169" t="s">
        <v>2423</v>
      </c>
      <c r="C36" s="2170"/>
      <c r="D36" s="2170"/>
      <c r="E36" s="2170"/>
      <c r="F36" s="2170"/>
      <c r="G36" s="2170"/>
      <c r="H36" s="2170"/>
      <c r="I36" s="2170"/>
      <c r="J36" s="2234" t="s">
        <v>2422</v>
      </c>
      <c r="K36" s="2234"/>
      <c r="L36" s="2234"/>
      <c r="M36" s="2234"/>
      <c r="N36" s="2234">
        <v>55</v>
      </c>
      <c r="O36" s="2234"/>
      <c r="P36" s="2234"/>
      <c r="Q36" s="2234"/>
      <c r="R36" s="2235"/>
      <c r="S36" s="2235"/>
      <c r="T36" s="2235"/>
      <c r="U36" s="2235"/>
      <c r="V36" s="2235"/>
      <c r="W36" s="2235"/>
      <c r="X36" s="2235"/>
      <c r="Y36" s="2235"/>
      <c r="Z36" s="2235"/>
      <c r="AA36" s="2235"/>
      <c r="AB36" s="2235"/>
      <c r="AC36" s="2235"/>
      <c r="AD36" s="2235"/>
      <c r="AE36" s="2235"/>
      <c r="AF36" s="2235"/>
      <c r="AG36" s="2235"/>
      <c r="AH36" s="2235"/>
      <c r="AI36" s="2235"/>
      <c r="AJ36" s="2235"/>
      <c r="AK36" s="2235"/>
      <c r="AL36" s="2219"/>
      <c r="AM36" s="2220"/>
      <c r="AN36" s="2220"/>
      <c r="AO36" s="2221"/>
      <c r="AP36" s="2219"/>
      <c r="AQ36" s="2220"/>
      <c r="AR36" s="2221"/>
      <c r="AS36" s="2222">
        <f t="shared" ref="AS36:AS47" si="2">SUM(R36:AR36)</f>
        <v>0</v>
      </c>
      <c r="AT36" s="2223"/>
      <c r="AU36" s="2223"/>
      <c r="AV36" s="2223"/>
      <c r="AW36" s="2223"/>
      <c r="AX36" s="2224"/>
      <c r="AY36" s="2225">
        <f t="shared" ref="AY36:AY47" si="3">AS36/$J$29</f>
        <v>0</v>
      </c>
      <c r="AZ36" s="2226"/>
      <c r="BA36" s="2226"/>
      <c r="BB36" s="2226"/>
      <c r="BC36" s="2226"/>
      <c r="BD36" s="2227"/>
      <c r="BE36" s="1194"/>
    </row>
    <row r="37" spans="1:58" ht="15.75" customHeight="1">
      <c r="A37" s="1190"/>
      <c r="B37" s="2169" t="s">
        <v>2421</v>
      </c>
      <c r="C37" s="2170"/>
      <c r="D37" s="2170"/>
      <c r="E37" s="2170"/>
      <c r="F37" s="2170"/>
      <c r="G37" s="2170"/>
      <c r="H37" s="2170"/>
      <c r="I37" s="2170"/>
      <c r="J37" s="2234" t="s">
        <v>2420</v>
      </c>
      <c r="K37" s="2234"/>
      <c r="L37" s="2234"/>
      <c r="M37" s="2234"/>
      <c r="N37" s="2234">
        <v>55</v>
      </c>
      <c r="O37" s="2234"/>
      <c r="P37" s="2234"/>
      <c r="Q37" s="2234"/>
      <c r="R37" s="2235"/>
      <c r="S37" s="2235"/>
      <c r="T37" s="2235"/>
      <c r="U37" s="2235"/>
      <c r="V37" s="2235"/>
      <c r="W37" s="2235"/>
      <c r="X37" s="2235"/>
      <c r="Y37" s="2235"/>
      <c r="Z37" s="2235"/>
      <c r="AA37" s="2235"/>
      <c r="AB37" s="2235"/>
      <c r="AC37" s="2235"/>
      <c r="AD37" s="2235"/>
      <c r="AE37" s="2235"/>
      <c r="AF37" s="2235"/>
      <c r="AG37" s="2235"/>
      <c r="AH37" s="2235"/>
      <c r="AI37" s="2235"/>
      <c r="AJ37" s="2235"/>
      <c r="AK37" s="2235"/>
      <c r="AL37" s="2219"/>
      <c r="AM37" s="2220"/>
      <c r="AN37" s="2220"/>
      <c r="AO37" s="2221"/>
      <c r="AP37" s="2219"/>
      <c r="AQ37" s="2220"/>
      <c r="AR37" s="2221"/>
      <c r="AS37" s="2222">
        <f t="shared" si="2"/>
        <v>0</v>
      </c>
      <c r="AT37" s="2223"/>
      <c r="AU37" s="2223"/>
      <c r="AV37" s="2223"/>
      <c r="AW37" s="2223"/>
      <c r="AX37" s="2224"/>
      <c r="AY37" s="2225">
        <f t="shared" si="3"/>
        <v>0</v>
      </c>
      <c r="AZ37" s="2226"/>
      <c r="BA37" s="2226"/>
      <c r="BB37" s="2226"/>
      <c r="BC37" s="2226"/>
      <c r="BD37" s="2227"/>
      <c r="BE37" s="1194"/>
    </row>
    <row r="38" spans="1:58" ht="15.75" customHeight="1">
      <c r="A38" s="1190"/>
      <c r="B38" s="2169" t="s">
        <v>2419</v>
      </c>
      <c r="C38" s="2170"/>
      <c r="D38" s="2170"/>
      <c r="E38" s="2170"/>
      <c r="F38" s="2170"/>
      <c r="G38" s="2170"/>
      <c r="H38" s="2170"/>
      <c r="I38" s="2170"/>
      <c r="J38" s="2234" t="s">
        <v>2418</v>
      </c>
      <c r="K38" s="2234"/>
      <c r="L38" s="2234"/>
      <c r="M38" s="2234"/>
      <c r="N38" s="2234">
        <v>55</v>
      </c>
      <c r="O38" s="2234"/>
      <c r="P38" s="2234"/>
      <c r="Q38" s="2234"/>
      <c r="R38" s="2235"/>
      <c r="S38" s="2235"/>
      <c r="T38" s="2235"/>
      <c r="U38" s="2235"/>
      <c r="V38" s="2235"/>
      <c r="W38" s="2235"/>
      <c r="X38" s="2235"/>
      <c r="Y38" s="2235"/>
      <c r="Z38" s="2235"/>
      <c r="AA38" s="2235"/>
      <c r="AB38" s="2235"/>
      <c r="AC38" s="2235"/>
      <c r="AD38" s="2235"/>
      <c r="AE38" s="2235"/>
      <c r="AF38" s="2235"/>
      <c r="AG38" s="2235"/>
      <c r="AH38" s="2235"/>
      <c r="AI38" s="2235"/>
      <c r="AJ38" s="2235"/>
      <c r="AK38" s="2235"/>
      <c r="AL38" s="2219"/>
      <c r="AM38" s="2220"/>
      <c r="AN38" s="2220"/>
      <c r="AO38" s="2221"/>
      <c r="AP38" s="2219"/>
      <c r="AQ38" s="2220"/>
      <c r="AR38" s="2221"/>
      <c r="AS38" s="2222">
        <f t="shared" si="2"/>
        <v>0</v>
      </c>
      <c r="AT38" s="2223"/>
      <c r="AU38" s="2223"/>
      <c r="AV38" s="2223"/>
      <c r="AW38" s="2223"/>
      <c r="AX38" s="2224"/>
      <c r="AY38" s="2225">
        <f t="shared" si="3"/>
        <v>0</v>
      </c>
      <c r="AZ38" s="2226"/>
      <c r="BA38" s="2226"/>
      <c r="BB38" s="2226"/>
      <c r="BC38" s="2226"/>
      <c r="BD38" s="2227"/>
      <c r="BE38" s="1194"/>
    </row>
    <row r="39" spans="1:58" ht="15.75" customHeight="1">
      <c r="A39" s="1190"/>
      <c r="B39" s="2169" t="s">
        <v>2417</v>
      </c>
      <c r="C39" s="2170"/>
      <c r="D39" s="2170"/>
      <c r="E39" s="2170"/>
      <c r="F39" s="2170"/>
      <c r="G39" s="2170"/>
      <c r="H39" s="2170"/>
      <c r="I39" s="2170"/>
      <c r="J39" s="2234"/>
      <c r="K39" s="2234"/>
      <c r="L39" s="2234"/>
      <c r="M39" s="2234"/>
      <c r="N39" s="2234"/>
      <c r="O39" s="2234"/>
      <c r="P39" s="2234"/>
      <c r="Q39" s="2234"/>
      <c r="R39" s="2235"/>
      <c r="S39" s="2235"/>
      <c r="T39" s="2235"/>
      <c r="U39" s="2235"/>
      <c r="V39" s="2235"/>
      <c r="W39" s="2235"/>
      <c r="X39" s="2235"/>
      <c r="Y39" s="2235"/>
      <c r="Z39" s="2235"/>
      <c r="AA39" s="2235"/>
      <c r="AB39" s="2235"/>
      <c r="AC39" s="2235"/>
      <c r="AD39" s="2235"/>
      <c r="AE39" s="2235"/>
      <c r="AF39" s="2235"/>
      <c r="AG39" s="2235"/>
      <c r="AH39" s="2235"/>
      <c r="AI39" s="2235"/>
      <c r="AJ39" s="2235"/>
      <c r="AK39" s="2235"/>
      <c r="AL39" s="2219"/>
      <c r="AM39" s="2220"/>
      <c r="AN39" s="2220"/>
      <c r="AO39" s="2221"/>
      <c r="AP39" s="2219"/>
      <c r="AQ39" s="2220"/>
      <c r="AR39" s="2221"/>
      <c r="AS39" s="2222">
        <f t="shared" si="2"/>
        <v>0</v>
      </c>
      <c r="AT39" s="2223"/>
      <c r="AU39" s="2223"/>
      <c r="AV39" s="2223"/>
      <c r="AW39" s="2223"/>
      <c r="AX39" s="2224"/>
      <c r="AY39" s="2225">
        <f t="shared" si="3"/>
        <v>0</v>
      </c>
      <c r="AZ39" s="2226"/>
      <c r="BA39" s="2226"/>
      <c r="BB39" s="2226"/>
      <c r="BC39" s="2226"/>
      <c r="BD39" s="2227"/>
      <c r="BE39" s="1194"/>
    </row>
    <row r="40" spans="1:58" ht="15.75" customHeight="1">
      <c r="A40" s="1190"/>
      <c r="B40" s="2169" t="s">
        <v>2417</v>
      </c>
      <c r="C40" s="2170"/>
      <c r="D40" s="2170"/>
      <c r="E40" s="2170"/>
      <c r="F40" s="2170"/>
      <c r="G40" s="2170"/>
      <c r="H40" s="2170"/>
      <c r="I40" s="2170"/>
      <c r="J40" s="2234"/>
      <c r="K40" s="2234"/>
      <c r="L40" s="2234"/>
      <c r="M40" s="2234"/>
      <c r="N40" s="2234"/>
      <c r="O40" s="2234"/>
      <c r="P40" s="2234"/>
      <c r="Q40" s="2234"/>
      <c r="R40" s="2235"/>
      <c r="S40" s="2235"/>
      <c r="T40" s="2235"/>
      <c r="U40" s="2235"/>
      <c r="V40" s="2235"/>
      <c r="W40" s="2235"/>
      <c r="X40" s="2235"/>
      <c r="Y40" s="2235"/>
      <c r="Z40" s="2235"/>
      <c r="AA40" s="2235"/>
      <c r="AB40" s="2235"/>
      <c r="AC40" s="2235"/>
      <c r="AD40" s="2235"/>
      <c r="AE40" s="2235"/>
      <c r="AF40" s="2235"/>
      <c r="AG40" s="2235"/>
      <c r="AH40" s="2235"/>
      <c r="AI40" s="2235"/>
      <c r="AJ40" s="2235"/>
      <c r="AK40" s="2235"/>
      <c r="AL40" s="2219"/>
      <c r="AM40" s="2220"/>
      <c r="AN40" s="2220"/>
      <c r="AO40" s="2221"/>
      <c r="AP40" s="2219"/>
      <c r="AQ40" s="2220"/>
      <c r="AR40" s="2221"/>
      <c r="AS40" s="2222">
        <f t="shared" si="2"/>
        <v>0</v>
      </c>
      <c r="AT40" s="2223"/>
      <c r="AU40" s="2223"/>
      <c r="AV40" s="2223"/>
      <c r="AW40" s="2223"/>
      <c r="AX40" s="2224"/>
      <c r="AY40" s="2225">
        <f t="shared" si="3"/>
        <v>0</v>
      </c>
      <c r="AZ40" s="2226"/>
      <c r="BA40" s="2226"/>
      <c r="BB40" s="2226"/>
      <c r="BC40" s="2226"/>
      <c r="BD40" s="2227"/>
      <c r="BE40" s="1194"/>
    </row>
    <row r="41" spans="1:58" ht="15.75" customHeight="1">
      <c r="A41" s="1190"/>
      <c r="B41" s="2169" t="s">
        <v>2416</v>
      </c>
      <c r="C41" s="2170"/>
      <c r="D41" s="2170"/>
      <c r="E41" s="2170"/>
      <c r="F41" s="2170"/>
      <c r="G41" s="2170"/>
      <c r="H41" s="2170"/>
      <c r="I41" s="2170"/>
      <c r="J41" s="2234"/>
      <c r="K41" s="2234"/>
      <c r="L41" s="2234"/>
      <c r="M41" s="2234"/>
      <c r="N41" s="2234"/>
      <c r="O41" s="2234"/>
      <c r="P41" s="2234"/>
      <c r="Q41" s="2234"/>
      <c r="R41" s="2235"/>
      <c r="S41" s="2235"/>
      <c r="T41" s="2235"/>
      <c r="U41" s="2235"/>
      <c r="V41" s="2235"/>
      <c r="W41" s="2235"/>
      <c r="X41" s="2235"/>
      <c r="Y41" s="2235"/>
      <c r="Z41" s="2235"/>
      <c r="AA41" s="2235"/>
      <c r="AB41" s="2235"/>
      <c r="AC41" s="2235"/>
      <c r="AD41" s="2235"/>
      <c r="AE41" s="2235"/>
      <c r="AF41" s="2235"/>
      <c r="AG41" s="2235"/>
      <c r="AH41" s="2235"/>
      <c r="AI41" s="2235"/>
      <c r="AJ41" s="2235"/>
      <c r="AK41" s="2235"/>
      <c r="AL41" s="2219"/>
      <c r="AM41" s="2220"/>
      <c r="AN41" s="2220"/>
      <c r="AO41" s="2221"/>
      <c r="AP41" s="2219"/>
      <c r="AQ41" s="2220"/>
      <c r="AR41" s="2221"/>
      <c r="AS41" s="2222">
        <f t="shared" si="2"/>
        <v>0</v>
      </c>
      <c r="AT41" s="2223"/>
      <c r="AU41" s="2223"/>
      <c r="AV41" s="2223"/>
      <c r="AW41" s="2223"/>
      <c r="AX41" s="2224"/>
      <c r="AY41" s="2225">
        <f t="shared" si="3"/>
        <v>0</v>
      </c>
      <c r="AZ41" s="2226"/>
      <c r="BA41" s="2226"/>
      <c r="BB41" s="2226"/>
      <c r="BC41" s="2226"/>
      <c r="BD41" s="2227"/>
      <c r="BE41" s="1194"/>
    </row>
    <row r="42" spans="1:58" ht="15.75" customHeight="1">
      <c r="A42" s="1190"/>
      <c r="B42" s="2169" t="s">
        <v>2416</v>
      </c>
      <c r="C42" s="2170"/>
      <c r="D42" s="2170"/>
      <c r="E42" s="2170"/>
      <c r="F42" s="2170"/>
      <c r="G42" s="2170"/>
      <c r="H42" s="2170"/>
      <c r="I42" s="2170"/>
      <c r="J42" s="2234"/>
      <c r="K42" s="2234"/>
      <c r="L42" s="2234"/>
      <c r="M42" s="2234"/>
      <c r="N42" s="2234"/>
      <c r="O42" s="2234"/>
      <c r="P42" s="2234"/>
      <c r="Q42" s="2234"/>
      <c r="R42" s="2235"/>
      <c r="S42" s="2235"/>
      <c r="T42" s="2235"/>
      <c r="U42" s="2235"/>
      <c r="V42" s="2235"/>
      <c r="W42" s="2235"/>
      <c r="X42" s="2235"/>
      <c r="Y42" s="2235"/>
      <c r="Z42" s="2235"/>
      <c r="AA42" s="2235"/>
      <c r="AB42" s="2235"/>
      <c r="AC42" s="2235"/>
      <c r="AD42" s="2235"/>
      <c r="AE42" s="2235"/>
      <c r="AF42" s="2235"/>
      <c r="AG42" s="2235"/>
      <c r="AH42" s="2235"/>
      <c r="AI42" s="2235"/>
      <c r="AJ42" s="2235"/>
      <c r="AK42" s="2235"/>
      <c r="AL42" s="2219"/>
      <c r="AM42" s="2220"/>
      <c r="AN42" s="2220"/>
      <c r="AO42" s="2221"/>
      <c r="AP42" s="2219"/>
      <c r="AQ42" s="2220"/>
      <c r="AR42" s="2221"/>
      <c r="AS42" s="2222">
        <f t="shared" si="2"/>
        <v>0</v>
      </c>
      <c r="AT42" s="2223"/>
      <c r="AU42" s="2223"/>
      <c r="AV42" s="2223"/>
      <c r="AW42" s="2223"/>
      <c r="AX42" s="2224"/>
      <c r="AY42" s="2225">
        <f t="shared" si="3"/>
        <v>0</v>
      </c>
      <c r="AZ42" s="2226"/>
      <c r="BA42" s="2226"/>
      <c r="BB42" s="2226"/>
      <c r="BC42" s="2226"/>
      <c r="BD42" s="2227"/>
      <c r="BE42" s="1194"/>
    </row>
    <row r="43" spans="1:58" ht="15.75" customHeight="1">
      <c r="A43" s="1190"/>
      <c r="B43" s="2174" t="s">
        <v>2415</v>
      </c>
      <c r="C43" s="2175"/>
      <c r="D43" s="2175"/>
      <c r="E43" s="2175"/>
      <c r="F43" s="2175"/>
      <c r="G43" s="2175"/>
      <c r="H43" s="2175"/>
      <c r="I43" s="2175"/>
      <c r="J43" s="2234"/>
      <c r="K43" s="2234"/>
      <c r="L43" s="2234"/>
      <c r="M43" s="2234"/>
      <c r="N43" s="2234"/>
      <c r="O43" s="2234"/>
      <c r="P43" s="2234"/>
      <c r="Q43" s="2234"/>
      <c r="R43" s="2235"/>
      <c r="S43" s="2235"/>
      <c r="T43" s="2235"/>
      <c r="U43" s="2235"/>
      <c r="V43" s="2235"/>
      <c r="W43" s="2235"/>
      <c r="X43" s="2235"/>
      <c r="Y43" s="2235"/>
      <c r="Z43" s="2235"/>
      <c r="AA43" s="2235"/>
      <c r="AB43" s="2235"/>
      <c r="AC43" s="2235"/>
      <c r="AD43" s="2235"/>
      <c r="AE43" s="2235"/>
      <c r="AF43" s="2235"/>
      <c r="AG43" s="2235"/>
      <c r="AH43" s="2235"/>
      <c r="AI43" s="2235"/>
      <c r="AJ43" s="2235"/>
      <c r="AK43" s="2235"/>
      <c r="AL43" s="2219"/>
      <c r="AM43" s="2220"/>
      <c r="AN43" s="2220"/>
      <c r="AO43" s="2221"/>
      <c r="AP43" s="2219"/>
      <c r="AQ43" s="2220"/>
      <c r="AR43" s="2221"/>
      <c r="AS43" s="2222">
        <f t="shared" si="2"/>
        <v>0</v>
      </c>
      <c r="AT43" s="2223"/>
      <c r="AU43" s="2223"/>
      <c r="AV43" s="2223"/>
      <c r="AW43" s="2223"/>
      <c r="AX43" s="2224"/>
      <c r="AY43" s="2225">
        <f t="shared" si="3"/>
        <v>0</v>
      </c>
      <c r="AZ43" s="2226"/>
      <c r="BA43" s="2226"/>
      <c r="BB43" s="2226"/>
      <c r="BC43" s="2226"/>
      <c r="BD43" s="2227"/>
      <c r="BE43" s="1194"/>
    </row>
    <row r="44" spans="1:58" ht="15.75" customHeight="1">
      <c r="A44" s="1190"/>
      <c r="B44" s="2174" t="s">
        <v>2414</v>
      </c>
      <c r="C44" s="2175"/>
      <c r="D44" s="2175"/>
      <c r="E44" s="2175"/>
      <c r="F44" s="2175"/>
      <c r="G44" s="2175"/>
      <c r="H44" s="2175"/>
      <c r="I44" s="2175"/>
      <c r="J44" s="2234"/>
      <c r="K44" s="2234"/>
      <c r="L44" s="2234"/>
      <c r="M44" s="2234"/>
      <c r="N44" s="2234"/>
      <c r="O44" s="2234"/>
      <c r="P44" s="2234"/>
      <c r="Q44" s="2234"/>
      <c r="R44" s="2235"/>
      <c r="S44" s="2235"/>
      <c r="T44" s="2235"/>
      <c r="U44" s="2235"/>
      <c r="V44" s="2235"/>
      <c r="W44" s="2235"/>
      <c r="X44" s="2235"/>
      <c r="Y44" s="2235"/>
      <c r="Z44" s="2235"/>
      <c r="AA44" s="2235"/>
      <c r="AB44" s="2235"/>
      <c r="AC44" s="2235"/>
      <c r="AD44" s="2235"/>
      <c r="AE44" s="2235"/>
      <c r="AF44" s="2235"/>
      <c r="AG44" s="2235"/>
      <c r="AH44" s="2235"/>
      <c r="AI44" s="2235"/>
      <c r="AJ44" s="2235"/>
      <c r="AK44" s="2235"/>
      <c r="AL44" s="2219"/>
      <c r="AM44" s="2220"/>
      <c r="AN44" s="2220"/>
      <c r="AO44" s="2221"/>
      <c r="AP44" s="2219"/>
      <c r="AQ44" s="2220"/>
      <c r="AR44" s="2221"/>
      <c r="AS44" s="2222">
        <f t="shared" si="2"/>
        <v>0</v>
      </c>
      <c r="AT44" s="2223"/>
      <c r="AU44" s="2223"/>
      <c r="AV44" s="2223"/>
      <c r="AW44" s="2223"/>
      <c r="AX44" s="2224"/>
      <c r="AY44" s="2225">
        <f t="shared" si="3"/>
        <v>0</v>
      </c>
      <c r="AZ44" s="2226"/>
      <c r="BA44" s="2226"/>
      <c r="BB44" s="2226"/>
      <c r="BC44" s="2226"/>
      <c r="BD44" s="2227"/>
      <c r="BE44" s="1194"/>
    </row>
    <row r="45" spans="1:58" ht="15.75" customHeight="1">
      <c r="A45" s="1190"/>
      <c r="B45" s="2174" t="s">
        <v>2413</v>
      </c>
      <c r="C45" s="2175"/>
      <c r="D45" s="2175"/>
      <c r="E45" s="2175"/>
      <c r="F45" s="2175"/>
      <c r="G45" s="2175"/>
      <c r="H45" s="2175"/>
      <c r="I45" s="2175"/>
      <c r="J45" s="2234"/>
      <c r="K45" s="2234"/>
      <c r="L45" s="2234"/>
      <c r="M45" s="2234"/>
      <c r="N45" s="2234"/>
      <c r="O45" s="2234"/>
      <c r="P45" s="2234"/>
      <c r="Q45" s="2234"/>
      <c r="R45" s="2235"/>
      <c r="S45" s="2235"/>
      <c r="T45" s="2235"/>
      <c r="U45" s="2235"/>
      <c r="V45" s="2235"/>
      <c r="W45" s="2235"/>
      <c r="X45" s="2235"/>
      <c r="Y45" s="2235"/>
      <c r="Z45" s="2235"/>
      <c r="AA45" s="2235"/>
      <c r="AB45" s="2235"/>
      <c r="AC45" s="2235"/>
      <c r="AD45" s="2235"/>
      <c r="AE45" s="2235"/>
      <c r="AF45" s="2235"/>
      <c r="AG45" s="2235"/>
      <c r="AH45" s="2235"/>
      <c r="AI45" s="2235"/>
      <c r="AJ45" s="2235"/>
      <c r="AK45" s="2235"/>
      <c r="AL45" s="2219"/>
      <c r="AM45" s="2220"/>
      <c r="AN45" s="2220"/>
      <c r="AO45" s="2221"/>
      <c r="AP45" s="2219"/>
      <c r="AQ45" s="2220"/>
      <c r="AR45" s="2221"/>
      <c r="AS45" s="2222">
        <f t="shared" si="2"/>
        <v>0</v>
      </c>
      <c r="AT45" s="2223"/>
      <c r="AU45" s="2223"/>
      <c r="AV45" s="2223"/>
      <c r="AW45" s="2223"/>
      <c r="AX45" s="2224"/>
      <c r="AY45" s="2225">
        <f t="shared" si="3"/>
        <v>0</v>
      </c>
      <c r="AZ45" s="2226"/>
      <c r="BA45" s="2226"/>
      <c r="BB45" s="2226"/>
      <c r="BC45" s="2226"/>
      <c r="BD45" s="2227"/>
      <c r="BE45" s="1194"/>
    </row>
    <row r="46" spans="1:58" ht="15.75" customHeight="1">
      <c r="A46" s="1190"/>
      <c r="B46" s="2174" t="s">
        <v>2337</v>
      </c>
      <c r="C46" s="2175"/>
      <c r="D46" s="2175"/>
      <c r="E46" s="2175"/>
      <c r="F46" s="2175"/>
      <c r="G46" s="2175"/>
      <c r="H46" s="2175"/>
      <c r="I46" s="2175"/>
      <c r="J46" s="2234"/>
      <c r="K46" s="2234"/>
      <c r="L46" s="2234"/>
      <c r="M46" s="2234"/>
      <c r="N46" s="2234">
        <v>99</v>
      </c>
      <c r="O46" s="2234"/>
      <c r="P46" s="2234"/>
      <c r="Q46" s="2234"/>
      <c r="R46" s="2235"/>
      <c r="S46" s="2235"/>
      <c r="T46" s="2235"/>
      <c r="U46" s="2235"/>
      <c r="V46" s="2235"/>
      <c r="W46" s="2235"/>
      <c r="X46" s="2235"/>
      <c r="Y46" s="2235"/>
      <c r="Z46" s="2235"/>
      <c r="AA46" s="2235"/>
      <c r="AB46" s="2235"/>
      <c r="AC46" s="2235"/>
      <c r="AD46" s="2235"/>
      <c r="AE46" s="2235"/>
      <c r="AF46" s="2235"/>
      <c r="AG46" s="2235"/>
      <c r="AH46" s="2235"/>
      <c r="AI46" s="2235"/>
      <c r="AJ46" s="2235"/>
      <c r="AK46" s="2235"/>
      <c r="AL46" s="2219"/>
      <c r="AM46" s="2220"/>
      <c r="AN46" s="2220"/>
      <c r="AO46" s="2221"/>
      <c r="AP46" s="2219"/>
      <c r="AQ46" s="2220"/>
      <c r="AR46" s="2221"/>
      <c r="AS46" s="2222">
        <f t="shared" si="2"/>
        <v>0</v>
      </c>
      <c r="AT46" s="2223"/>
      <c r="AU46" s="2223"/>
      <c r="AV46" s="2223"/>
      <c r="AW46" s="2223"/>
      <c r="AX46" s="2224"/>
      <c r="AY46" s="2225">
        <f t="shared" si="3"/>
        <v>0</v>
      </c>
      <c r="AZ46" s="2226"/>
      <c r="BA46" s="2226"/>
      <c r="BB46" s="2226"/>
      <c r="BC46" s="2226"/>
      <c r="BD46" s="2227"/>
      <c r="BE46" s="1194"/>
    </row>
    <row r="47" spans="1:58" ht="15.75" customHeight="1" thickBot="1">
      <c r="A47" s="1190"/>
      <c r="B47" s="2228" t="s">
        <v>300</v>
      </c>
      <c r="C47" s="2229"/>
      <c r="D47" s="2229"/>
      <c r="E47" s="2229"/>
      <c r="F47" s="2229"/>
      <c r="G47" s="2229"/>
      <c r="H47" s="2229"/>
      <c r="I47" s="2229"/>
      <c r="J47" s="2230"/>
      <c r="K47" s="2230"/>
      <c r="L47" s="2230"/>
      <c r="M47" s="2230"/>
      <c r="N47" s="2230"/>
      <c r="O47" s="2230"/>
      <c r="P47" s="2230"/>
      <c r="Q47" s="2230"/>
      <c r="R47" s="2215"/>
      <c r="S47" s="2215"/>
      <c r="T47" s="2215"/>
      <c r="U47" s="2215"/>
      <c r="V47" s="2215"/>
      <c r="W47" s="2215"/>
      <c r="X47" s="2215"/>
      <c r="Y47" s="2215"/>
      <c r="Z47" s="2215"/>
      <c r="AA47" s="2215"/>
      <c r="AB47" s="2215"/>
      <c r="AC47" s="2215"/>
      <c r="AD47" s="2215"/>
      <c r="AE47" s="2215"/>
      <c r="AF47" s="2215"/>
      <c r="AG47" s="2215"/>
      <c r="AH47" s="2215"/>
      <c r="AI47" s="2215"/>
      <c r="AJ47" s="2215"/>
      <c r="AK47" s="2215"/>
      <c r="AL47" s="2216"/>
      <c r="AM47" s="2217"/>
      <c r="AN47" s="2217"/>
      <c r="AO47" s="2218"/>
      <c r="AP47" s="2216"/>
      <c r="AQ47" s="2217"/>
      <c r="AR47" s="2218"/>
      <c r="AS47" s="2222">
        <f t="shared" si="2"/>
        <v>0</v>
      </c>
      <c r="AT47" s="2223"/>
      <c r="AU47" s="2223"/>
      <c r="AV47" s="2223"/>
      <c r="AW47" s="2223"/>
      <c r="AX47" s="2224"/>
      <c r="AY47" s="2231">
        <f t="shared" si="3"/>
        <v>0</v>
      </c>
      <c r="AZ47" s="2232"/>
      <c r="BA47" s="2232"/>
      <c r="BB47" s="2232"/>
      <c r="BC47" s="2232"/>
      <c r="BD47" s="2233"/>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81" t="s">
        <v>2410</v>
      </c>
      <c r="C50" s="2037"/>
      <c r="D50" s="2037"/>
      <c r="E50" s="2037"/>
      <c r="F50" s="2037"/>
      <c r="G50" s="2037"/>
      <c r="H50" s="2037"/>
      <c r="I50" s="2037"/>
      <c r="J50" s="2037"/>
      <c r="K50" s="2037"/>
      <c r="L50" s="2037"/>
      <c r="M50" s="2037"/>
      <c r="N50" s="2037"/>
      <c r="O50" s="2037"/>
      <c r="P50" s="2037"/>
      <c r="Q50" s="2037"/>
      <c r="R50" s="2037"/>
      <c r="S50" s="2037"/>
      <c r="T50" s="2037"/>
      <c r="U50" s="2037"/>
      <c r="V50" s="2037"/>
      <c r="W50" s="2037"/>
      <c r="X50" s="2037"/>
      <c r="Y50" s="2037"/>
      <c r="Z50" s="2037"/>
      <c r="AA50" s="2037"/>
      <c r="AB50" s="2037"/>
      <c r="AC50" s="2037"/>
      <c r="AD50" s="2037"/>
      <c r="AE50" s="2037"/>
      <c r="AF50" s="2037"/>
      <c r="AG50" s="2037"/>
      <c r="AH50" s="2037"/>
      <c r="AI50" s="2037"/>
      <c r="AJ50" s="2037"/>
      <c r="AK50" s="2037"/>
      <c r="AL50" s="2037"/>
      <c r="AM50" s="2037"/>
      <c r="AN50" s="2037"/>
      <c r="AO50" s="2038"/>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44" t="s">
        <v>2403</v>
      </c>
      <c r="C51" s="2112"/>
      <c r="D51" s="2112"/>
      <c r="E51" s="2112"/>
      <c r="F51" s="2112"/>
      <c r="G51" s="2112"/>
      <c r="H51" s="2112"/>
      <c r="I51" s="2112"/>
      <c r="J51" s="2112" t="s">
        <v>2409</v>
      </c>
      <c r="K51" s="2112"/>
      <c r="L51" s="2112"/>
      <c r="M51" s="2112"/>
      <c r="N51" s="2112"/>
      <c r="O51" s="2112"/>
      <c r="P51" s="2112"/>
      <c r="Q51" s="2112"/>
      <c r="R51" s="2213" t="s">
        <v>2408</v>
      </c>
      <c r="S51" s="2213"/>
      <c r="T51" s="2213"/>
      <c r="U51" s="2213"/>
      <c r="V51" s="2213"/>
      <c r="W51" s="2213"/>
      <c r="X51" s="2213"/>
      <c r="Y51" s="2213"/>
      <c r="Z51" s="2213" t="s">
        <v>2407</v>
      </c>
      <c r="AA51" s="2213"/>
      <c r="AB51" s="2213"/>
      <c r="AC51" s="2213"/>
      <c r="AD51" s="2213"/>
      <c r="AE51" s="2213"/>
      <c r="AF51" s="2213"/>
      <c r="AG51" s="2213"/>
      <c r="AH51" s="2213" t="s">
        <v>2406</v>
      </c>
      <c r="AI51" s="2213"/>
      <c r="AJ51" s="2213"/>
      <c r="AK51" s="2213"/>
      <c r="AL51" s="2213"/>
      <c r="AM51" s="2213"/>
      <c r="AN51" s="2213"/>
      <c r="AO51" s="2214"/>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74" t="s">
        <v>2405</v>
      </c>
      <c r="C52" s="2175"/>
      <c r="D52" s="2175"/>
      <c r="E52" s="2175"/>
      <c r="F52" s="2175"/>
      <c r="G52" s="2175"/>
      <c r="H52" s="2175"/>
      <c r="I52" s="2175"/>
      <c r="J52" s="1998">
        <v>0</v>
      </c>
      <c r="K52" s="1998"/>
      <c r="L52" s="1998"/>
      <c r="M52" s="1998"/>
      <c r="N52" s="1998"/>
      <c r="O52" s="1998"/>
      <c r="P52" s="1998"/>
      <c r="Q52" s="1998"/>
      <c r="R52" s="2205">
        <v>0</v>
      </c>
      <c r="S52" s="2205"/>
      <c r="T52" s="2205"/>
      <c r="U52" s="2205"/>
      <c r="V52" s="2205"/>
      <c r="W52" s="2205"/>
      <c r="X52" s="2205"/>
      <c r="Y52" s="2205"/>
      <c r="Z52" s="2206">
        <v>0</v>
      </c>
      <c r="AA52" s="2206"/>
      <c r="AB52" s="2206"/>
      <c r="AC52" s="2206"/>
      <c r="AD52" s="2206"/>
      <c r="AE52" s="2206"/>
      <c r="AF52" s="2206"/>
      <c r="AG52" s="2206"/>
      <c r="AH52" s="2207"/>
      <c r="AI52" s="2207"/>
      <c r="AJ52" s="2207"/>
      <c r="AK52" s="2207"/>
      <c r="AL52" s="2207"/>
      <c r="AM52" s="2207"/>
      <c r="AN52" s="2207"/>
      <c r="AO52" s="2208"/>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74" t="s">
        <v>2404</v>
      </c>
      <c r="C53" s="2175"/>
      <c r="D53" s="2175"/>
      <c r="E53" s="2175"/>
      <c r="F53" s="2175"/>
      <c r="G53" s="2175"/>
      <c r="H53" s="2175"/>
      <c r="I53" s="2175"/>
      <c r="J53" s="1998">
        <v>0</v>
      </c>
      <c r="K53" s="1998"/>
      <c r="L53" s="1998"/>
      <c r="M53" s="1998"/>
      <c r="N53" s="1998"/>
      <c r="O53" s="1998"/>
      <c r="P53" s="1998"/>
      <c r="Q53" s="1998"/>
      <c r="R53" s="2205">
        <v>0</v>
      </c>
      <c r="S53" s="2205"/>
      <c r="T53" s="2205"/>
      <c r="U53" s="2205"/>
      <c r="V53" s="2205"/>
      <c r="W53" s="2205"/>
      <c r="X53" s="2205"/>
      <c r="Y53" s="2205"/>
      <c r="Z53" s="2206">
        <v>0</v>
      </c>
      <c r="AA53" s="2206"/>
      <c r="AB53" s="2206"/>
      <c r="AC53" s="2206"/>
      <c r="AD53" s="2206"/>
      <c r="AE53" s="2206"/>
      <c r="AF53" s="2206"/>
      <c r="AG53" s="2206"/>
      <c r="AH53" s="2207"/>
      <c r="AI53" s="2207"/>
      <c r="AJ53" s="2207"/>
      <c r="AK53" s="2207"/>
      <c r="AL53" s="2207"/>
      <c r="AM53" s="2207"/>
      <c r="AN53" s="2207"/>
      <c r="AO53" s="2208"/>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74"/>
      <c r="C54" s="2175"/>
      <c r="D54" s="2175"/>
      <c r="E54" s="2175"/>
      <c r="F54" s="2175"/>
      <c r="G54" s="2175"/>
      <c r="H54" s="2175"/>
      <c r="I54" s="2175"/>
      <c r="J54" s="1998"/>
      <c r="K54" s="1998"/>
      <c r="L54" s="1998"/>
      <c r="M54" s="1998"/>
      <c r="N54" s="1998"/>
      <c r="O54" s="1998"/>
      <c r="P54" s="1998"/>
      <c r="Q54" s="1998"/>
      <c r="R54" s="2205"/>
      <c r="S54" s="2205"/>
      <c r="T54" s="2205"/>
      <c r="U54" s="2205"/>
      <c r="V54" s="2205"/>
      <c r="W54" s="2205"/>
      <c r="X54" s="2205"/>
      <c r="Y54" s="2205"/>
      <c r="Z54" s="2206"/>
      <c r="AA54" s="2206"/>
      <c r="AB54" s="2206"/>
      <c r="AC54" s="2206"/>
      <c r="AD54" s="2206"/>
      <c r="AE54" s="2206"/>
      <c r="AF54" s="2206"/>
      <c r="AG54" s="2206"/>
      <c r="AH54" s="2207"/>
      <c r="AI54" s="2207"/>
      <c r="AJ54" s="2207"/>
      <c r="AK54" s="2207"/>
      <c r="AL54" s="2207"/>
      <c r="AM54" s="2207"/>
      <c r="AN54" s="2207"/>
      <c r="AO54" s="2208"/>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74"/>
      <c r="C55" s="2175"/>
      <c r="D55" s="2175"/>
      <c r="E55" s="2175"/>
      <c r="F55" s="2175"/>
      <c r="G55" s="2175"/>
      <c r="H55" s="2175"/>
      <c r="I55" s="2175"/>
      <c r="J55" s="1998"/>
      <c r="K55" s="1998"/>
      <c r="L55" s="1998"/>
      <c r="M55" s="1998"/>
      <c r="N55" s="1998"/>
      <c r="O55" s="1998"/>
      <c r="P55" s="1998"/>
      <c r="Q55" s="1998"/>
      <c r="R55" s="2205"/>
      <c r="S55" s="2205"/>
      <c r="T55" s="2205"/>
      <c r="U55" s="2205"/>
      <c r="V55" s="2205"/>
      <c r="W55" s="2205"/>
      <c r="X55" s="2205"/>
      <c r="Y55" s="2205"/>
      <c r="Z55" s="2206"/>
      <c r="AA55" s="2206"/>
      <c r="AB55" s="2206"/>
      <c r="AC55" s="2206"/>
      <c r="AD55" s="2206"/>
      <c r="AE55" s="2206"/>
      <c r="AF55" s="2206"/>
      <c r="AG55" s="2206"/>
      <c r="AH55" s="2207"/>
      <c r="AI55" s="2207"/>
      <c r="AJ55" s="2207"/>
      <c r="AK55" s="2207"/>
      <c r="AL55" s="2207"/>
      <c r="AM55" s="2207"/>
      <c r="AN55" s="2207"/>
      <c r="AO55" s="2208"/>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74"/>
      <c r="C56" s="2175"/>
      <c r="D56" s="2175"/>
      <c r="E56" s="2175"/>
      <c r="F56" s="2175"/>
      <c r="G56" s="2175"/>
      <c r="H56" s="2175"/>
      <c r="I56" s="2175"/>
      <c r="J56" s="1998"/>
      <c r="K56" s="1998"/>
      <c r="L56" s="1998"/>
      <c r="M56" s="1998"/>
      <c r="N56" s="1998"/>
      <c r="O56" s="1998"/>
      <c r="P56" s="1998"/>
      <c r="Q56" s="1998"/>
      <c r="R56" s="2205"/>
      <c r="S56" s="2205"/>
      <c r="T56" s="2205"/>
      <c r="U56" s="2205"/>
      <c r="V56" s="2205"/>
      <c r="W56" s="2205"/>
      <c r="X56" s="2205"/>
      <c r="Y56" s="2205"/>
      <c r="Z56" s="2206"/>
      <c r="AA56" s="2206"/>
      <c r="AB56" s="2206"/>
      <c r="AC56" s="2206"/>
      <c r="AD56" s="2206"/>
      <c r="AE56" s="2206"/>
      <c r="AF56" s="2206"/>
      <c r="AG56" s="2206"/>
      <c r="AH56" s="2207"/>
      <c r="AI56" s="2207"/>
      <c r="AJ56" s="2207"/>
      <c r="AK56" s="2207"/>
      <c r="AL56" s="2207"/>
      <c r="AM56" s="2207"/>
      <c r="AN56" s="2207"/>
      <c r="AO56" s="2208"/>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42" t="s">
        <v>1586</v>
      </c>
      <c r="C57" s="2143"/>
      <c r="D57" s="2143"/>
      <c r="E57" s="2143"/>
      <c r="F57" s="2143"/>
      <c r="G57" s="2143"/>
      <c r="H57" s="2143"/>
      <c r="I57" s="2143"/>
      <c r="J57" s="2143"/>
      <c r="K57" s="2143"/>
      <c r="L57" s="2143"/>
      <c r="M57" s="2143"/>
      <c r="N57" s="2143"/>
      <c r="O57" s="2143"/>
      <c r="P57" s="2143"/>
      <c r="Q57" s="2143"/>
      <c r="R57" s="2209">
        <f>SUM(R52:Y56)</f>
        <v>0</v>
      </c>
      <c r="S57" s="2209"/>
      <c r="T57" s="2209"/>
      <c r="U57" s="2209"/>
      <c r="V57" s="2209"/>
      <c r="W57" s="2209"/>
      <c r="X57" s="2209"/>
      <c r="Y57" s="2209"/>
      <c r="Z57" s="2210">
        <f>SUM(Z52:AG56)</f>
        <v>0</v>
      </c>
      <c r="AA57" s="2210"/>
      <c r="AB57" s="2210"/>
      <c r="AC57" s="2210"/>
      <c r="AD57" s="2210"/>
      <c r="AE57" s="2210"/>
      <c r="AF57" s="2210"/>
      <c r="AG57" s="2210"/>
      <c r="AH57" s="2211"/>
      <c r="AI57" s="2211"/>
      <c r="AJ57" s="2211"/>
      <c r="AK57" s="2211"/>
      <c r="AL57" s="2211"/>
      <c r="AM57" s="2211"/>
      <c r="AN57" s="2211"/>
      <c r="AO57" s="2212"/>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202" t="s">
        <v>2403</v>
      </c>
      <c r="C59" s="2203"/>
      <c r="D59" s="2203"/>
      <c r="E59" s="2203"/>
      <c r="F59" s="2203"/>
      <c r="G59" s="2203"/>
      <c r="H59" s="2203"/>
      <c r="I59" s="2204"/>
      <c r="J59" s="2110" t="s">
        <v>2402</v>
      </c>
      <c r="K59" s="2110"/>
      <c r="L59" s="2110"/>
      <c r="M59" s="2110"/>
      <c r="N59" s="2110"/>
      <c r="O59" s="2110"/>
      <c r="P59" s="2110"/>
      <c r="Q59" s="2110"/>
      <c r="R59" s="2110"/>
      <c r="S59" s="2110"/>
      <c r="T59" s="2110"/>
      <c r="U59" s="2110"/>
      <c r="V59" s="2110"/>
      <c r="W59" s="2110"/>
      <c r="X59" s="2110"/>
      <c r="Y59" s="2110"/>
      <c r="Z59" s="2110"/>
      <c r="AA59" s="2110"/>
      <c r="AB59" s="2110"/>
      <c r="AC59" s="2110"/>
      <c r="AD59" s="2110"/>
      <c r="AE59" s="2110"/>
      <c r="AF59" s="2110"/>
      <c r="AG59" s="2110"/>
      <c r="AH59" s="2110"/>
      <c r="AI59" s="2110"/>
      <c r="AJ59" s="2110"/>
      <c r="AK59" s="2110"/>
      <c r="AL59" s="2110"/>
      <c r="AM59" s="2110"/>
      <c r="AN59" s="2110"/>
      <c r="AO59" s="2110"/>
      <c r="AP59" s="2110"/>
      <c r="AQ59" s="2110"/>
      <c r="AR59" s="2110"/>
      <c r="AS59" s="2110"/>
      <c r="AT59" s="2110"/>
      <c r="AU59" s="2110"/>
      <c r="AV59" s="2110"/>
      <c r="AW59" s="2111"/>
      <c r="AX59" s="1190"/>
      <c r="AY59" s="1190"/>
      <c r="AZ59" s="1190"/>
      <c r="BA59" s="1190"/>
      <c r="BB59" s="1190"/>
      <c r="BC59" s="1190"/>
      <c r="BD59" s="1190"/>
      <c r="BE59" s="1194"/>
    </row>
    <row r="60" spans="1:77" ht="15.75" customHeight="1">
      <c r="A60" s="1190"/>
      <c r="B60" s="2194" t="str">
        <f>IF(B52="", "", B52)</f>
        <v>Services Company 1</v>
      </c>
      <c r="C60" s="2195"/>
      <c r="D60" s="2195"/>
      <c r="E60" s="2195"/>
      <c r="F60" s="2195"/>
      <c r="G60" s="2195"/>
      <c r="H60" s="2195"/>
      <c r="I60" s="2196"/>
      <c r="J60" s="2197"/>
      <c r="K60" s="2001"/>
      <c r="L60" s="2001"/>
      <c r="M60" s="2001"/>
      <c r="N60" s="2001"/>
      <c r="O60" s="2001"/>
      <c r="P60" s="2001"/>
      <c r="Q60" s="2001"/>
      <c r="R60" s="2001"/>
      <c r="S60" s="2001"/>
      <c r="T60" s="2001"/>
      <c r="U60" s="2001"/>
      <c r="V60" s="2001"/>
      <c r="W60" s="2001"/>
      <c r="X60" s="2001"/>
      <c r="Y60" s="2001"/>
      <c r="Z60" s="2001"/>
      <c r="AA60" s="2001"/>
      <c r="AB60" s="2001"/>
      <c r="AC60" s="2001"/>
      <c r="AD60" s="2001"/>
      <c r="AE60" s="2001"/>
      <c r="AF60" s="2001"/>
      <c r="AG60" s="2001"/>
      <c r="AH60" s="2001"/>
      <c r="AI60" s="2001"/>
      <c r="AJ60" s="2001"/>
      <c r="AK60" s="2001"/>
      <c r="AL60" s="2001"/>
      <c r="AM60" s="2001"/>
      <c r="AN60" s="2001"/>
      <c r="AO60" s="2001"/>
      <c r="AP60" s="2001"/>
      <c r="AQ60" s="2001"/>
      <c r="AR60" s="2001"/>
      <c r="AS60" s="2001"/>
      <c r="AT60" s="2001"/>
      <c r="AU60" s="2001"/>
      <c r="AV60" s="2001"/>
      <c r="AW60" s="2002"/>
      <c r="AX60" s="1190"/>
      <c r="AY60" s="1190"/>
      <c r="AZ60" s="1190"/>
      <c r="BA60" s="1190"/>
      <c r="BB60" s="1190"/>
      <c r="BC60" s="1190"/>
      <c r="BD60" s="1190"/>
      <c r="BE60" s="1194"/>
    </row>
    <row r="61" spans="1:77" ht="15.75" customHeight="1">
      <c r="A61" s="1190"/>
      <c r="B61" s="2194" t="str">
        <f>IF(B53="", "", B53)</f>
        <v>Services Company 2</v>
      </c>
      <c r="C61" s="2195"/>
      <c r="D61" s="2195"/>
      <c r="E61" s="2195"/>
      <c r="F61" s="2195"/>
      <c r="G61" s="2195"/>
      <c r="H61" s="2195"/>
      <c r="I61" s="2196"/>
      <c r="J61" s="2197"/>
      <c r="K61" s="2001"/>
      <c r="L61" s="2001"/>
      <c r="M61" s="2001"/>
      <c r="N61" s="2001"/>
      <c r="O61" s="2001"/>
      <c r="P61" s="2001"/>
      <c r="Q61" s="2001"/>
      <c r="R61" s="2001"/>
      <c r="S61" s="2001"/>
      <c r="T61" s="2001"/>
      <c r="U61" s="2001"/>
      <c r="V61" s="2001"/>
      <c r="W61" s="2001"/>
      <c r="X61" s="2001"/>
      <c r="Y61" s="2001"/>
      <c r="Z61" s="2001"/>
      <c r="AA61" s="2001"/>
      <c r="AB61" s="2001"/>
      <c r="AC61" s="2001"/>
      <c r="AD61" s="2001"/>
      <c r="AE61" s="2001"/>
      <c r="AF61" s="2001"/>
      <c r="AG61" s="2001"/>
      <c r="AH61" s="2001"/>
      <c r="AI61" s="2001"/>
      <c r="AJ61" s="2001"/>
      <c r="AK61" s="2001"/>
      <c r="AL61" s="2001"/>
      <c r="AM61" s="2001"/>
      <c r="AN61" s="2001"/>
      <c r="AO61" s="2001"/>
      <c r="AP61" s="2001"/>
      <c r="AQ61" s="2001"/>
      <c r="AR61" s="2001"/>
      <c r="AS61" s="2001"/>
      <c r="AT61" s="2001"/>
      <c r="AU61" s="2001"/>
      <c r="AV61" s="2001"/>
      <c r="AW61" s="2002"/>
      <c r="AX61" s="1190"/>
      <c r="AY61" s="1190"/>
      <c r="AZ61" s="1190"/>
      <c r="BA61" s="1190"/>
      <c r="BB61" s="1190"/>
      <c r="BC61" s="1190"/>
      <c r="BD61" s="1190"/>
      <c r="BE61" s="1194"/>
    </row>
    <row r="62" spans="1:77" ht="15.75" customHeight="1">
      <c r="A62" s="1190"/>
      <c r="B62" s="2194" t="str">
        <f>IF(B54="", "", B54)</f>
        <v/>
      </c>
      <c r="C62" s="2195"/>
      <c r="D62" s="2195"/>
      <c r="E62" s="2195"/>
      <c r="F62" s="2195"/>
      <c r="G62" s="2195"/>
      <c r="H62" s="2195"/>
      <c r="I62" s="2196"/>
      <c r="J62" s="2197"/>
      <c r="K62" s="2001"/>
      <c r="L62" s="2001"/>
      <c r="M62" s="2001"/>
      <c r="N62" s="2001"/>
      <c r="O62" s="2001"/>
      <c r="P62" s="2001"/>
      <c r="Q62" s="2001"/>
      <c r="R62" s="2001"/>
      <c r="S62" s="2001"/>
      <c r="T62" s="2001"/>
      <c r="U62" s="2001"/>
      <c r="V62" s="2001"/>
      <c r="W62" s="2001"/>
      <c r="X62" s="2001"/>
      <c r="Y62" s="2001"/>
      <c r="Z62" s="2001"/>
      <c r="AA62" s="2001"/>
      <c r="AB62" s="2001"/>
      <c r="AC62" s="2001"/>
      <c r="AD62" s="2001"/>
      <c r="AE62" s="2001"/>
      <c r="AF62" s="2001"/>
      <c r="AG62" s="2001"/>
      <c r="AH62" s="2001"/>
      <c r="AI62" s="2001"/>
      <c r="AJ62" s="2001"/>
      <c r="AK62" s="2001"/>
      <c r="AL62" s="2001"/>
      <c r="AM62" s="2001"/>
      <c r="AN62" s="2001"/>
      <c r="AO62" s="2001"/>
      <c r="AP62" s="2001"/>
      <c r="AQ62" s="2001"/>
      <c r="AR62" s="2001"/>
      <c r="AS62" s="2001"/>
      <c r="AT62" s="2001"/>
      <c r="AU62" s="2001"/>
      <c r="AV62" s="2001"/>
      <c r="AW62" s="2002"/>
      <c r="AX62" s="1190"/>
      <c r="AY62" s="1190"/>
      <c r="AZ62" s="1190"/>
      <c r="BA62" s="1190"/>
      <c r="BB62" s="1190"/>
      <c r="BC62" s="1190"/>
      <c r="BD62" s="1190"/>
      <c r="BE62" s="1194"/>
    </row>
    <row r="63" spans="1:77" ht="15.75" customHeight="1">
      <c r="A63" s="1190"/>
      <c r="B63" s="2194" t="str">
        <f>IF(B55="", "", B55)</f>
        <v/>
      </c>
      <c r="C63" s="2195"/>
      <c r="D63" s="2195"/>
      <c r="E63" s="2195"/>
      <c r="F63" s="2195"/>
      <c r="G63" s="2195"/>
      <c r="H63" s="2195"/>
      <c r="I63" s="2196"/>
      <c r="J63" s="2197"/>
      <c r="K63" s="2001"/>
      <c r="L63" s="2001"/>
      <c r="M63" s="2001"/>
      <c r="N63" s="2001"/>
      <c r="O63" s="2001"/>
      <c r="P63" s="2001"/>
      <c r="Q63" s="2001"/>
      <c r="R63" s="2001"/>
      <c r="S63" s="2001"/>
      <c r="T63" s="2001"/>
      <c r="U63" s="2001"/>
      <c r="V63" s="2001"/>
      <c r="W63" s="2001"/>
      <c r="X63" s="2001"/>
      <c r="Y63" s="2001"/>
      <c r="Z63" s="2001"/>
      <c r="AA63" s="2001"/>
      <c r="AB63" s="2001"/>
      <c r="AC63" s="2001"/>
      <c r="AD63" s="2001"/>
      <c r="AE63" s="2001"/>
      <c r="AF63" s="2001"/>
      <c r="AG63" s="2001"/>
      <c r="AH63" s="2001"/>
      <c r="AI63" s="2001"/>
      <c r="AJ63" s="2001"/>
      <c r="AK63" s="2001"/>
      <c r="AL63" s="2001"/>
      <c r="AM63" s="2001"/>
      <c r="AN63" s="2001"/>
      <c r="AO63" s="2001"/>
      <c r="AP63" s="2001"/>
      <c r="AQ63" s="2001"/>
      <c r="AR63" s="2001"/>
      <c r="AS63" s="2001"/>
      <c r="AT63" s="2001"/>
      <c r="AU63" s="2001"/>
      <c r="AV63" s="2001"/>
      <c r="AW63" s="2002"/>
      <c r="AX63" s="1190"/>
      <c r="AY63" s="1190"/>
      <c r="AZ63" s="1190"/>
      <c r="BA63" s="1190"/>
      <c r="BB63" s="1190"/>
      <c r="BC63" s="1190"/>
      <c r="BD63" s="1190"/>
      <c r="BE63" s="1194"/>
    </row>
    <row r="64" spans="1:77" ht="15.75" customHeight="1" thickBot="1">
      <c r="A64" s="1190"/>
      <c r="B64" s="2198" t="str">
        <f>IF(B56="", "", B56)</f>
        <v/>
      </c>
      <c r="C64" s="2199"/>
      <c r="D64" s="2199"/>
      <c r="E64" s="2199"/>
      <c r="F64" s="2199"/>
      <c r="G64" s="2199"/>
      <c r="H64" s="2199"/>
      <c r="I64" s="2200"/>
      <c r="J64" s="2201"/>
      <c r="K64" s="2184"/>
      <c r="L64" s="2184"/>
      <c r="M64" s="2184"/>
      <c r="N64" s="2184"/>
      <c r="O64" s="2184"/>
      <c r="P64" s="2184"/>
      <c r="Q64" s="2184"/>
      <c r="R64" s="2184"/>
      <c r="S64" s="2184"/>
      <c r="T64" s="2184"/>
      <c r="U64" s="2184"/>
      <c r="V64" s="2184"/>
      <c r="W64" s="2184"/>
      <c r="X64" s="2184"/>
      <c r="Y64" s="2184"/>
      <c r="Z64" s="2184"/>
      <c r="AA64" s="2184"/>
      <c r="AB64" s="2184"/>
      <c r="AC64" s="2184"/>
      <c r="AD64" s="2184"/>
      <c r="AE64" s="2184"/>
      <c r="AF64" s="2184"/>
      <c r="AG64" s="2184"/>
      <c r="AH64" s="2184"/>
      <c r="AI64" s="2184"/>
      <c r="AJ64" s="2184"/>
      <c r="AK64" s="2184"/>
      <c r="AL64" s="2184"/>
      <c r="AM64" s="2184"/>
      <c r="AN64" s="2184"/>
      <c r="AO64" s="2184"/>
      <c r="AP64" s="2184"/>
      <c r="AQ64" s="2184"/>
      <c r="AR64" s="2184"/>
      <c r="AS64" s="2184"/>
      <c r="AT64" s="2184"/>
      <c r="AU64" s="2184"/>
      <c r="AV64" s="2184"/>
      <c r="AW64" s="2185"/>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9" t="s">
        <v>2400</v>
      </c>
      <c r="C68" s="2110"/>
      <c r="D68" s="2110"/>
      <c r="E68" s="2110"/>
      <c r="F68" s="2110"/>
      <c r="G68" s="2110"/>
      <c r="H68" s="2110"/>
      <c r="I68" s="2110"/>
      <c r="J68" s="2110"/>
      <c r="K68" s="2110"/>
      <c r="L68" s="2110"/>
      <c r="M68" s="2110"/>
      <c r="N68" s="2110"/>
      <c r="O68" s="2110"/>
      <c r="P68" s="2110"/>
      <c r="Q68" s="2110"/>
      <c r="R68" s="2110"/>
      <c r="S68" s="2110"/>
      <c r="T68" s="2110"/>
      <c r="U68" s="2110"/>
      <c r="V68" s="2110"/>
      <c r="W68" s="2110"/>
      <c r="X68" s="2110"/>
      <c r="Y68" s="2110"/>
      <c r="Z68" s="2110"/>
      <c r="AA68" s="2111"/>
      <c r="AB68" s="1190"/>
      <c r="AC68" s="2035" t="s">
        <v>2399</v>
      </c>
      <c r="AD68" s="2036"/>
      <c r="AE68" s="2036"/>
      <c r="AF68" s="2036"/>
      <c r="AG68" s="2036"/>
      <c r="AH68" s="2036"/>
      <c r="AI68" s="2036"/>
      <c r="AJ68" s="2036"/>
      <c r="AK68" s="2036"/>
      <c r="AL68" s="2036"/>
      <c r="AM68" s="2036"/>
      <c r="AN68" s="2036"/>
      <c r="AO68" s="2036"/>
      <c r="AP68" s="2036"/>
      <c r="AQ68" s="2036"/>
      <c r="AR68" s="2036"/>
      <c r="AS68" s="2036"/>
      <c r="AT68" s="2036"/>
      <c r="AU68" s="2036"/>
      <c r="AV68" s="2186" t="s">
        <v>669</v>
      </c>
      <c r="AW68" s="2092"/>
      <c r="AX68" s="2092"/>
      <c r="AY68" s="2092"/>
      <c r="AZ68" s="2092"/>
      <c r="BA68" s="2092"/>
      <c r="BB68" s="2092"/>
      <c r="BC68" s="2093"/>
      <c r="BD68" s="1190"/>
      <c r="BE68" s="1194"/>
      <c r="BM68" s="1199" t="s">
        <v>2398</v>
      </c>
    </row>
    <row r="69" spans="1:94" ht="15.75" customHeight="1" thickTop="1" thickBot="1">
      <c r="A69" s="1190"/>
      <c r="B69" s="2187" t="s">
        <v>2397</v>
      </c>
      <c r="C69" s="2188"/>
      <c r="D69" s="2188"/>
      <c r="E69" s="2188"/>
      <c r="F69" s="2188"/>
      <c r="G69" s="2188"/>
      <c r="H69" s="2188"/>
      <c r="I69" s="2188"/>
      <c r="J69" s="2188"/>
      <c r="K69" s="2188"/>
      <c r="L69" s="2188"/>
      <c r="M69" s="2188"/>
      <c r="N69" s="2188"/>
      <c r="O69" s="2189" t="s">
        <v>2396</v>
      </c>
      <c r="P69" s="2190"/>
      <c r="Q69" s="2190"/>
      <c r="R69" s="2190"/>
      <c r="S69" s="2190"/>
      <c r="T69" s="2190"/>
      <c r="U69" s="2190"/>
      <c r="V69" s="2190"/>
      <c r="W69" s="2190"/>
      <c r="X69" s="2190"/>
      <c r="Y69" s="2190"/>
      <c r="Z69" s="2190"/>
      <c r="AA69" s="2191"/>
      <c r="AB69" s="1190"/>
      <c r="AC69" s="2192" t="s">
        <v>2395</v>
      </c>
      <c r="AD69" s="2193"/>
      <c r="AE69" s="2193"/>
      <c r="AF69" s="2193"/>
      <c r="AG69" s="2193"/>
      <c r="AH69" s="2193"/>
      <c r="AI69" s="2193"/>
      <c r="AJ69" s="2193"/>
      <c r="AK69" s="2193"/>
      <c r="AL69" s="2193"/>
      <c r="AM69" s="2193"/>
      <c r="AN69" s="2193"/>
      <c r="AO69" s="2193"/>
      <c r="AP69" s="2193"/>
      <c r="AQ69" s="2193"/>
      <c r="AR69" s="2193"/>
      <c r="AS69" s="2193"/>
      <c r="AT69" s="2193"/>
      <c r="AU69" s="2193"/>
      <c r="AV69" s="2186" t="s">
        <v>669</v>
      </c>
      <c r="AW69" s="2092"/>
      <c r="AX69" s="2092"/>
      <c r="AY69" s="2092"/>
      <c r="AZ69" s="2092"/>
      <c r="BA69" s="2092"/>
      <c r="BB69" s="2092"/>
      <c r="BC69" s="2093"/>
      <c r="BD69" s="1190"/>
      <c r="BE69" s="1194"/>
      <c r="BM69" s="1200" t="s">
        <v>545</v>
      </c>
    </row>
    <row r="70" spans="1:94" ht="15.75" customHeight="1">
      <c r="A70" s="1190"/>
      <c r="B70" s="2169" t="s">
        <v>2394</v>
      </c>
      <c r="C70" s="2170"/>
      <c r="D70" s="2170"/>
      <c r="E70" s="2170"/>
      <c r="F70" s="2170"/>
      <c r="G70" s="2170"/>
      <c r="H70" s="2170"/>
      <c r="I70" s="2170"/>
      <c r="J70" s="2170"/>
      <c r="K70" s="2170"/>
      <c r="L70" s="2170"/>
      <c r="M70" s="2170"/>
      <c r="N70" s="2170"/>
      <c r="O70" s="2043">
        <v>0</v>
      </c>
      <c r="P70" s="2043"/>
      <c r="Q70" s="2043"/>
      <c r="R70" s="2043"/>
      <c r="S70" s="2043"/>
      <c r="T70" s="2043"/>
      <c r="U70" s="2043"/>
      <c r="V70" s="2043"/>
      <c r="W70" s="2043"/>
      <c r="X70" s="2043"/>
      <c r="Y70" s="2043"/>
      <c r="Z70" s="2043"/>
      <c r="AA70" s="2171"/>
      <c r="AB70" s="1190"/>
      <c r="AC70" s="2081" t="s">
        <v>2393</v>
      </c>
      <c r="AD70" s="2037"/>
      <c r="AE70" s="2037"/>
      <c r="AF70" s="2180"/>
      <c r="AG70" s="2180"/>
      <c r="AH70" s="2180"/>
      <c r="AI70" s="2180"/>
      <c r="AJ70" s="2180"/>
      <c r="AK70" s="2180"/>
      <c r="AL70" s="2180"/>
      <c r="AM70" s="2180"/>
      <c r="AN70" s="2180"/>
      <c r="AO70" s="2180"/>
      <c r="AP70" s="2180"/>
      <c r="AQ70" s="2180"/>
      <c r="AR70" s="2180"/>
      <c r="AS70" s="2180"/>
      <c r="AT70" s="2180"/>
      <c r="AU70" s="2181"/>
      <c r="AV70" s="1190"/>
      <c r="AW70" s="1190"/>
      <c r="AX70" s="1190"/>
      <c r="AY70" s="1190"/>
      <c r="AZ70" s="1190"/>
      <c r="BA70" s="1190"/>
      <c r="BB70" s="1190"/>
      <c r="BC70" s="1190"/>
      <c r="BD70" s="1190"/>
      <c r="BE70" s="1194"/>
      <c r="BM70" s="1201" t="s">
        <v>669</v>
      </c>
    </row>
    <row r="71" spans="1:94" ht="15.75" customHeight="1" thickBot="1">
      <c r="A71" s="1190"/>
      <c r="B71" s="2169" t="s">
        <v>2392</v>
      </c>
      <c r="C71" s="2170"/>
      <c r="D71" s="2170"/>
      <c r="E71" s="2170"/>
      <c r="F71" s="2170"/>
      <c r="G71" s="2170"/>
      <c r="H71" s="2170"/>
      <c r="I71" s="2170"/>
      <c r="J71" s="2170"/>
      <c r="K71" s="2170"/>
      <c r="L71" s="2170"/>
      <c r="M71" s="2170"/>
      <c r="N71" s="2170"/>
      <c r="O71" s="2043">
        <v>0</v>
      </c>
      <c r="P71" s="2043"/>
      <c r="Q71" s="2043"/>
      <c r="R71" s="2043"/>
      <c r="S71" s="2043"/>
      <c r="T71" s="2043"/>
      <c r="U71" s="2043"/>
      <c r="V71" s="2043"/>
      <c r="W71" s="2043"/>
      <c r="X71" s="2043"/>
      <c r="Y71" s="2043"/>
      <c r="Z71" s="2043"/>
      <c r="AA71" s="2171"/>
      <c r="AB71" s="1190"/>
      <c r="AC71" s="2182" t="s">
        <v>2391</v>
      </c>
      <c r="AD71" s="2183"/>
      <c r="AE71" s="2183"/>
      <c r="AF71" s="2184"/>
      <c r="AG71" s="2184"/>
      <c r="AH71" s="2184"/>
      <c r="AI71" s="2184"/>
      <c r="AJ71" s="2184"/>
      <c r="AK71" s="2184"/>
      <c r="AL71" s="2184"/>
      <c r="AM71" s="2184"/>
      <c r="AN71" s="2184"/>
      <c r="AO71" s="2184"/>
      <c r="AP71" s="2184"/>
      <c r="AQ71" s="2184"/>
      <c r="AR71" s="2184"/>
      <c r="AS71" s="2184"/>
      <c r="AT71" s="2184"/>
      <c r="AU71" s="2185"/>
      <c r="AV71" s="1190"/>
      <c r="AW71" s="1190"/>
      <c r="AX71" s="1190"/>
      <c r="AY71" s="1190"/>
      <c r="AZ71" s="1190"/>
      <c r="BA71" s="1190"/>
      <c r="BB71" s="1190"/>
      <c r="BC71" s="1190"/>
      <c r="BD71" s="1190"/>
      <c r="BE71" s="1194"/>
      <c r="BM71" s="1187" t="s">
        <v>2390</v>
      </c>
    </row>
    <row r="72" spans="1:94" ht="15.75" customHeight="1">
      <c r="A72" s="1190"/>
      <c r="B72" s="2169" t="s">
        <v>2389</v>
      </c>
      <c r="C72" s="2170"/>
      <c r="D72" s="2170"/>
      <c r="E72" s="2170"/>
      <c r="F72" s="2170"/>
      <c r="G72" s="2170"/>
      <c r="H72" s="2170"/>
      <c r="I72" s="2170"/>
      <c r="J72" s="2170"/>
      <c r="K72" s="2170"/>
      <c r="L72" s="2170"/>
      <c r="M72" s="2170"/>
      <c r="N72" s="2170"/>
      <c r="O72" s="2043">
        <v>0</v>
      </c>
      <c r="P72" s="2043"/>
      <c r="Q72" s="2043"/>
      <c r="R72" s="2043"/>
      <c r="S72" s="2043"/>
      <c r="T72" s="2043"/>
      <c r="U72" s="2043"/>
      <c r="V72" s="2043"/>
      <c r="W72" s="2043"/>
      <c r="X72" s="2043"/>
      <c r="Y72" s="2043"/>
      <c r="Z72" s="2043"/>
      <c r="AA72" s="2171"/>
      <c r="AB72" s="1190"/>
      <c r="AC72" s="2172" t="s">
        <v>2388</v>
      </c>
      <c r="AD72" s="2173"/>
      <c r="AE72" s="2173"/>
      <c r="AF72" s="2173"/>
      <c r="AG72" s="2173"/>
      <c r="AH72" s="2173"/>
      <c r="AI72" s="2173"/>
      <c r="AJ72" s="2173"/>
      <c r="AK72" s="2173"/>
      <c r="AL72" s="2173"/>
      <c r="AM72" s="2173"/>
      <c r="AN72" s="2173"/>
      <c r="AO72" s="2173"/>
      <c r="AP72" s="2173"/>
      <c r="AQ72" s="2173"/>
      <c r="AR72" s="2173"/>
      <c r="AS72" s="2173"/>
      <c r="AT72" s="2173"/>
      <c r="AU72" s="2173"/>
      <c r="AV72" s="2037"/>
      <c r="AW72" s="2037"/>
      <c r="AX72" s="2037"/>
      <c r="AY72" s="2037"/>
      <c r="AZ72" s="2037"/>
      <c r="BA72" s="2037"/>
      <c r="BB72" s="2037"/>
      <c r="BC72" s="2038"/>
      <c r="BD72" s="1190"/>
      <c r="BE72" s="1194"/>
    </row>
    <row r="73" spans="1:94" ht="15.75" customHeight="1">
      <c r="A73" s="1190"/>
      <c r="B73" s="2174" t="s">
        <v>2387</v>
      </c>
      <c r="C73" s="2175"/>
      <c r="D73" s="2175"/>
      <c r="E73" s="2175"/>
      <c r="F73" s="2175"/>
      <c r="G73" s="2175"/>
      <c r="H73" s="2175"/>
      <c r="I73" s="2175"/>
      <c r="J73" s="2175"/>
      <c r="K73" s="2175"/>
      <c r="L73" s="2175"/>
      <c r="M73" s="2175"/>
      <c r="N73" s="2175"/>
      <c r="O73" s="2043">
        <v>0</v>
      </c>
      <c r="P73" s="2043"/>
      <c r="Q73" s="2043"/>
      <c r="R73" s="2043"/>
      <c r="S73" s="2043"/>
      <c r="T73" s="2043"/>
      <c r="U73" s="2043"/>
      <c r="V73" s="2043"/>
      <c r="W73" s="2043"/>
      <c r="X73" s="2043"/>
      <c r="Y73" s="2043"/>
      <c r="Z73" s="2043"/>
      <c r="AA73" s="2171"/>
      <c r="AB73" s="1190"/>
      <c r="AC73" s="2052" t="s">
        <v>2332</v>
      </c>
      <c r="AD73" s="2053"/>
      <c r="AE73" s="2053"/>
      <c r="AF73" s="2053"/>
      <c r="AG73" s="2053"/>
      <c r="AH73" s="2053"/>
      <c r="AI73" s="2053"/>
      <c r="AJ73" s="2053"/>
      <c r="AK73" s="2053"/>
      <c r="AL73" s="2053"/>
      <c r="AM73" s="2053"/>
      <c r="AN73" s="2053"/>
      <c r="AO73" s="2053"/>
      <c r="AP73" s="2053"/>
      <c r="AQ73" s="2053"/>
      <c r="AR73" s="2053"/>
      <c r="AS73" s="2053"/>
      <c r="AT73" s="2053"/>
      <c r="AU73" s="2053"/>
      <c r="AV73" s="2053"/>
      <c r="AW73" s="2053"/>
      <c r="AX73" s="2053"/>
      <c r="AY73" s="2053"/>
      <c r="AZ73" s="2053"/>
      <c r="BA73" s="2053"/>
      <c r="BB73" s="2053"/>
      <c r="BC73" s="2054"/>
      <c r="BD73" s="1190"/>
      <c r="BE73" s="1194"/>
      <c r="CK73" s="1188"/>
      <c r="CL73" s="1188"/>
      <c r="CM73" s="1188"/>
      <c r="CN73" s="1188"/>
      <c r="CO73" s="1188"/>
      <c r="CP73" s="1188"/>
    </row>
    <row r="74" spans="1:94" ht="15.75" customHeight="1">
      <c r="A74" s="1190"/>
      <c r="B74" s="1997"/>
      <c r="C74" s="1998"/>
      <c r="D74" s="1998"/>
      <c r="E74" s="1998"/>
      <c r="F74" s="1998"/>
      <c r="G74" s="1998"/>
      <c r="H74" s="1998"/>
      <c r="I74" s="1998"/>
      <c r="J74" s="1998"/>
      <c r="K74" s="1998"/>
      <c r="L74" s="1998"/>
      <c r="M74" s="1998"/>
      <c r="N74" s="1998"/>
      <c r="O74" s="2043"/>
      <c r="P74" s="2043"/>
      <c r="Q74" s="2043"/>
      <c r="R74" s="2043"/>
      <c r="S74" s="2043"/>
      <c r="T74" s="2043"/>
      <c r="U74" s="2043"/>
      <c r="V74" s="2043"/>
      <c r="W74" s="2043"/>
      <c r="X74" s="2043"/>
      <c r="Y74" s="2043"/>
      <c r="Z74" s="2043"/>
      <c r="AA74" s="2171"/>
      <c r="AB74" s="1190"/>
      <c r="AC74" s="2052"/>
      <c r="AD74" s="2053"/>
      <c r="AE74" s="2053"/>
      <c r="AF74" s="2053"/>
      <c r="AG74" s="2053"/>
      <c r="AH74" s="2053"/>
      <c r="AI74" s="2053"/>
      <c r="AJ74" s="2053"/>
      <c r="AK74" s="2053"/>
      <c r="AL74" s="2053"/>
      <c r="AM74" s="2053"/>
      <c r="AN74" s="2053"/>
      <c r="AO74" s="2053"/>
      <c r="AP74" s="2053"/>
      <c r="AQ74" s="2053"/>
      <c r="AR74" s="2053"/>
      <c r="AS74" s="2053"/>
      <c r="AT74" s="2053"/>
      <c r="AU74" s="2053"/>
      <c r="AV74" s="2053"/>
      <c r="AW74" s="2053"/>
      <c r="AX74" s="2053"/>
      <c r="AY74" s="2053"/>
      <c r="AZ74" s="2053"/>
      <c r="BA74" s="2053"/>
      <c r="BB74" s="2053"/>
      <c r="BC74" s="2054"/>
      <c r="BD74" s="1190"/>
      <c r="BE74" s="1194"/>
      <c r="CK74" s="1188"/>
      <c r="CL74" s="1188"/>
      <c r="CM74" s="1188"/>
      <c r="CN74" s="1188"/>
      <c r="CO74" s="1188"/>
      <c r="CP74" s="1188"/>
    </row>
    <row r="75" spans="1:94" ht="15.75" customHeight="1" thickBot="1">
      <c r="A75" s="1190"/>
      <c r="B75" s="2176" t="s">
        <v>124</v>
      </c>
      <c r="C75" s="2177"/>
      <c r="D75" s="2177"/>
      <c r="E75" s="2177"/>
      <c r="F75" s="2177"/>
      <c r="G75" s="2177"/>
      <c r="H75" s="2177"/>
      <c r="I75" s="2177"/>
      <c r="J75" s="2177"/>
      <c r="K75" s="2177"/>
      <c r="L75" s="2177"/>
      <c r="M75" s="2177"/>
      <c r="N75" s="2177"/>
      <c r="O75" s="2178">
        <f>SUM(O70:AA74)</f>
        <v>0</v>
      </c>
      <c r="P75" s="2178"/>
      <c r="Q75" s="2178"/>
      <c r="R75" s="2178"/>
      <c r="S75" s="2178"/>
      <c r="T75" s="2178"/>
      <c r="U75" s="2178"/>
      <c r="V75" s="2178"/>
      <c r="W75" s="2178"/>
      <c r="X75" s="2178"/>
      <c r="Y75" s="2178"/>
      <c r="Z75" s="2178"/>
      <c r="AA75" s="2179"/>
      <c r="AB75" s="1190"/>
      <c r="AC75" s="2052"/>
      <c r="AD75" s="2053"/>
      <c r="AE75" s="2053"/>
      <c r="AF75" s="2053"/>
      <c r="AG75" s="2053"/>
      <c r="AH75" s="2053"/>
      <c r="AI75" s="2053"/>
      <c r="AJ75" s="2053"/>
      <c r="AK75" s="2053"/>
      <c r="AL75" s="2053"/>
      <c r="AM75" s="2053"/>
      <c r="AN75" s="2053"/>
      <c r="AO75" s="2053"/>
      <c r="AP75" s="2053"/>
      <c r="AQ75" s="2053"/>
      <c r="AR75" s="2053"/>
      <c r="AS75" s="2053"/>
      <c r="AT75" s="2053"/>
      <c r="AU75" s="2053"/>
      <c r="AV75" s="2053"/>
      <c r="AW75" s="2053"/>
      <c r="AX75" s="2053"/>
      <c r="AY75" s="2053"/>
      <c r="AZ75" s="2053"/>
      <c r="BA75" s="2053"/>
      <c r="BB75" s="2053"/>
      <c r="BC75" s="2054"/>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52"/>
      <c r="AD76" s="2053"/>
      <c r="AE76" s="2053"/>
      <c r="AF76" s="2053"/>
      <c r="AG76" s="2053"/>
      <c r="AH76" s="2053"/>
      <c r="AI76" s="2053"/>
      <c r="AJ76" s="2053"/>
      <c r="AK76" s="2053"/>
      <c r="AL76" s="2053"/>
      <c r="AM76" s="2053"/>
      <c r="AN76" s="2053"/>
      <c r="AO76" s="2053"/>
      <c r="AP76" s="2053"/>
      <c r="AQ76" s="2053"/>
      <c r="AR76" s="2053"/>
      <c r="AS76" s="2053"/>
      <c r="AT76" s="2053"/>
      <c r="AU76" s="2053"/>
      <c r="AV76" s="2053"/>
      <c r="AW76" s="2053"/>
      <c r="AX76" s="2053"/>
      <c r="AY76" s="2053"/>
      <c r="AZ76" s="2053"/>
      <c r="BA76" s="2053"/>
      <c r="BB76" s="2053"/>
      <c r="BC76" s="2054"/>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55"/>
      <c r="AD77" s="2056"/>
      <c r="AE77" s="2056"/>
      <c r="AF77" s="2056"/>
      <c r="AG77" s="2056"/>
      <c r="AH77" s="2056"/>
      <c r="AI77" s="2056"/>
      <c r="AJ77" s="2056"/>
      <c r="AK77" s="2056"/>
      <c r="AL77" s="2056"/>
      <c r="AM77" s="2056"/>
      <c r="AN77" s="2056"/>
      <c r="AO77" s="2056"/>
      <c r="AP77" s="2056"/>
      <c r="AQ77" s="2056"/>
      <c r="AR77" s="2056"/>
      <c r="AS77" s="2056"/>
      <c r="AT77" s="2056"/>
      <c r="AU77" s="2056"/>
      <c r="AV77" s="2056"/>
      <c r="AW77" s="2056"/>
      <c r="AX77" s="2056"/>
      <c r="AY77" s="2056"/>
      <c r="AZ77" s="2056"/>
      <c r="BA77" s="2056"/>
      <c r="BB77" s="2056"/>
      <c r="BC77" s="2057"/>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54"/>
      <c r="G79" s="2155"/>
      <c r="H79" s="2155"/>
      <c r="I79" s="2155"/>
      <c r="J79" s="2155"/>
      <c r="K79" s="2155"/>
      <c r="L79" s="2155"/>
      <c r="M79" s="2155"/>
      <c r="N79" s="2155"/>
      <c r="O79" s="2155"/>
      <c r="P79" s="2155"/>
      <c r="Q79" s="2155"/>
      <c r="R79" s="2155"/>
      <c r="S79" s="2155"/>
      <c r="T79" s="2156"/>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7" t="s">
        <v>2385</v>
      </c>
      <c r="C80" s="2158"/>
      <c r="D80" s="2158"/>
      <c r="E80" s="2158"/>
      <c r="F80" s="2158"/>
      <c r="G80" s="2158"/>
      <c r="H80" s="2158"/>
      <c r="I80" s="2158"/>
      <c r="J80" s="2158"/>
      <c r="K80" s="2158"/>
      <c r="L80" s="2158"/>
      <c r="M80" s="2158"/>
      <c r="N80" s="2158"/>
      <c r="O80" s="2158"/>
      <c r="P80" s="2158"/>
      <c r="Q80" s="2158"/>
      <c r="R80" s="2160" t="str">
        <f>IFERROR(INDEX(BR96:BR98,MATCH(F79,$BQ$96:$BQ$98,0))/SUM($BR$96:$BR$98),"")</f>
        <v/>
      </c>
      <c r="S80" s="2161"/>
      <c r="T80" s="216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63" t="s">
        <v>2384</v>
      </c>
      <c r="C81" s="2164"/>
      <c r="D81" s="2164"/>
      <c r="E81" s="2164"/>
      <c r="F81" s="2164"/>
      <c r="G81" s="2164"/>
      <c r="H81" s="2164"/>
      <c r="I81" s="2164"/>
      <c r="J81" s="2164"/>
      <c r="K81" s="2164"/>
      <c r="L81" s="2164"/>
      <c r="M81" s="2164"/>
      <c r="N81" s="2164"/>
      <c r="O81" s="2164"/>
      <c r="P81" s="2164"/>
      <c r="Q81" s="2164"/>
      <c r="R81" s="2145" t="s">
        <v>2189</v>
      </c>
      <c r="S81" s="2146"/>
      <c r="T81" s="214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6" t="s">
        <v>2383</v>
      </c>
      <c r="C83" s="2167"/>
      <c r="D83" s="2167"/>
      <c r="E83" s="2167"/>
      <c r="F83" s="2167"/>
      <c r="G83" s="2167"/>
      <c r="H83" s="2167"/>
      <c r="I83" s="2167"/>
      <c r="J83" s="2167"/>
      <c r="K83" s="2167"/>
      <c r="L83" s="2167"/>
      <c r="M83" s="2167"/>
      <c r="N83" s="2167"/>
      <c r="O83" s="2167"/>
      <c r="P83" s="2167"/>
      <c r="Q83" s="2167"/>
      <c r="R83" s="2167"/>
      <c r="S83" s="2167"/>
      <c r="T83" s="2167"/>
      <c r="U83" s="2167"/>
      <c r="V83" s="2167"/>
      <c r="W83" s="2167"/>
      <c r="X83" s="2167"/>
      <c r="Y83" s="2167"/>
      <c r="Z83" s="2167"/>
      <c r="AA83" s="2167"/>
      <c r="AB83" s="2167"/>
      <c r="AC83" s="2167"/>
      <c r="AD83" s="2167"/>
      <c r="AE83" s="2167"/>
      <c r="AF83" s="2167"/>
      <c r="AG83" s="2167"/>
      <c r="AH83" s="2168"/>
      <c r="AI83" s="1190"/>
      <c r="AJ83" s="2133" t="s">
        <v>2382</v>
      </c>
      <c r="AK83" s="2134"/>
      <c r="AL83" s="2134"/>
      <c r="AM83" s="2134"/>
      <c r="AN83" s="2134"/>
      <c r="AO83" s="2134"/>
      <c r="AP83" s="2134"/>
      <c r="AQ83" s="2134"/>
      <c r="AR83" s="2134"/>
      <c r="AS83" s="2134"/>
      <c r="AT83" s="2134"/>
      <c r="AU83" s="2134"/>
      <c r="AV83" s="2134"/>
      <c r="AW83" s="2134"/>
      <c r="AX83" s="2134"/>
      <c r="AY83" s="2150" t="s">
        <v>545</v>
      </c>
      <c r="AZ83" s="2150"/>
      <c r="BA83" s="2150"/>
      <c r="BB83" s="2151"/>
      <c r="BC83" s="1190"/>
      <c r="BD83" s="1190"/>
      <c r="BE83" s="1194"/>
      <c r="CK83" s="1188"/>
      <c r="CL83" s="1188"/>
      <c r="CM83" s="1188"/>
      <c r="CN83" s="1188"/>
      <c r="CO83" s="1188"/>
      <c r="CP83" s="1188"/>
    </row>
    <row r="84" spans="1:94" ht="15.75" customHeight="1">
      <c r="A84" s="1190"/>
      <c r="B84" s="2144"/>
      <c r="C84" s="2112"/>
      <c r="D84" s="2112"/>
      <c r="E84" s="2112"/>
      <c r="F84" s="2112"/>
      <c r="G84" s="2112"/>
      <c r="H84" s="2112"/>
      <c r="I84" s="2112" t="s">
        <v>2372</v>
      </c>
      <c r="J84" s="2112"/>
      <c r="K84" s="2112"/>
      <c r="L84" s="2112"/>
      <c r="M84" s="2112"/>
      <c r="N84" s="2112"/>
      <c r="O84" s="2112" t="s">
        <v>2348</v>
      </c>
      <c r="P84" s="2112"/>
      <c r="Q84" s="2112"/>
      <c r="R84" s="2112"/>
      <c r="S84" s="2112"/>
      <c r="T84" s="2112"/>
      <c r="U84" s="2112"/>
      <c r="V84" s="2148" t="s">
        <v>2347</v>
      </c>
      <c r="W84" s="2148"/>
      <c r="X84" s="2148"/>
      <c r="Y84" s="2148"/>
      <c r="Z84" s="2148"/>
      <c r="AA84" s="2148"/>
      <c r="AB84" s="2082" t="s">
        <v>2371</v>
      </c>
      <c r="AC84" s="2082"/>
      <c r="AD84" s="2082"/>
      <c r="AE84" s="2082"/>
      <c r="AF84" s="2082"/>
      <c r="AG84" s="2082"/>
      <c r="AH84" s="2149"/>
      <c r="AI84" s="1190"/>
      <c r="AJ84" s="2136"/>
      <c r="AK84" s="2137"/>
      <c r="AL84" s="2137"/>
      <c r="AM84" s="2137"/>
      <c r="AN84" s="2137"/>
      <c r="AO84" s="2137"/>
      <c r="AP84" s="2137"/>
      <c r="AQ84" s="2137"/>
      <c r="AR84" s="2137"/>
      <c r="AS84" s="2137"/>
      <c r="AT84" s="2137"/>
      <c r="AU84" s="2137"/>
      <c r="AV84" s="2137"/>
      <c r="AW84" s="2137"/>
      <c r="AX84" s="2137"/>
      <c r="AY84" s="2152"/>
      <c r="AZ84" s="2152"/>
      <c r="BA84" s="2152"/>
      <c r="BB84" s="2153"/>
      <c r="BC84" s="1190"/>
      <c r="BD84" s="1190"/>
      <c r="BE84" s="1194"/>
      <c r="CK84" s="1188"/>
      <c r="CL84" s="1188"/>
      <c r="CM84" s="1188"/>
      <c r="CN84" s="1188"/>
      <c r="CO84" s="1188"/>
      <c r="CP84" s="1188"/>
    </row>
    <row r="85" spans="1:94" ht="15.75" customHeight="1">
      <c r="A85" s="1190"/>
      <c r="B85" s="2144"/>
      <c r="C85" s="2112"/>
      <c r="D85" s="2112"/>
      <c r="E85" s="2112"/>
      <c r="F85" s="2112"/>
      <c r="G85" s="2112"/>
      <c r="H85" s="2112"/>
      <c r="I85" s="2112"/>
      <c r="J85" s="2112"/>
      <c r="K85" s="2112"/>
      <c r="L85" s="2112"/>
      <c r="M85" s="2112"/>
      <c r="N85" s="2112"/>
      <c r="O85" s="2112"/>
      <c r="P85" s="2112"/>
      <c r="Q85" s="2112"/>
      <c r="R85" s="2112"/>
      <c r="S85" s="2112"/>
      <c r="T85" s="2112"/>
      <c r="U85" s="2112"/>
      <c r="V85" s="2148"/>
      <c r="W85" s="2148"/>
      <c r="X85" s="2148"/>
      <c r="Y85" s="2148"/>
      <c r="Z85" s="2148"/>
      <c r="AA85" s="2148"/>
      <c r="AB85" s="2082"/>
      <c r="AC85" s="2082"/>
      <c r="AD85" s="2082"/>
      <c r="AE85" s="2082"/>
      <c r="AF85" s="2082"/>
      <c r="AG85" s="2082"/>
      <c r="AH85" s="2149"/>
      <c r="AI85" s="1190"/>
      <c r="AJ85" s="2136"/>
      <c r="AK85" s="2137"/>
      <c r="AL85" s="2137"/>
      <c r="AM85" s="2137"/>
      <c r="AN85" s="2137"/>
      <c r="AO85" s="2137"/>
      <c r="AP85" s="2137"/>
      <c r="AQ85" s="2137"/>
      <c r="AR85" s="2137"/>
      <c r="AS85" s="2137"/>
      <c r="AT85" s="2137"/>
      <c r="AU85" s="2137"/>
      <c r="AV85" s="2137"/>
      <c r="AW85" s="2137"/>
      <c r="AX85" s="2137"/>
      <c r="AY85" s="2152"/>
      <c r="AZ85" s="2152"/>
      <c r="BA85" s="2152"/>
      <c r="BB85" s="2153"/>
      <c r="BC85" s="1190"/>
      <c r="BD85" s="1190"/>
      <c r="BE85" s="1194"/>
      <c r="CK85" s="1188"/>
      <c r="CL85" s="1188"/>
      <c r="CM85" s="1188"/>
      <c r="CN85" s="1188"/>
      <c r="CO85" s="1188"/>
      <c r="CP85" s="1188"/>
    </row>
    <row r="86" spans="1:94" ht="15.75" customHeight="1">
      <c r="A86" s="1190"/>
      <c r="B86" s="2144" t="s">
        <v>2370</v>
      </c>
      <c r="C86" s="2112"/>
      <c r="D86" s="2112"/>
      <c r="E86" s="2112"/>
      <c r="F86" s="2112"/>
      <c r="G86" s="2112"/>
      <c r="H86" s="2112"/>
      <c r="I86" s="2085">
        <v>0</v>
      </c>
      <c r="J86" s="2085"/>
      <c r="K86" s="2085"/>
      <c r="L86" s="2085"/>
      <c r="M86" s="2085"/>
      <c r="N86" s="2085"/>
      <c r="O86" s="2085">
        <v>0</v>
      </c>
      <c r="P86" s="2085"/>
      <c r="Q86" s="2085"/>
      <c r="R86" s="2085"/>
      <c r="S86" s="2085"/>
      <c r="T86" s="2085"/>
      <c r="U86" s="2085"/>
      <c r="V86" s="2085">
        <v>0</v>
      </c>
      <c r="W86" s="2085"/>
      <c r="X86" s="2085"/>
      <c r="Y86" s="2085"/>
      <c r="Z86" s="2085"/>
      <c r="AA86" s="2085"/>
      <c r="AB86" s="2085">
        <v>0</v>
      </c>
      <c r="AC86" s="2085"/>
      <c r="AD86" s="2085"/>
      <c r="AE86" s="2085"/>
      <c r="AF86" s="2085"/>
      <c r="AG86" s="2085"/>
      <c r="AH86" s="2086"/>
      <c r="AI86" s="1190"/>
      <c r="AJ86" s="2136"/>
      <c r="AK86" s="2137"/>
      <c r="AL86" s="2137"/>
      <c r="AM86" s="2137"/>
      <c r="AN86" s="2137"/>
      <c r="AO86" s="2137"/>
      <c r="AP86" s="2137"/>
      <c r="AQ86" s="2137"/>
      <c r="AR86" s="2137"/>
      <c r="AS86" s="2137"/>
      <c r="AT86" s="2137"/>
      <c r="AU86" s="2137"/>
      <c r="AV86" s="2137"/>
      <c r="AW86" s="2137"/>
      <c r="AX86" s="2137"/>
      <c r="AY86" s="2152"/>
      <c r="AZ86" s="2152"/>
      <c r="BA86" s="2152"/>
      <c r="BB86" s="2153"/>
      <c r="BC86" s="1190"/>
      <c r="BD86" s="1190"/>
      <c r="BE86" s="1194"/>
      <c r="CK86" s="1188"/>
      <c r="CL86" s="1188"/>
      <c r="CM86" s="1188"/>
      <c r="CN86" s="1188"/>
      <c r="CO86" s="1188"/>
      <c r="CP86" s="1188"/>
    </row>
    <row r="87" spans="1:94" ht="15.75" customHeight="1">
      <c r="A87" s="1190"/>
      <c r="B87" s="2144" t="s">
        <v>2369</v>
      </c>
      <c r="C87" s="2112"/>
      <c r="D87" s="2112"/>
      <c r="E87" s="2112"/>
      <c r="F87" s="2112"/>
      <c r="G87" s="2112"/>
      <c r="H87" s="2112"/>
      <c r="I87" s="2085">
        <v>0</v>
      </c>
      <c r="J87" s="2085"/>
      <c r="K87" s="2085"/>
      <c r="L87" s="2085"/>
      <c r="M87" s="2085"/>
      <c r="N87" s="2085"/>
      <c r="O87" s="2085">
        <v>0</v>
      </c>
      <c r="P87" s="2085"/>
      <c r="Q87" s="2085"/>
      <c r="R87" s="2085"/>
      <c r="S87" s="2085"/>
      <c r="T87" s="2085"/>
      <c r="U87" s="2085"/>
      <c r="V87" s="2085">
        <v>0</v>
      </c>
      <c r="W87" s="2085"/>
      <c r="X87" s="2085"/>
      <c r="Y87" s="2085"/>
      <c r="Z87" s="2085"/>
      <c r="AA87" s="2085"/>
      <c r="AB87" s="2085">
        <v>0</v>
      </c>
      <c r="AC87" s="2085"/>
      <c r="AD87" s="2085"/>
      <c r="AE87" s="2085"/>
      <c r="AF87" s="2085"/>
      <c r="AG87" s="2085"/>
      <c r="AH87" s="2086"/>
      <c r="AI87" s="1190"/>
      <c r="AJ87" s="2052" t="s">
        <v>2376</v>
      </c>
      <c r="AK87" s="2053"/>
      <c r="AL87" s="2053"/>
      <c r="AM87" s="2053"/>
      <c r="AN87" s="2053"/>
      <c r="AO87" s="2053"/>
      <c r="AP87" s="2053"/>
      <c r="AQ87" s="2053"/>
      <c r="AR87" s="2053"/>
      <c r="AS87" s="2053"/>
      <c r="AT87" s="2053"/>
      <c r="AU87" s="2053"/>
      <c r="AV87" s="2053"/>
      <c r="AW87" s="2053"/>
      <c r="AX87" s="2053"/>
      <c r="AY87" s="2053"/>
      <c r="AZ87" s="2053"/>
      <c r="BA87" s="2053"/>
      <c r="BB87" s="2054"/>
      <c r="BC87" s="1190"/>
      <c r="BD87" s="1190"/>
      <c r="BE87" s="1194"/>
      <c r="CK87" s="1188"/>
      <c r="CL87" s="1188"/>
      <c r="CM87" s="1188"/>
      <c r="CN87" s="1188"/>
      <c r="CO87" s="1188"/>
      <c r="CP87" s="1188"/>
    </row>
    <row r="88" spans="1:94" ht="15.75" customHeight="1" thickBot="1">
      <c r="A88" s="1190"/>
      <c r="B88" s="2142" t="s">
        <v>2368</v>
      </c>
      <c r="C88" s="2143"/>
      <c r="D88" s="2143"/>
      <c r="E88" s="2143"/>
      <c r="F88" s="2143"/>
      <c r="G88" s="2143"/>
      <c r="H88" s="2143"/>
      <c r="I88" s="2079">
        <v>0</v>
      </c>
      <c r="J88" s="2079"/>
      <c r="K88" s="2079"/>
      <c r="L88" s="2079"/>
      <c r="M88" s="2079"/>
      <c r="N88" s="2079"/>
      <c r="O88" s="2079">
        <v>0</v>
      </c>
      <c r="P88" s="2079"/>
      <c r="Q88" s="2079"/>
      <c r="R88" s="2079"/>
      <c r="S88" s="2079"/>
      <c r="T88" s="2079"/>
      <c r="U88" s="2079"/>
      <c r="V88" s="2079">
        <v>0</v>
      </c>
      <c r="W88" s="2079"/>
      <c r="X88" s="2079"/>
      <c r="Y88" s="2079"/>
      <c r="Z88" s="2079"/>
      <c r="AA88" s="2079"/>
      <c r="AB88" s="2079">
        <v>0</v>
      </c>
      <c r="AC88" s="2079"/>
      <c r="AD88" s="2079"/>
      <c r="AE88" s="2079"/>
      <c r="AF88" s="2079"/>
      <c r="AG88" s="2079"/>
      <c r="AH88" s="2080"/>
      <c r="AI88" s="1190"/>
      <c r="AJ88" s="2055"/>
      <c r="AK88" s="2056"/>
      <c r="AL88" s="2056"/>
      <c r="AM88" s="2056"/>
      <c r="AN88" s="2056"/>
      <c r="AO88" s="2056"/>
      <c r="AP88" s="2056"/>
      <c r="AQ88" s="2056"/>
      <c r="AR88" s="2056"/>
      <c r="AS88" s="2056"/>
      <c r="AT88" s="2056"/>
      <c r="AU88" s="2056"/>
      <c r="AV88" s="2056"/>
      <c r="AW88" s="2056"/>
      <c r="AX88" s="2056"/>
      <c r="AY88" s="2056"/>
      <c r="AZ88" s="2056"/>
      <c r="BA88" s="2056"/>
      <c r="BB88" s="2057"/>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54"/>
      <c r="G92" s="2155"/>
      <c r="H92" s="2155"/>
      <c r="I92" s="2155"/>
      <c r="J92" s="2155"/>
      <c r="K92" s="2155"/>
      <c r="L92" s="2155"/>
      <c r="M92" s="2155"/>
      <c r="N92" s="2155"/>
      <c r="O92" s="2155"/>
      <c r="P92" s="2155"/>
      <c r="Q92" s="2155"/>
      <c r="R92" s="2155"/>
      <c r="S92" s="2155"/>
      <c r="T92" s="2156"/>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7" t="s">
        <v>2380</v>
      </c>
      <c r="C93" s="2158"/>
      <c r="D93" s="2158"/>
      <c r="E93" s="2158"/>
      <c r="F93" s="2158"/>
      <c r="G93" s="2158"/>
      <c r="H93" s="2158"/>
      <c r="I93" s="2158"/>
      <c r="J93" s="2158"/>
      <c r="K93" s="2158"/>
      <c r="L93" s="2158"/>
      <c r="M93" s="2158"/>
      <c r="N93" s="2158"/>
      <c r="O93" s="2158"/>
      <c r="P93" s="2158"/>
      <c r="Q93" s="2159"/>
      <c r="R93" s="2160" t="str">
        <f>IFERROR(INDEX(BR96:BR98,MATCH(F92,$BQ$96:$BQ$98,0))/SUM($BR$96:$BR$98),"")</f>
        <v/>
      </c>
      <c r="S93" s="2161"/>
      <c r="T93" s="216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63" t="s">
        <v>2379</v>
      </c>
      <c r="C94" s="2164"/>
      <c r="D94" s="2164"/>
      <c r="E94" s="2164"/>
      <c r="F94" s="2164"/>
      <c r="G94" s="2164"/>
      <c r="H94" s="2164"/>
      <c r="I94" s="2164"/>
      <c r="J94" s="2164"/>
      <c r="K94" s="2164"/>
      <c r="L94" s="2164"/>
      <c r="M94" s="2164"/>
      <c r="N94" s="2164"/>
      <c r="O94" s="2164"/>
      <c r="P94" s="2164"/>
      <c r="Q94" s="2165"/>
      <c r="R94" s="2145" t="s">
        <v>2189</v>
      </c>
      <c r="S94" s="2146"/>
      <c r="T94" s="214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6" t="s">
        <v>2378</v>
      </c>
      <c r="C96" s="2167"/>
      <c r="D96" s="2167"/>
      <c r="E96" s="2167"/>
      <c r="F96" s="2167"/>
      <c r="G96" s="2167"/>
      <c r="H96" s="2167"/>
      <c r="I96" s="2167"/>
      <c r="J96" s="2167"/>
      <c r="K96" s="2167"/>
      <c r="L96" s="2167"/>
      <c r="M96" s="2167"/>
      <c r="N96" s="2167"/>
      <c r="O96" s="2167"/>
      <c r="P96" s="2167"/>
      <c r="Q96" s="2167"/>
      <c r="R96" s="2167"/>
      <c r="S96" s="2167"/>
      <c r="T96" s="2167"/>
      <c r="U96" s="2167"/>
      <c r="V96" s="2167"/>
      <c r="W96" s="2167"/>
      <c r="X96" s="2167"/>
      <c r="Y96" s="2167"/>
      <c r="Z96" s="2167"/>
      <c r="AA96" s="2167"/>
      <c r="AB96" s="2167"/>
      <c r="AC96" s="2167"/>
      <c r="AD96" s="2167"/>
      <c r="AE96" s="2167"/>
      <c r="AF96" s="2167"/>
      <c r="AG96" s="2167"/>
      <c r="AH96" s="2168"/>
      <c r="AI96" s="1190"/>
      <c r="AJ96" s="2133" t="s">
        <v>2377</v>
      </c>
      <c r="AK96" s="2134"/>
      <c r="AL96" s="2134"/>
      <c r="AM96" s="2134"/>
      <c r="AN96" s="2134"/>
      <c r="AO96" s="2134"/>
      <c r="AP96" s="2134"/>
      <c r="AQ96" s="2134"/>
      <c r="AR96" s="2134"/>
      <c r="AS96" s="2134"/>
      <c r="AT96" s="2134"/>
      <c r="AU96" s="2134"/>
      <c r="AV96" s="2134"/>
      <c r="AW96" s="2134"/>
      <c r="AX96" s="2134"/>
      <c r="AY96" s="2150" t="s">
        <v>545</v>
      </c>
      <c r="AZ96" s="2150"/>
      <c r="BA96" s="2150"/>
      <c r="BB96" s="2151"/>
      <c r="BC96" s="1190"/>
      <c r="BD96" s="1190"/>
      <c r="BE96" s="1194"/>
      <c r="BQ96" s="1256" t="str">
        <f>Application!M243&amp;IF(TRIM(Application!AA249)&lt;&gt;""," ("&amp;Application!AA249&amp;")","")</f>
        <v>AHG Berryessa, LLC (Affirmed Housing Group, Inc.)</v>
      </c>
      <c r="BR96" s="1259">
        <f>Application!AH246</f>
        <v>0.99</v>
      </c>
      <c r="CM96" s="1188"/>
      <c r="CN96" s="1188"/>
      <c r="CO96" s="1188"/>
      <c r="CP96" s="1188"/>
    </row>
    <row r="97" spans="1:94" ht="15.75" customHeight="1">
      <c r="A97" s="1190"/>
      <c r="B97" s="2144"/>
      <c r="C97" s="2112"/>
      <c r="D97" s="2112"/>
      <c r="E97" s="2112"/>
      <c r="F97" s="2112"/>
      <c r="G97" s="2112"/>
      <c r="H97" s="2112"/>
      <c r="I97" s="2112" t="s">
        <v>2372</v>
      </c>
      <c r="J97" s="2112"/>
      <c r="K97" s="2112"/>
      <c r="L97" s="2112"/>
      <c r="M97" s="2112"/>
      <c r="N97" s="2112"/>
      <c r="O97" s="2112" t="s">
        <v>2348</v>
      </c>
      <c r="P97" s="2112"/>
      <c r="Q97" s="2112"/>
      <c r="R97" s="2112"/>
      <c r="S97" s="2112"/>
      <c r="T97" s="2112"/>
      <c r="U97" s="2112"/>
      <c r="V97" s="2148" t="s">
        <v>2347</v>
      </c>
      <c r="W97" s="2148"/>
      <c r="X97" s="2148"/>
      <c r="Y97" s="2148"/>
      <c r="Z97" s="2148"/>
      <c r="AA97" s="2148"/>
      <c r="AB97" s="2082" t="s">
        <v>2371</v>
      </c>
      <c r="AC97" s="2082"/>
      <c r="AD97" s="2082"/>
      <c r="AE97" s="2082"/>
      <c r="AF97" s="2082"/>
      <c r="AG97" s="2082"/>
      <c r="AH97" s="2149"/>
      <c r="AI97" s="1190"/>
      <c r="AJ97" s="2136"/>
      <c r="AK97" s="2137"/>
      <c r="AL97" s="2137"/>
      <c r="AM97" s="2137"/>
      <c r="AN97" s="2137"/>
      <c r="AO97" s="2137"/>
      <c r="AP97" s="2137"/>
      <c r="AQ97" s="2137"/>
      <c r="AR97" s="2137"/>
      <c r="AS97" s="2137"/>
      <c r="AT97" s="2137"/>
      <c r="AU97" s="2137"/>
      <c r="AV97" s="2137"/>
      <c r="AW97" s="2137"/>
      <c r="AX97" s="2137"/>
      <c r="AY97" s="2152"/>
      <c r="AZ97" s="2152"/>
      <c r="BA97" s="2152"/>
      <c r="BB97" s="2153"/>
      <c r="BC97" s="1190"/>
      <c r="BD97" s="1190"/>
      <c r="BE97" s="1194"/>
      <c r="BQ97" s="1256" t="str">
        <f>Application!M251&amp;IF(TRIM(Application!AA257)&lt;&gt;""," ("&amp;Application!AA257&amp;")","")</f>
        <v>CFAH Housing, LLC (Compass for Affordable Housing)</v>
      </c>
      <c r="BR97" s="1259">
        <f>Application!AH254</f>
        <v>0.01</v>
      </c>
      <c r="CM97" s="1188"/>
      <c r="CN97" s="1188"/>
      <c r="CO97" s="1188"/>
      <c r="CP97" s="1188"/>
    </row>
    <row r="98" spans="1:94" ht="15.75" customHeight="1">
      <c r="A98" s="1190"/>
      <c r="B98" s="2144"/>
      <c r="C98" s="2112"/>
      <c r="D98" s="2112"/>
      <c r="E98" s="2112"/>
      <c r="F98" s="2112"/>
      <c r="G98" s="2112"/>
      <c r="H98" s="2112"/>
      <c r="I98" s="2112"/>
      <c r="J98" s="2112"/>
      <c r="K98" s="2112"/>
      <c r="L98" s="2112"/>
      <c r="M98" s="2112"/>
      <c r="N98" s="2112"/>
      <c r="O98" s="2112"/>
      <c r="P98" s="2112"/>
      <c r="Q98" s="2112"/>
      <c r="R98" s="2112"/>
      <c r="S98" s="2112"/>
      <c r="T98" s="2112"/>
      <c r="U98" s="2112"/>
      <c r="V98" s="2148"/>
      <c r="W98" s="2148"/>
      <c r="X98" s="2148"/>
      <c r="Y98" s="2148"/>
      <c r="Z98" s="2148"/>
      <c r="AA98" s="2148"/>
      <c r="AB98" s="2082"/>
      <c r="AC98" s="2082"/>
      <c r="AD98" s="2082"/>
      <c r="AE98" s="2082"/>
      <c r="AF98" s="2082"/>
      <c r="AG98" s="2082"/>
      <c r="AH98" s="2149"/>
      <c r="AI98" s="1190"/>
      <c r="AJ98" s="2136"/>
      <c r="AK98" s="2137"/>
      <c r="AL98" s="2137"/>
      <c r="AM98" s="2137"/>
      <c r="AN98" s="2137"/>
      <c r="AO98" s="2137"/>
      <c r="AP98" s="2137"/>
      <c r="AQ98" s="2137"/>
      <c r="AR98" s="2137"/>
      <c r="AS98" s="2137"/>
      <c r="AT98" s="2137"/>
      <c r="AU98" s="2137"/>
      <c r="AV98" s="2137"/>
      <c r="AW98" s="2137"/>
      <c r="AX98" s="2137"/>
      <c r="AY98" s="2152"/>
      <c r="AZ98" s="2152"/>
      <c r="BA98" s="2152"/>
      <c r="BB98" s="2153"/>
      <c r="BC98" s="1190"/>
      <c r="BD98" s="1190"/>
      <c r="BE98" s="1194"/>
      <c r="BQ98" s="1256" t="str">
        <f>Application!M259&amp;IF(TRIM(Application!AA265)&lt;&gt;""," ("&amp;Application!AA265&amp;")","")</f>
        <v>N/A (N/A)</v>
      </c>
      <c r="BR98" s="1259" t="str">
        <f>Application!AH262</f>
        <v>N/A</v>
      </c>
      <c r="CM98" s="1188"/>
      <c r="CN98" s="1188"/>
      <c r="CO98" s="1188"/>
      <c r="CP98" s="1188"/>
    </row>
    <row r="99" spans="1:94" ht="15.75" customHeight="1">
      <c r="A99" s="1190"/>
      <c r="B99" s="2144" t="s">
        <v>2370</v>
      </c>
      <c r="C99" s="2112"/>
      <c r="D99" s="2112"/>
      <c r="E99" s="2112"/>
      <c r="F99" s="2112"/>
      <c r="G99" s="2112"/>
      <c r="H99" s="2112"/>
      <c r="I99" s="2085">
        <v>0</v>
      </c>
      <c r="J99" s="2085"/>
      <c r="K99" s="2085"/>
      <c r="L99" s="2085"/>
      <c r="M99" s="2085"/>
      <c r="N99" s="2085"/>
      <c r="O99" s="2085">
        <v>0</v>
      </c>
      <c r="P99" s="2085"/>
      <c r="Q99" s="2085"/>
      <c r="R99" s="2085"/>
      <c r="S99" s="2085"/>
      <c r="T99" s="2085"/>
      <c r="U99" s="2085"/>
      <c r="V99" s="2085">
        <v>0</v>
      </c>
      <c r="W99" s="2085"/>
      <c r="X99" s="2085"/>
      <c r="Y99" s="2085"/>
      <c r="Z99" s="2085"/>
      <c r="AA99" s="2085"/>
      <c r="AB99" s="2085">
        <v>0</v>
      </c>
      <c r="AC99" s="2085"/>
      <c r="AD99" s="2085"/>
      <c r="AE99" s="2085"/>
      <c r="AF99" s="2085"/>
      <c r="AG99" s="2085"/>
      <c r="AH99" s="2086"/>
      <c r="AI99" s="1190"/>
      <c r="AJ99" s="2136"/>
      <c r="AK99" s="2137"/>
      <c r="AL99" s="2137"/>
      <c r="AM99" s="2137"/>
      <c r="AN99" s="2137"/>
      <c r="AO99" s="2137"/>
      <c r="AP99" s="2137"/>
      <c r="AQ99" s="2137"/>
      <c r="AR99" s="2137"/>
      <c r="AS99" s="2137"/>
      <c r="AT99" s="2137"/>
      <c r="AU99" s="2137"/>
      <c r="AV99" s="2137"/>
      <c r="AW99" s="2137"/>
      <c r="AX99" s="2137"/>
      <c r="AY99" s="2152"/>
      <c r="AZ99" s="2152"/>
      <c r="BA99" s="2152"/>
      <c r="BB99" s="2153"/>
      <c r="BC99" s="1190"/>
      <c r="BD99" s="1190"/>
      <c r="BE99" s="1194"/>
      <c r="CM99" s="1188"/>
      <c r="CN99" s="1188"/>
      <c r="CO99" s="1188"/>
      <c r="CP99" s="1188"/>
    </row>
    <row r="100" spans="1:94" ht="15.75" customHeight="1">
      <c r="A100" s="1190"/>
      <c r="B100" s="2144" t="s">
        <v>2369</v>
      </c>
      <c r="C100" s="2112"/>
      <c r="D100" s="2112"/>
      <c r="E100" s="2112"/>
      <c r="F100" s="2112"/>
      <c r="G100" s="2112"/>
      <c r="H100" s="2112"/>
      <c r="I100" s="2085">
        <v>0</v>
      </c>
      <c r="J100" s="2085"/>
      <c r="K100" s="2085"/>
      <c r="L100" s="2085"/>
      <c r="M100" s="2085"/>
      <c r="N100" s="2085"/>
      <c r="O100" s="2085">
        <v>0</v>
      </c>
      <c r="P100" s="2085"/>
      <c r="Q100" s="2085"/>
      <c r="R100" s="2085"/>
      <c r="S100" s="2085"/>
      <c r="T100" s="2085"/>
      <c r="U100" s="2085"/>
      <c r="V100" s="2085">
        <v>0</v>
      </c>
      <c r="W100" s="2085"/>
      <c r="X100" s="2085"/>
      <c r="Y100" s="2085"/>
      <c r="Z100" s="2085"/>
      <c r="AA100" s="2085"/>
      <c r="AB100" s="2085">
        <v>0</v>
      </c>
      <c r="AC100" s="2085"/>
      <c r="AD100" s="2085"/>
      <c r="AE100" s="2085"/>
      <c r="AF100" s="2085"/>
      <c r="AG100" s="2085"/>
      <c r="AH100" s="2086"/>
      <c r="AI100" s="1190"/>
      <c r="AJ100" s="2052" t="s">
        <v>2376</v>
      </c>
      <c r="AK100" s="2053"/>
      <c r="AL100" s="2053"/>
      <c r="AM100" s="2053"/>
      <c r="AN100" s="2053"/>
      <c r="AO100" s="2053"/>
      <c r="AP100" s="2053"/>
      <c r="AQ100" s="2053"/>
      <c r="AR100" s="2053"/>
      <c r="AS100" s="2053"/>
      <c r="AT100" s="2053"/>
      <c r="AU100" s="2053"/>
      <c r="AV100" s="2053"/>
      <c r="AW100" s="2053"/>
      <c r="AX100" s="2053"/>
      <c r="AY100" s="2053"/>
      <c r="AZ100" s="2053"/>
      <c r="BA100" s="2053"/>
      <c r="BB100" s="2054"/>
      <c r="BC100" s="1190"/>
      <c r="BD100" s="1190"/>
      <c r="BE100" s="1194"/>
      <c r="CM100" s="1188"/>
      <c r="CN100" s="1188"/>
      <c r="CO100" s="1188"/>
      <c r="CP100" s="1188"/>
    </row>
    <row r="101" spans="1:94" ht="15.75" customHeight="1" thickBot="1">
      <c r="A101" s="1190"/>
      <c r="B101" s="2142" t="s">
        <v>2368</v>
      </c>
      <c r="C101" s="2143"/>
      <c r="D101" s="2143"/>
      <c r="E101" s="2143"/>
      <c r="F101" s="2143"/>
      <c r="G101" s="2143"/>
      <c r="H101" s="2143"/>
      <c r="I101" s="2079">
        <v>0</v>
      </c>
      <c r="J101" s="2079"/>
      <c r="K101" s="2079"/>
      <c r="L101" s="2079"/>
      <c r="M101" s="2079"/>
      <c r="N101" s="2079"/>
      <c r="O101" s="2079">
        <v>0</v>
      </c>
      <c r="P101" s="2079"/>
      <c r="Q101" s="2079"/>
      <c r="R101" s="2079"/>
      <c r="S101" s="2079"/>
      <c r="T101" s="2079"/>
      <c r="U101" s="2079"/>
      <c r="V101" s="2079">
        <v>0</v>
      </c>
      <c r="W101" s="2079"/>
      <c r="X101" s="2079"/>
      <c r="Y101" s="2079"/>
      <c r="Z101" s="2079"/>
      <c r="AA101" s="2079"/>
      <c r="AB101" s="2079">
        <v>0</v>
      </c>
      <c r="AC101" s="2079"/>
      <c r="AD101" s="2079"/>
      <c r="AE101" s="2079"/>
      <c r="AF101" s="2079"/>
      <c r="AG101" s="2079"/>
      <c r="AH101" s="2080"/>
      <c r="AI101" s="1190"/>
      <c r="AJ101" s="2055"/>
      <c r="AK101" s="2056"/>
      <c r="AL101" s="2056"/>
      <c r="AM101" s="2056"/>
      <c r="AN101" s="2056"/>
      <c r="AO101" s="2056"/>
      <c r="AP101" s="2056"/>
      <c r="AQ101" s="2056"/>
      <c r="AR101" s="2056"/>
      <c r="AS101" s="2056"/>
      <c r="AT101" s="2056"/>
      <c r="AU101" s="2056"/>
      <c r="AV101" s="2056"/>
      <c r="AW101" s="2056"/>
      <c r="AX101" s="2056"/>
      <c r="AY101" s="2056"/>
      <c r="AZ101" s="2056"/>
      <c r="BA101" s="2056"/>
      <c r="BB101" s="2057"/>
      <c r="BC101" s="1190"/>
      <c r="BD101" s="1190"/>
      <c r="BE101" s="1194"/>
      <c r="BQ101" s="1256" t="str">
        <f>Application!AA335</f>
        <v>Solari Enterprises,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6"/>
      <c r="G104" s="2107"/>
      <c r="H104" s="2107"/>
      <c r="I104" s="2107"/>
      <c r="J104" s="2107"/>
      <c r="K104" s="2107"/>
      <c r="L104" s="2107"/>
      <c r="M104" s="2107"/>
      <c r="N104" s="2107"/>
      <c r="O104" s="2107"/>
      <c r="P104" s="2107"/>
      <c r="Q104" s="2107"/>
      <c r="R104" s="2108"/>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45" t="str">
        <f>IFERROR(INDEX(BR96:BR98,MATCH(F104,$BQ$96:$BQ$98,0))/SUM($BR$96:$BR$98),"")</f>
        <v/>
      </c>
      <c r="P105" s="2146"/>
      <c r="Q105" s="2146"/>
      <c r="R105" s="214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35" t="s">
        <v>2373</v>
      </c>
      <c r="C107" s="2036"/>
      <c r="D107" s="2036"/>
      <c r="E107" s="2036"/>
      <c r="F107" s="2036"/>
      <c r="G107" s="2036"/>
      <c r="H107" s="2036"/>
      <c r="I107" s="2036"/>
      <c r="J107" s="2036"/>
      <c r="K107" s="2036"/>
      <c r="L107" s="2036"/>
      <c r="M107" s="2036"/>
      <c r="N107" s="2036"/>
      <c r="O107" s="2036"/>
      <c r="P107" s="2036"/>
      <c r="Q107" s="2036"/>
      <c r="R107" s="2036"/>
      <c r="S107" s="2036"/>
      <c r="T107" s="2036"/>
      <c r="U107" s="2036"/>
      <c r="V107" s="2036"/>
      <c r="W107" s="2036"/>
      <c r="X107" s="2036"/>
      <c r="Y107" s="2036"/>
      <c r="Z107" s="2036"/>
      <c r="AA107" s="2036"/>
      <c r="AB107" s="2036"/>
      <c r="AC107" s="2036"/>
      <c r="AD107" s="2036"/>
      <c r="AE107" s="2036"/>
      <c r="AF107" s="2036"/>
      <c r="AG107" s="2036"/>
      <c r="AH107" s="204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44"/>
      <c r="C108" s="2112"/>
      <c r="D108" s="2112"/>
      <c r="E108" s="2112"/>
      <c r="F108" s="2112"/>
      <c r="G108" s="2112"/>
      <c r="H108" s="2112"/>
      <c r="I108" s="2112" t="s">
        <v>2372</v>
      </c>
      <c r="J108" s="2112"/>
      <c r="K108" s="2112"/>
      <c r="L108" s="2112"/>
      <c r="M108" s="2112"/>
      <c r="N108" s="2112"/>
      <c r="O108" s="2112" t="s">
        <v>2348</v>
      </c>
      <c r="P108" s="2112"/>
      <c r="Q108" s="2112"/>
      <c r="R108" s="2112"/>
      <c r="S108" s="2112"/>
      <c r="T108" s="2112"/>
      <c r="U108" s="2112"/>
      <c r="V108" s="2148" t="s">
        <v>2347</v>
      </c>
      <c r="W108" s="2148"/>
      <c r="X108" s="2148"/>
      <c r="Y108" s="2148"/>
      <c r="Z108" s="2148"/>
      <c r="AA108" s="2148"/>
      <c r="AB108" s="2082" t="s">
        <v>2371</v>
      </c>
      <c r="AC108" s="2082"/>
      <c r="AD108" s="2082"/>
      <c r="AE108" s="2082"/>
      <c r="AF108" s="2082"/>
      <c r="AG108" s="2082"/>
      <c r="AH108" s="2149"/>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44"/>
      <c r="C109" s="2112"/>
      <c r="D109" s="2112"/>
      <c r="E109" s="2112"/>
      <c r="F109" s="2112"/>
      <c r="G109" s="2112"/>
      <c r="H109" s="2112"/>
      <c r="I109" s="2112"/>
      <c r="J109" s="2112"/>
      <c r="K109" s="2112"/>
      <c r="L109" s="2112"/>
      <c r="M109" s="2112"/>
      <c r="N109" s="2112"/>
      <c r="O109" s="2112"/>
      <c r="P109" s="2112"/>
      <c r="Q109" s="2112"/>
      <c r="R109" s="2112"/>
      <c r="S109" s="2112"/>
      <c r="T109" s="2112"/>
      <c r="U109" s="2112"/>
      <c r="V109" s="2148"/>
      <c r="W109" s="2148"/>
      <c r="X109" s="2148"/>
      <c r="Y109" s="2148"/>
      <c r="Z109" s="2148"/>
      <c r="AA109" s="2148"/>
      <c r="AB109" s="2082"/>
      <c r="AC109" s="2082"/>
      <c r="AD109" s="2082"/>
      <c r="AE109" s="2082"/>
      <c r="AF109" s="2082"/>
      <c r="AG109" s="2082"/>
      <c r="AH109" s="2149"/>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44" t="s">
        <v>2370</v>
      </c>
      <c r="C110" s="2112"/>
      <c r="D110" s="2112"/>
      <c r="E110" s="2112"/>
      <c r="F110" s="2112"/>
      <c r="G110" s="2112"/>
      <c r="H110" s="2112"/>
      <c r="I110" s="2085">
        <v>0</v>
      </c>
      <c r="J110" s="2085"/>
      <c r="K110" s="2085"/>
      <c r="L110" s="2085"/>
      <c r="M110" s="2085"/>
      <c r="N110" s="2085"/>
      <c r="O110" s="2085">
        <v>0</v>
      </c>
      <c r="P110" s="2085"/>
      <c r="Q110" s="2085"/>
      <c r="R110" s="2085"/>
      <c r="S110" s="2085"/>
      <c r="T110" s="2085"/>
      <c r="U110" s="2085"/>
      <c r="V110" s="2085">
        <v>0</v>
      </c>
      <c r="W110" s="2085"/>
      <c r="X110" s="2085"/>
      <c r="Y110" s="2085"/>
      <c r="Z110" s="2085"/>
      <c r="AA110" s="2085"/>
      <c r="AB110" s="2085">
        <v>0</v>
      </c>
      <c r="AC110" s="2085"/>
      <c r="AD110" s="2085"/>
      <c r="AE110" s="2085"/>
      <c r="AF110" s="2085"/>
      <c r="AG110" s="2085"/>
      <c r="AH110" s="208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44" t="s">
        <v>2369</v>
      </c>
      <c r="C111" s="2112"/>
      <c r="D111" s="2112"/>
      <c r="E111" s="2112"/>
      <c r="F111" s="2112"/>
      <c r="G111" s="2112"/>
      <c r="H111" s="2112"/>
      <c r="I111" s="2085">
        <v>0</v>
      </c>
      <c r="J111" s="2085"/>
      <c r="K111" s="2085"/>
      <c r="L111" s="2085"/>
      <c r="M111" s="2085"/>
      <c r="N111" s="2085"/>
      <c r="O111" s="2085">
        <v>0</v>
      </c>
      <c r="P111" s="2085"/>
      <c r="Q111" s="2085"/>
      <c r="R111" s="2085"/>
      <c r="S111" s="2085"/>
      <c r="T111" s="2085"/>
      <c r="U111" s="2085"/>
      <c r="V111" s="2085">
        <v>0</v>
      </c>
      <c r="W111" s="2085"/>
      <c r="X111" s="2085"/>
      <c r="Y111" s="2085"/>
      <c r="Z111" s="2085"/>
      <c r="AA111" s="2085"/>
      <c r="AB111" s="2085">
        <v>0</v>
      </c>
      <c r="AC111" s="2085"/>
      <c r="AD111" s="2085"/>
      <c r="AE111" s="2085"/>
      <c r="AF111" s="2085"/>
      <c r="AG111" s="2085"/>
      <c r="AH111" s="208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42" t="s">
        <v>2368</v>
      </c>
      <c r="C112" s="2143"/>
      <c r="D112" s="2143"/>
      <c r="E112" s="2143"/>
      <c r="F112" s="2143"/>
      <c r="G112" s="2143"/>
      <c r="H112" s="2143"/>
      <c r="I112" s="2079">
        <v>0</v>
      </c>
      <c r="J112" s="2079"/>
      <c r="K112" s="2079"/>
      <c r="L112" s="2079"/>
      <c r="M112" s="2079"/>
      <c r="N112" s="2079"/>
      <c r="O112" s="2079">
        <v>0</v>
      </c>
      <c r="P112" s="2079"/>
      <c r="Q112" s="2079"/>
      <c r="R112" s="2079"/>
      <c r="S112" s="2079"/>
      <c r="T112" s="2079"/>
      <c r="U112" s="2079"/>
      <c r="V112" s="2079">
        <v>0</v>
      </c>
      <c r="W112" s="2079"/>
      <c r="X112" s="2079"/>
      <c r="Y112" s="2079"/>
      <c r="Z112" s="2079"/>
      <c r="AA112" s="2079"/>
      <c r="AB112" s="2079">
        <v>0</v>
      </c>
      <c r="AC112" s="2079"/>
      <c r="AD112" s="2079"/>
      <c r="AE112" s="2079"/>
      <c r="AF112" s="2079"/>
      <c r="AG112" s="2079"/>
      <c r="AH112" s="208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6"/>
      <c r="G115" s="2107"/>
      <c r="H115" s="2107"/>
      <c r="I115" s="2107"/>
      <c r="J115" s="2107"/>
      <c r="K115" s="2107"/>
      <c r="L115" s="2107"/>
      <c r="M115" s="2107"/>
      <c r="N115" s="2107"/>
      <c r="O115" s="2107"/>
      <c r="P115" s="2107"/>
      <c r="Q115" s="2107"/>
      <c r="R115" s="2108"/>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7" t="s">
        <v>2366</v>
      </c>
      <c r="C117" s="2118"/>
      <c r="D117" s="2118"/>
      <c r="E117" s="2118"/>
      <c r="F117" s="2118"/>
      <c r="G117" s="2118"/>
      <c r="H117" s="2118"/>
      <c r="I117" s="2118"/>
      <c r="J117" s="2118"/>
      <c r="K117" s="2118"/>
      <c r="L117" s="2118"/>
      <c r="M117" s="2118"/>
      <c r="N117" s="2118"/>
      <c r="O117" s="2118"/>
      <c r="P117" s="2118"/>
      <c r="Q117" s="2118"/>
      <c r="R117" s="2118"/>
      <c r="S117" s="2118"/>
      <c r="T117" s="2118"/>
      <c r="U117" s="2121" t="s">
        <v>545</v>
      </c>
      <c r="V117" s="2121"/>
      <c r="W117" s="2121"/>
      <c r="X117" s="2122"/>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9"/>
      <c r="C118" s="2120"/>
      <c r="D118" s="2120"/>
      <c r="E118" s="2120"/>
      <c r="F118" s="2120"/>
      <c r="G118" s="2120"/>
      <c r="H118" s="2120"/>
      <c r="I118" s="2120"/>
      <c r="J118" s="2120"/>
      <c r="K118" s="2120"/>
      <c r="L118" s="2120"/>
      <c r="M118" s="2120"/>
      <c r="N118" s="2120"/>
      <c r="O118" s="2120"/>
      <c r="P118" s="2120"/>
      <c r="Q118" s="2120"/>
      <c r="R118" s="2120"/>
      <c r="S118" s="2120"/>
      <c r="T118" s="2120"/>
      <c r="U118" s="2123"/>
      <c r="V118" s="2123"/>
      <c r="W118" s="2123"/>
      <c r="X118" s="2124"/>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9"/>
      <c r="C119" s="2120"/>
      <c r="D119" s="2120"/>
      <c r="E119" s="2120"/>
      <c r="F119" s="2120"/>
      <c r="G119" s="2120"/>
      <c r="H119" s="2120"/>
      <c r="I119" s="2120"/>
      <c r="J119" s="2120"/>
      <c r="K119" s="2120"/>
      <c r="L119" s="2120"/>
      <c r="M119" s="2120"/>
      <c r="N119" s="2120"/>
      <c r="O119" s="2120"/>
      <c r="P119" s="2120"/>
      <c r="Q119" s="2120"/>
      <c r="R119" s="2120"/>
      <c r="S119" s="2120"/>
      <c r="T119" s="2120"/>
      <c r="U119" s="2123"/>
      <c r="V119" s="2123"/>
      <c r="W119" s="2123"/>
      <c r="X119" s="2124"/>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9"/>
      <c r="C120" s="2120"/>
      <c r="D120" s="2120"/>
      <c r="E120" s="2120"/>
      <c r="F120" s="2120"/>
      <c r="G120" s="2120"/>
      <c r="H120" s="2120"/>
      <c r="I120" s="2120"/>
      <c r="J120" s="2120"/>
      <c r="K120" s="2120"/>
      <c r="L120" s="2120"/>
      <c r="M120" s="2120"/>
      <c r="N120" s="2120"/>
      <c r="O120" s="2120"/>
      <c r="P120" s="2120"/>
      <c r="Q120" s="2120"/>
      <c r="R120" s="2120"/>
      <c r="S120" s="2120"/>
      <c r="T120" s="2120"/>
      <c r="U120" s="2123"/>
      <c r="V120" s="2123"/>
      <c r="W120" s="2123"/>
      <c r="X120" s="2124"/>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5" t="s">
        <v>2366</v>
      </c>
      <c r="C121" s="2126"/>
      <c r="D121" s="2126"/>
      <c r="E121" s="2126"/>
      <c r="F121" s="2126"/>
      <c r="G121" s="2126"/>
      <c r="H121" s="2126"/>
      <c r="I121" s="2126"/>
      <c r="J121" s="2126"/>
      <c r="K121" s="2126"/>
      <c r="L121" s="2126"/>
      <c r="M121" s="2126"/>
      <c r="N121" s="2126"/>
      <c r="O121" s="2126"/>
      <c r="P121" s="2126"/>
      <c r="Q121" s="2126"/>
      <c r="R121" s="2126"/>
      <c r="S121" s="2126"/>
      <c r="T121" s="2126"/>
      <c r="U121" s="2129" t="s">
        <v>545</v>
      </c>
      <c r="V121" s="2129"/>
      <c r="W121" s="2129"/>
      <c r="X121" s="2130"/>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7"/>
      <c r="C122" s="2128"/>
      <c r="D122" s="2128"/>
      <c r="E122" s="2128"/>
      <c r="F122" s="2128"/>
      <c r="G122" s="2128"/>
      <c r="H122" s="2128"/>
      <c r="I122" s="2128"/>
      <c r="J122" s="2128"/>
      <c r="K122" s="2128"/>
      <c r="L122" s="2128"/>
      <c r="M122" s="2128"/>
      <c r="N122" s="2128"/>
      <c r="O122" s="2128"/>
      <c r="P122" s="2128"/>
      <c r="Q122" s="2128"/>
      <c r="R122" s="2128"/>
      <c r="S122" s="2128"/>
      <c r="T122" s="2128"/>
      <c r="U122" s="2131"/>
      <c r="V122" s="2131"/>
      <c r="W122" s="2131"/>
      <c r="X122" s="2132"/>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33" t="s">
        <v>2364</v>
      </c>
      <c r="Y125" s="2134"/>
      <c r="Z125" s="2134"/>
      <c r="AA125" s="2134"/>
      <c r="AB125" s="2134"/>
      <c r="AC125" s="2134"/>
      <c r="AD125" s="2134"/>
      <c r="AE125" s="2134"/>
      <c r="AF125" s="2134"/>
      <c r="AG125" s="2134"/>
      <c r="AH125" s="2134"/>
      <c r="AI125" s="2134"/>
      <c r="AJ125" s="2134"/>
      <c r="AK125" s="2134"/>
      <c r="AL125" s="2134"/>
      <c r="AM125" s="2134"/>
      <c r="AN125" s="2134"/>
      <c r="AO125" s="2134"/>
      <c r="AP125" s="2134"/>
      <c r="AQ125" s="2134"/>
      <c r="AR125" s="2134"/>
      <c r="AS125" s="2134"/>
      <c r="AT125" s="2134"/>
      <c r="AU125" s="2134"/>
      <c r="AV125" s="2134"/>
      <c r="AW125" s="2134"/>
      <c r="AX125" s="2134"/>
      <c r="AY125" s="2134"/>
      <c r="AZ125" s="2134"/>
      <c r="BA125" s="2134"/>
      <c r="BB125" s="2134"/>
      <c r="BC125" s="2134"/>
      <c r="BD125" s="2135"/>
      <c r="BE125" s="1194"/>
    </row>
    <row r="126" spans="1:57" ht="15.75" customHeight="1">
      <c r="A126" s="1190"/>
      <c r="B126" s="2139" t="s">
        <v>1576</v>
      </c>
      <c r="C126" s="2140"/>
      <c r="D126" s="2140"/>
      <c r="E126" s="2140"/>
      <c r="F126" s="2140"/>
      <c r="G126" s="2140"/>
      <c r="H126" s="2140"/>
      <c r="I126" s="2140"/>
      <c r="J126" s="2140"/>
      <c r="K126" s="2140"/>
      <c r="L126" s="2140"/>
      <c r="M126" s="2140"/>
      <c r="N126" s="2140"/>
      <c r="O126" s="2140"/>
      <c r="P126" s="2140"/>
      <c r="Q126" s="2140"/>
      <c r="R126" s="2140"/>
      <c r="S126" s="2140"/>
      <c r="T126" s="2140"/>
      <c r="U126" s="2141"/>
      <c r="V126" s="1190"/>
      <c r="W126" s="1190"/>
      <c r="X126" s="2136"/>
      <c r="Y126" s="2137"/>
      <c r="Z126" s="2137"/>
      <c r="AA126" s="2137"/>
      <c r="AB126" s="2137"/>
      <c r="AC126" s="2137"/>
      <c r="AD126" s="2137"/>
      <c r="AE126" s="2137"/>
      <c r="AF126" s="2137"/>
      <c r="AG126" s="2137"/>
      <c r="AH126" s="2137"/>
      <c r="AI126" s="2137"/>
      <c r="AJ126" s="2137"/>
      <c r="AK126" s="2137"/>
      <c r="AL126" s="2137"/>
      <c r="AM126" s="2137"/>
      <c r="AN126" s="2137"/>
      <c r="AO126" s="2137"/>
      <c r="AP126" s="2137"/>
      <c r="AQ126" s="2137"/>
      <c r="AR126" s="2137"/>
      <c r="AS126" s="2137"/>
      <c r="AT126" s="2137"/>
      <c r="AU126" s="2137"/>
      <c r="AV126" s="2137"/>
      <c r="AW126" s="2137"/>
      <c r="AX126" s="2137"/>
      <c r="AY126" s="2137"/>
      <c r="AZ126" s="2137"/>
      <c r="BA126" s="2137"/>
      <c r="BB126" s="2137"/>
      <c r="BC126" s="2137"/>
      <c r="BD126" s="2138"/>
      <c r="BE126" s="1194"/>
    </row>
    <row r="127" spans="1:57" ht="15.75" customHeight="1">
      <c r="A127" s="1190"/>
      <c r="B127" s="2049"/>
      <c r="C127" s="2050"/>
      <c r="D127" s="2050"/>
      <c r="E127" s="2050"/>
      <c r="F127" s="2050"/>
      <c r="G127" s="2050"/>
      <c r="H127" s="2050"/>
      <c r="I127" s="2112" t="s">
        <v>2363</v>
      </c>
      <c r="J127" s="2112"/>
      <c r="K127" s="2112"/>
      <c r="L127" s="2112"/>
      <c r="M127" s="2112"/>
      <c r="N127" s="2112"/>
      <c r="O127" s="2113" t="s">
        <v>2362</v>
      </c>
      <c r="P127" s="2113"/>
      <c r="Q127" s="2113"/>
      <c r="R127" s="2113"/>
      <c r="S127" s="2113"/>
      <c r="T127" s="2113"/>
      <c r="U127" s="2114"/>
      <c r="V127" s="1190"/>
      <c r="W127" s="1190"/>
      <c r="X127" s="2052" t="s">
        <v>2332</v>
      </c>
      <c r="Y127" s="2053"/>
      <c r="Z127" s="2053"/>
      <c r="AA127" s="2053"/>
      <c r="AB127" s="2053"/>
      <c r="AC127" s="2053"/>
      <c r="AD127" s="2053"/>
      <c r="AE127" s="2053"/>
      <c r="AF127" s="2053"/>
      <c r="AG127" s="2053"/>
      <c r="AH127" s="2053"/>
      <c r="AI127" s="2053"/>
      <c r="AJ127" s="2053"/>
      <c r="AK127" s="2053"/>
      <c r="AL127" s="2053"/>
      <c r="AM127" s="2053"/>
      <c r="AN127" s="2053"/>
      <c r="AO127" s="2053"/>
      <c r="AP127" s="2053"/>
      <c r="AQ127" s="2053"/>
      <c r="AR127" s="2053"/>
      <c r="AS127" s="2053"/>
      <c r="AT127" s="2053"/>
      <c r="AU127" s="2053"/>
      <c r="AV127" s="2053"/>
      <c r="AW127" s="2053"/>
      <c r="AX127" s="2053"/>
      <c r="AY127" s="2053"/>
      <c r="AZ127" s="2053"/>
      <c r="BA127" s="2053"/>
      <c r="BB127" s="2053"/>
      <c r="BC127" s="2053"/>
      <c r="BD127" s="2054"/>
      <c r="BE127" s="1194"/>
    </row>
    <row r="128" spans="1:57" ht="15.75" customHeight="1">
      <c r="A128" s="1190"/>
      <c r="B128" s="2083" t="s">
        <v>2346</v>
      </c>
      <c r="C128" s="2084"/>
      <c r="D128" s="2084"/>
      <c r="E128" s="2084"/>
      <c r="F128" s="2084"/>
      <c r="G128" s="2084"/>
      <c r="H128" s="2084"/>
      <c r="I128" s="2085">
        <v>0</v>
      </c>
      <c r="J128" s="2085"/>
      <c r="K128" s="2085"/>
      <c r="L128" s="2085"/>
      <c r="M128" s="2085"/>
      <c r="N128" s="2085"/>
      <c r="O128" s="2085">
        <v>0</v>
      </c>
      <c r="P128" s="2085"/>
      <c r="Q128" s="2085"/>
      <c r="R128" s="2085"/>
      <c r="S128" s="2085"/>
      <c r="T128" s="2085"/>
      <c r="U128" s="2086"/>
      <c r="V128" s="1190"/>
      <c r="W128" s="1190"/>
      <c r="X128" s="2052"/>
      <c r="Y128" s="2053"/>
      <c r="Z128" s="2053"/>
      <c r="AA128" s="2053"/>
      <c r="AB128" s="2053"/>
      <c r="AC128" s="2053"/>
      <c r="AD128" s="2053"/>
      <c r="AE128" s="2053"/>
      <c r="AF128" s="2053"/>
      <c r="AG128" s="2053"/>
      <c r="AH128" s="2053"/>
      <c r="AI128" s="2053"/>
      <c r="AJ128" s="2053"/>
      <c r="AK128" s="2053"/>
      <c r="AL128" s="2053"/>
      <c r="AM128" s="2053"/>
      <c r="AN128" s="2053"/>
      <c r="AO128" s="2053"/>
      <c r="AP128" s="2053"/>
      <c r="AQ128" s="2053"/>
      <c r="AR128" s="2053"/>
      <c r="AS128" s="2053"/>
      <c r="AT128" s="2053"/>
      <c r="AU128" s="2053"/>
      <c r="AV128" s="2053"/>
      <c r="AW128" s="2053"/>
      <c r="AX128" s="2053"/>
      <c r="AY128" s="2053"/>
      <c r="AZ128" s="2053"/>
      <c r="BA128" s="2053"/>
      <c r="BB128" s="2053"/>
      <c r="BC128" s="2053"/>
      <c r="BD128" s="2054"/>
      <c r="BE128" s="1194"/>
    </row>
    <row r="129" spans="1:57" ht="15.75" customHeight="1" thickBot="1">
      <c r="A129" s="1190"/>
      <c r="B129" s="2077" t="s">
        <v>2345</v>
      </c>
      <c r="C129" s="2078"/>
      <c r="D129" s="2078"/>
      <c r="E129" s="2078"/>
      <c r="F129" s="2078"/>
      <c r="G129" s="2078"/>
      <c r="H129" s="2078"/>
      <c r="I129" s="2079">
        <v>0</v>
      </c>
      <c r="J129" s="2079"/>
      <c r="K129" s="2079"/>
      <c r="L129" s="2079"/>
      <c r="M129" s="2079"/>
      <c r="N129" s="2079"/>
      <c r="O129" s="2115"/>
      <c r="P129" s="2115"/>
      <c r="Q129" s="2115"/>
      <c r="R129" s="2115"/>
      <c r="S129" s="2115"/>
      <c r="T129" s="2115"/>
      <c r="U129" s="2116"/>
      <c r="V129" s="1190"/>
      <c r="W129" s="1190"/>
      <c r="X129" s="2052"/>
      <c r="Y129" s="2053"/>
      <c r="Z129" s="2053"/>
      <c r="AA129" s="2053"/>
      <c r="AB129" s="2053"/>
      <c r="AC129" s="2053"/>
      <c r="AD129" s="2053"/>
      <c r="AE129" s="2053"/>
      <c r="AF129" s="2053"/>
      <c r="AG129" s="2053"/>
      <c r="AH129" s="2053"/>
      <c r="AI129" s="2053"/>
      <c r="AJ129" s="2053"/>
      <c r="AK129" s="2053"/>
      <c r="AL129" s="2053"/>
      <c r="AM129" s="2053"/>
      <c r="AN129" s="2053"/>
      <c r="AO129" s="2053"/>
      <c r="AP129" s="2053"/>
      <c r="AQ129" s="2053"/>
      <c r="AR129" s="2053"/>
      <c r="AS129" s="2053"/>
      <c r="AT129" s="2053"/>
      <c r="AU129" s="2053"/>
      <c r="AV129" s="2053"/>
      <c r="AW129" s="2053"/>
      <c r="AX129" s="2053"/>
      <c r="AY129" s="2053"/>
      <c r="AZ129" s="2053"/>
      <c r="BA129" s="2053"/>
      <c r="BB129" s="2053"/>
      <c r="BC129" s="2053"/>
      <c r="BD129" s="2054"/>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52"/>
      <c r="Y130" s="2053"/>
      <c r="Z130" s="2053"/>
      <c r="AA130" s="2053"/>
      <c r="AB130" s="2053"/>
      <c r="AC130" s="2053"/>
      <c r="AD130" s="2053"/>
      <c r="AE130" s="2053"/>
      <c r="AF130" s="2053"/>
      <c r="AG130" s="2053"/>
      <c r="AH130" s="2053"/>
      <c r="AI130" s="2053"/>
      <c r="AJ130" s="2053"/>
      <c r="AK130" s="2053"/>
      <c r="AL130" s="2053"/>
      <c r="AM130" s="2053"/>
      <c r="AN130" s="2053"/>
      <c r="AO130" s="2053"/>
      <c r="AP130" s="2053"/>
      <c r="AQ130" s="2053"/>
      <c r="AR130" s="2053"/>
      <c r="AS130" s="2053"/>
      <c r="AT130" s="2053"/>
      <c r="AU130" s="2053"/>
      <c r="AV130" s="2053"/>
      <c r="AW130" s="2053"/>
      <c r="AX130" s="2053"/>
      <c r="AY130" s="2053"/>
      <c r="AZ130" s="2053"/>
      <c r="BA130" s="2053"/>
      <c r="BB130" s="2053"/>
      <c r="BC130" s="2053"/>
      <c r="BD130" s="2054"/>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52"/>
      <c r="Y131" s="2053"/>
      <c r="Z131" s="2053"/>
      <c r="AA131" s="2053"/>
      <c r="AB131" s="2053"/>
      <c r="AC131" s="2053"/>
      <c r="AD131" s="2053"/>
      <c r="AE131" s="2053"/>
      <c r="AF131" s="2053"/>
      <c r="AG131" s="2053"/>
      <c r="AH131" s="2053"/>
      <c r="AI131" s="2053"/>
      <c r="AJ131" s="2053"/>
      <c r="AK131" s="2053"/>
      <c r="AL131" s="2053"/>
      <c r="AM131" s="2053"/>
      <c r="AN131" s="2053"/>
      <c r="AO131" s="2053"/>
      <c r="AP131" s="2053"/>
      <c r="AQ131" s="2053"/>
      <c r="AR131" s="2053"/>
      <c r="AS131" s="2053"/>
      <c r="AT131" s="2053"/>
      <c r="AU131" s="2053"/>
      <c r="AV131" s="2053"/>
      <c r="AW131" s="2053"/>
      <c r="AX131" s="2053"/>
      <c r="AY131" s="2053"/>
      <c r="AZ131" s="2053"/>
      <c r="BA131" s="2053"/>
      <c r="BB131" s="2053"/>
      <c r="BC131" s="2053"/>
      <c r="BD131" s="2054"/>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52"/>
      <c r="Y132" s="2053"/>
      <c r="Z132" s="2053"/>
      <c r="AA132" s="2053"/>
      <c r="AB132" s="2053"/>
      <c r="AC132" s="2053"/>
      <c r="AD132" s="2053"/>
      <c r="AE132" s="2053"/>
      <c r="AF132" s="2053"/>
      <c r="AG132" s="2053"/>
      <c r="AH132" s="2053"/>
      <c r="AI132" s="2053"/>
      <c r="AJ132" s="2053"/>
      <c r="AK132" s="2053"/>
      <c r="AL132" s="2053"/>
      <c r="AM132" s="2053"/>
      <c r="AN132" s="2053"/>
      <c r="AO132" s="2053"/>
      <c r="AP132" s="2053"/>
      <c r="AQ132" s="2053"/>
      <c r="AR132" s="2053"/>
      <c r="AS132" s="2053"/>
      <c r="AT132" s="2053"/>
      <c r="AU132" s="2053"/>
      <c r="AV132" s="2053"/>
      <c r="AW132" s="2053"/>
      <c r="AX132" s="2053"/>
      <c r="AY132" s="2053"/>
      <c r="AZ132" s="2053"/>
      <c r="BA132" s="2053"/>
      <c r="BB132" s="2053"/>
      <c r="BC132" s="2053"/>
      <c r="BD132" s="2054"/>
      <c r="BE132" s="1194"/>
    </row>
    <row r="133" spans="1:57" ht="15.75" customHeight="1">
      <c r="A133" s="1190"/>
      <c r="B133" s="2109" t="s">
        <v>2360</v>
      </c>
      <c r="C133" s="2110"/>
      <c r="D133" s="2110"/>
      <c r="E133" s="2110"/>
      <c r="F133" s="2110"/>
      <c r="G133" s="2110"/>
      <c r="H133" s="2110"/>
      <c r="I133" s="2110"/>
      <c r="J133" s="2110"/>
      <c r="K133" s="2110"/>
      <c r="L133" s="2110"/>
      <c r="M133" s="2110"/>
      <c r="N133" s="2110"/>
      <c r="O133" s="2110"/>
      <c r="P133" s="2110"/>
      <c r="Q133" s="2110"/>
      <c r="R133" s="2110"/>
      <c r="S133" s="2110"/>
      <c r="T133" s="2110"/>
      <c r="U133" s="2111"/>
      <c r="V133" s="1190"/>
      <c r="W133" s="1190"/>
      <c r="X133" s="2052"/>
      <c r="Y133" s="2053"/>
      <c r="Z133" s="2053"/>
      <c r="AA133" s="2053"/>
      <c r="AB133" s="2053"/>
      <c r="AC133" s="2053"/>
      <c r="AD133" s="2053"/>
      <c r="AE133" s="2053"/>
      <c r="AF133" s="2053"/>
      <c r="AG133" s="2053"/>
      <c r="AH133" s="2053"/>
      <c r="AI133" s="2053"/>
      <c r="AJ133" s="2053"/>
      <c r="AK133" s="2053"/>
      <c r="AL133" s="2053"/>
      <c r="AM133" s="2053"/>
      <c r="AN133" s="2053"/>
      <c r="AO133" s="2053"/>
      <c r="AP133" s="2053"/>
      <c r="AQ133" s="2053"/>
      <c r="AR133" s="2053"/>
      <c r="AS133" s="2053"/>
      <c r="AT133" s="2053"/>
      <c r="AU133" s="2053"/>
      <c r="AV133" s="2053"/>
      <c r="AW133" s="2053"/>
      <c r="AX133" s="2053"/>
      <c r="AY133" s="2053"/>
      <c r="AZ133" s="2053"/>
      <c r="BA133" s="2053"/>
      <c r="BB133" s="2053"/>
      <c r="BC133" s="2053"/>
      <c r="BD133" s="2054"/>
      <c r="BE133" s="1194"/>
    </row>
    <row r="134" spans="1:57" ht="15.75" customHeight="1">
      <c r="A134" s="1190"/>
      <c r="B134" s="2049"/>
      <c r="C134" s="2050"/>
      <c r="D134" s="2050"/>
      <c r="E134" s="2050"/>
      <c r="F134" s="2050"/>
      <c r="G134" s="2050"/>
      <c r="H134" s="2050"/>
      <c r="I134" s="2087" t="s">
        <v>2348</v>
      </c>
      <c r="J134" s="2087"/>
      <c r="K134" s="2087"/>
      <c r="L134" s="2087"/>
      <c r="M134" s="2087"/>
      <c r="N134" s="2087"/>
      <c r="O134" s="2087"/>
      <c r="P134" s="2087" t="s">
        <v>2347</v>
      </c>
      <c r="Q134" s="2087"/>
      <c r="R134" s="2087"/>
      <c r="S134" s="2087"/>
      <c r="T134" s="2087"/>
      <c r="U134" s="2088"/>
      <c r="V134" s="1190"/>
      <c r="W134" s="1190"/>
      <c r="X134" s="2052"/>
      <c r="Y134" s="2053"/>
      <c r="Z134" s="2053"/>
      <c r="AA134" s="2053"/>
      <c r="AB134" s="2053"/>
      <c r="AC134" s="2053"/>
      <c r="AD134" s="2053"/>
      <c r="AE134" s="2053"/>
      <c r="AF134" s="2053"/>
      <c r="AG134" s="2053"/>
      <c r="AH134" s="2053"/>
      <c r="AI134" s="2053"/>
      <c r="AJ134" s="2053"/>
      <c r="AK134" s="2053"/>
      <c r="AL134" s="2053"/>
      <c r="AM134" s="2053"/>
      <c r="AN134" s="2053"/>
      <c r="AO134" s="2053"/>
      <c r="AP134" s="2053"/>
      <c r="AQ134" s="2053"/>
      <c r="AR134" s="2053"/>
      <c r="AS134" s="2053"/>
      <c r="AT134" s="2053"/>
      <c r="AU134" s="2053"/>
      <c r="AV134" s="2053"/>
      <c r="AW134" s="2053"/>
      <c r="AX134" s="2053"/>
      <c r="AY134" s="2053"/>
      <c r="AZ134" s="2053"/>
      <c r="BA134" s="2053"/>
      <c r="BB134" s="2053"/>
      <c r="BC134" s="2053"/>
      <c r="BD134" s="2054"/>
      <c r="BE134" s="1194"/>
    </row>
    <row r="135" spans="1:57" ht="15.75" customHeight="1">
      <c r="A135" s="1190"/>
      <c r="B135" s="2049"/>
      <c r="C135" s="2050"/>
      <c r="D135" s="2050"/>
      <c r="E135" s="2050"/>
      <c r="F135" s="2050"/>
      <c r="G135" s="2050"/>
      <c r="H135" s="2050"/>
      <c r="I135" s="2087"/>
      <c r="J135" s="2087"/>
      <c r="K135" s="2087"/>
      <c r="L135" s="2087"/>
      <c r="M135" s="2087"/>
      <c r="N135" s="2087"/>
      <c r="O135" s="2087"/>
      <c r="P135" s="2087"/>
      <c r="Q135" s="2087"/>
      <c r="R135" s="2087"/>
      <c r="S135" s="2087"/>
      <c r="T135" s="2087"/>
      <c r="U135" s="2088"/>
      <c r="V135" s="1190"/>
      <c r="W135" s="1190"/>
      <c r="X135" s="2052"/>
      <c r="Y135" s="2053"/>
      <c r="Z135" s="2053"/>
      <c r="AA135" s="2053"/>
      <c r="AB135" s="2053"/>
      <c r="AC135" s="2053"/>
      <c r="AD135" s="2053"/>
      <c r="AE135" s="2053"/>
      <c r="AF135" s="2053"/>
      <c r="AG135" s="2053"/>
      <c r="AH135" s="2053"/>
      <c r="AI135" s="2053"/>
      <c r="AJ135" s="2053"/>
      <c r="AK135" s="2053"/>
      <c r="AL135" s="2053"/>
      <c r="AM135" s="2053"/>
      <c r="AN135" s="2053"/>
      <c r="AO135" s="2053"/>
      <c r="AP135" s="2053"/>
      <c r="AQ135" s="2053"/>
      <c r="AR135" s="2053"/>
      <c r="AS135" s="2053"/>
      <c r="AT135" s="2053"/>
      <c r="AU135" s="2053"/>
      <c r="AV135" s="2053"/>
      <c r="AW135" s="2053"/>
      <c r="AX135" s="2053"/>
      <c r="AY135" s="2053"/>
      <c r="AZ135" s="2053"/>
      <c r="BA135" s="2053"/>
      <c r="BB135" s="2053"/>
      <c r="BC135" s="2053"/>
      <c r="BD135" s="2054"/>
      <c r="BE135" s="1194"/>
    </row>
    <row r="136" spans="1:57" ht="15.75" customHeight="1">
      <c r="A136" s="1190"/>
      <c r="B136" s="2083" t="s">
        <v>2346</v>
      </c>
      <c r="C136" s="2084"/>
      <c r="D136" s="2084"/>
      <c r="E136" s="2084"/>
      <c r="F136" s="2084"/>
      <c r="G136" s="2084"/>
      <c r="H136" s="2084"/>
      <c r="I136" s="2085">
        <v>0</v>
      </c>
      <c r="J136" s="2085"/>
      <c r="K136" s="2085"/>
      <c r="L136" s="2085"/>
      <c r="M136" s="2085"/>
      <c r="N136" s="2085"/>
      <c r="O136" s="2085"/>
      <c r="P136" s="2085">
        <v>0</v>
      </c>
      <c r="Q136" s="2085"/>
      <c r="R136" s="2085"/>
      <c r="S136" s="2085"/>
      <c r="T136" s="2085"/>
      <c r="U136" s="2086"/>
      <c r="V136" s="1190"/>
      <c r="W136" s="1190"/>
      <c r="X136" s="2052"/>
      <c r="Y136" s="2053"/>
      <c r="Z136" s="2053"/>
      <c r="AA136" s="2053"/>
      <c r="AB136" s="2053"/>
      <c r="AC136" s="2053"/>
      <c r="AD136" s="2053"/>
      <c r="AE136" s="2053"/>
      <c r="AF136" s="2053"/>
      <c r="AG136" s="2053"/>
      <c r="AH136" s="2053"/>
      <c r="AI136" s="2053"/>
      <c r="AJ136" s="2053"/>
      <c r="AK136" s="2053"/>
      <c r="AL136" s="2053"/>
      <c r="AM136" s="2053"/>
      <c r="AN136" s="2053"/>
      <c r="AO136" s="2053"/>
      <c r="AP136" s="2053"/>
      <c r="AQ136" s="2053"/>
      <c r="AR136" s="2053"/>
      <c r="AS136" s="2053"/>
      <c r="AT136" s="2053"/>
      <c r="AU136" s="2053"/>
      <c r="AV136" s="2053"/>
      <c r="AW136" s="2053"/>
      <c r="AX136" s="2053"/>
      <c r="AY136" s="2053"/>
      <c r="AZ136" s="2053"/>
      <c r="BA136" s="2053"/>
      <c r="BB136" s="2053"/>
      <c r="BC136" s="2053"/>
      <c r="BD136" s="2054"/>
      <c r="BE136" s="1194"/>
    </row>
    <row r="137" spans="1:57" ht="15.75" customHeight="1" thickBot="1">
      <c r="A137" s="1190"/>
      <c r="B137" s="2077" t="s">
        <v>2345</v>
      </c>
      <c r="C137" s="2078"/>
      <c r="D137" s="2078"/>
      <c r="E137" s="2078"/>
      <c r="F137" s="2078"/>
      <c r="G137" s="2078"/>
      <c r="H137" s="2078"/>
      <c r="I137" s="2079">
        <v>0</v>
      </c>
      <c r="J137" s="2079"/>
      <c r="K137" s="2079"/>
      <c r="L137" s="2079"/>
      <c r="M137" s="2079"/>
      <c r="N137" s="2079"/>
      <c r="O137" s="2079"/>
      <c r="P137" s="2079">
        <v>0</v>
      </c>
      <c r="Q137" s="2079"/>
      <c r="R137" s="2079"/>
      <c r="S137" s="2079"/>
      <c r="T137" s="2079"/>
      <c r="U137" s="2080"/>
      <c r="V137" s="1190"/>
      <c r="W137" s="1190"/>
      <c r="X137" s="2055"/>
      <c r="Y137" s="2056"/>
      <c r="Z137" s="2056"/>
      <c r="AA137" s="2056"/>
      <c r="AB137" s="2056"/>
      <c r="AC137" s="2056"/>
      <c r="AD137" s="2056"/>
      <c r="AE137" s="2056"/>
      <c r="AF137" s="2056"/>
      <c r="AG137" s="2056"/>
      <c r="AH137" s="2056"/>
      <c r="AI137" s="2056"/>
      <c r="AJ137" s="2056"/>
      <c r="AK137" s="2056"/>
      <c r="AL137" s="2056"/>
      <c r="AM137" s="2056"/>
      <c r="AN137" s="2056"/>
      <c r="AO137" s="2056"/>
      <c r="AP137" s="2056"/>
      <c r="AQ137" s="2056"/>
      <c r="AR137" s="2056"/>
      <c r="AS137" s="2056"/>
      <c r="AT137" s="2056"/>
      <c r="AU137" s="2056"/>
      <c r="AV137" s="2056"/>
      <c r="AW137" s="2056"/>
      <c r="AX137" s="2056"/>
      <c r="AY137" s="2056"/>
      <c r="AZ137" s="2056"/>
      <c r="BA137" s="2056"/>
      <c r="BB137" s="2056"/>
      <c r="BC137" s="2056"/>
      <c r="BD137" s="2057"/>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04" t="s">
        <v>2359</v>
      </c>
      <c r="C139" s="2105"/>
      <c r="D139" s="2105"/>
      <c r="E139" s="2105"/>
      <c r="F139" s="2105"/>
      <c r="G139" s="2105"/>
      <c r="H139" s="2105"/>
      <c r="I139" s="2105"/>
      <c r="J139" s="2105"/>
      <c r="K139" s="2105"/>
      <c r="L139" s="2105"/>
      <c r="M139" s="2105"/>
      <c r="N139" s="2105"/>
      <c r="O139" s="2105"/>
      <c r="P139" s="2105"/>
      <c r="Q139" s="2105"/>
      <c r="R139" s="2105"/>
      <c r="S139" s="2105"/>
      <c r="T139" s="2105"/>
      <c r="U139" s="2105"/>
      <c r="V139" s="2105"/>
      <c r="W139" s="2105"/>
      <c r="X139" s="2105"/>
      <c r="Y139" s="2105"/>
      <c r="Z139" s="2105"/>
      <c r="AA139" s="2105"/>
      <c r="AB139" s="2105"/>
      <c r="AC139" s="2105"/>
      <c r="AD139" s="2105"/>
      <c r="AE139" s="2105"/>
      <c r="AF139" s="2105"/>
      <c r="AG139" s="2105"/>
      <c r="AH139" s="2092" t="s">
        <v>545</v>
      </c>
      <c r="AI139" s="2092"/>
      <c r="AJ139" s="2092"/>
      <c r="AK139" s="2092"/>
      <c r="AL139" s="2092"/>
      <c r="AM139" s="2092"/>
      <c r="AN139" s="2092"/>
      <c r="AO139" s="2092"/>
      <c r="AP139" s="2092"/>
      <c r="AQ139" s="2092"/>
      <c r="AR139" s="2092"/>
      <c r="AS139" s="2092"/>
      <c r="AT139" s="2092"/>
      <c r="AU139" s="2092"/>
      <c r="AV139" s="2092"/>
      <c r="AW139" s="2092"/>
      <c r="AX139" s="2093"/>
      <c r="AY139" s="1190"/>
      <c r="AZ139" s="1190"/>
      <c r="BA139" s="1190"/>
      <c r="BB139" s="1190"/>
      <c r="BC139" s="1190"/>
      <c r="BD139" s="1190"/>
      <c r="BE139" s="1194"/>
    </row>
    <row r="140" spans="1:57" ht="15.75" customHeight="1" thickBot="1">
      <c r="A140" s="1190"/>
      <c r="B140" s="2089" t="s">
        <v>2358</v>
      </c>
      <c r="C140" s="2090"/>
      <c r="D140" s="2090"/>
      <c r="E140" s="2090"/>
      <c r="F140" s="2090"/>
      <c r="G140" s="2090"/>
      <c r="H140" s="2090"/>
      <c r="I140" s="2090"/>
      <c r="J140" s="2090"/>
      <c r="K140" s="2090"/>
      <c r="L140" s="2090"/>
      <c r="M140" s="2090"/>
      <c r="N140" s="2090"/>
      <c r="O140" s="2090"/>
      <c r="P140" s="2090"/>
      <c r="Q140" s="2090"/>
      <c r="R140" s="2090"/>
      <c r="S140" s="2090"/>
      <c r="T140" s="2090"/>
      <c r="U140" s="2090"/>
      <c r="V140" s="2090"/>
      <c r="W140" s="2090"/>
      <c r="X140" s="2090"/>
      <c r="Y140" s="2090"/>
      <c r="Z140" s="2090"/>
      <c r="AA140" s="2090"/>
      <c r="AB140" s="2090"/>
      <c r="AC140" s="2090"/>
      <c r="AD140" s="2090"/>
      <c r="AE140" s="2090"/>
      <c r="AF140" s="2090"/>
      <c r="AG140" s="2091"/>
      <c r="AH140" s="2106"/>
      <c r="AI140" s="2107"/>
      <c r="AJ140" s="2107"/>
      <c r="AK140" s="2107"/>
      <c r="AL140" s="2107"/>
      <c r="AM140" s="2107"/>
      <c r="AN140" s="2107"/>
      <c r="AO140" s="2107"/>
      <c r="AP140" s="2107"/>
      <c r="AQ140" s="2107"/>
      <c r="AR140" s="2107"/>
      <c r="AS140" s="2107"/>
      <c r="AT140" s="2107"/>
      <c r="AU140" s="2107"/>
      <c r="AV140" s="2107"/>
      <c r="AW140" s="2107"/>
      <c r="AX140" s="2108"/>
      <c r="AY140" s="1190"/>
      <c r="AZ140" s="1190"/>
      <c r="BA140" s="1190"/>
      <c r="BB140" s="1190"/>
      <c r="BC140" s="1190"/>
      <c r="BD140" s="1190"/>
      <c r="BE140" s="1194"/>
    </row>
    <row r="141" spans="1:57" ht="15.75" customHeight="1">
      <c r="A141" s="1190"/>
      <c r="B141" s="2089" t="s">
        <v>2357</v>
      </c>
      <c r="C141" s="2090"/>
      <c r="D141" s="2090"/>
      <c r="E141" s="2090"/>
      <c r="F141" s="2090"/>
      <c r="G141" s="2090"/>
      <c r="H141" s="2090"/>
      <c r="I141" s="2090"/>
      <c r="J141" s="2090"/>
      <c r="K141" s="2090"/>
      <c r="L141" s="2090"/>
      <c r="M141" s="2090"/>
      <c r="N141" s="2090"/>
      <c r="O141" s="2090"/>
      <c r="P141" s="2090"/>
      <c r="Q141" s="2090"/>
      <c r="R141" s="2090"/>
      <c r="S141" s="2090"/>
      <c r="T141" s="2090"/>
      <c r="U141" s="2090"/>
      <c r="V141" s="2090"/>
      <c r="W141" s="2090"/>
      <c r="X141" s="2090"/>
      <c r="Y141" s="2090"/>
      <c r="Z141" s="2090"/>
      <c r="AA141" s="2090"/>
      <c r="AB141" s="2090"/>
      <c r="AC141" s="2090"/>
      <c r="AD141" s="2090"/>
      <c r="AE141" s="2090"/>
      <c r="AF141" s="2090"/>
      <c r="AG141" s="2091"/>
      <c r="AH141" s="2092" t="s">
        <v>545</v>
      </c>
      <c r="AI141" s="2092"/>
      <c r="AJ141" s="2092"/>
      <c r="AK141" s="2092"/>
      <c r="AL141" s="2092"/>
      <c r="AM141" s="2092"/>
      <c r="AN141" s="2092"/>
      <c r="AO141" s="2092"/>
      <c r="AP141" s="2092"/>
      <c r="AQ141" s="2092"/>
      <c r="AR141" s="2092"/>
      <c r="AS141" s="2092"/>
      <c r="AT141" s="2092"/>
      <c r="AU141" s="2092"/>
      <c r="AV141" s="2092"/>
      <c r="AW141" s="2092"/>
      <c r="AX141" s="2093"/>
      <c r="AY141" s="1190"/>
      <c r="AZ141" s="1190"/>
      <c r="BA141" s="1190"/>
      <c r="BB141" s="1190"/>
      <c r="BC141" s="1190"/>
      <c r="BD141" s="1190"/>
      <c r="BE141" s="1194"/>
    </row>
    <row r="142" spans="1:57" ht="15.75" customHeight="1">
      <c r="A142" s="1190"/>
      <c r="B142" s="2094" t="s">
        <v>2356</v>
      </c>
      <c r="C142" s="2095"/>
      <c r="D142" s="2095"/>
      <c r="E142" s="2095"/>
      <c r="F142" s="2095"/>
      <c r="G142" s="2095"/>
      <c r="H142" s="2095"/>
      <c r="I142" s="2095"/>
      <c r="J142" s="2095"/>
      <c r="K142" s="2095"/>
      <c r="L142" s="2095"/>
      <c r="M142" s="2095"/>
      <c r="N142" s="2095"/>
      <c r="O142" s="2095"/>
      <c r="P142" s="2095"/>
      <c r="Q142" s="2095"/>
      <c r="R142" s="2096" t="s">
        <v>2355</v>
      </c>
      <c r="S142" s="2096"/>
      <c r="T142" s="2096"/>
      <c r="U142" s="2096"/>
      <c r="V142" s="2096"/>
      <c r="W142" s="2096"/>
      <c r="X142" s="2096"/>
      <c r="Y142" s="2096"/>
      <c r="Z142" s="2096"/>
      <c r="AA142" s="2096"/>
      <c r="AB142" s="2096"/>
      <c r="AC142" s="2096"/>
      <c r="AD142" s="2096"/>
      <c r="AE142" s="2096"/>
      <c r="AF142" s="2096"/>
      <c r="AG142" s="2096"/>
      <c r="AH142" s="2096"/>
      <c r="AI142" s="2096"/>
      <c r="AJ142" s="2096"/>
      <c r="AK142" s="2096"/>
      <c r="AL142" s="2096"/>
      <c r="AM142" s="2096"/>
      <c r="AN142" s="2096"/>
      <c r="AO142" s="2096"/>
      <c r="AP142" s="2096"/>
      <c r="AQ142" s="2096"/>
      <c r="AR142" s="2096"/>
      <c r="AS142" s="2096"/>
      <c r="AT142" s="2096"/>
      <c r="AU142" s="2096"/>
      <c r="AV142" s="2096"/>
      <c r="AW142" s="2096"/>
      <c r="AX142" s="2097"/>
      <c r="AY142" s="1190"/>
      <c r="AZ142" s="1190"/>
      <c r="BA142" s="1190"/>
      <c r="BB142" s="1190"/>
      <c r="BC142" s="1190" t="s">
        <v>250</v>
      </c>
      <c r="BD142" s="1190"/>
      <c r="BE142" s="1194"/>
    </row>
    <row r="143" spans="1:57" ht="15.75" customHeight="1">
      <c r="A143" s="1190"/>
      <c r="B143" s="2098" t="s">
        <v>2354</v>
      </c>
      <c r="C143" s="2099"/>
      <c r="D143" s="2099"/>
      <c r="E143" s="2099"/>
      <c r="F143" s="2099"/>
      <c r="G143" s="2099"/>
      <c r="H143" s="2099"/>
      <c r="I143" s="2099"/>
      <c r="J143" s="2099"/>
      <c r="K143" s="2099"/>
      <c r="L143" s="2099"/>
      <c r="M143" s="2099"/>
      <c r="N143" s="2099"/>
      <c r="O143" s="2099"/>
      <c r="P143" s="2099"/>
      <c r="Q143" s="2099"/>
      <c r="R143" s="2099"/>
      <c r="S143" s="2099"/>
      <c r="T143" s="2099"/>
      <c r="U143" s="2099"/>
      <c r="V143" s="2099"/>
      <c r="W143" s="2099"/>
      <c r="X143" s="2099"/>
      <c r="Y143" s="2099"/>
      <c r="Z143" s="2099"/>
      <c r="AA143" s="2099"/>
      <c r="AB143" s="2099"/>
      <c r="AC143" s="2099"/>
      <c r="AD143" s="2099"/>
      <c r="AE143" s="2099"/>
      <c r="AF143" s="2099"/>
      <c r="AG143" s="2099"/>
      <c r="AH143" s="2099"/>
      <c r="AI143" s="2099"/>
      <c r="AJ143" s="2099"/>
      <c r="AK143" s="2099"/>
      <c r="AL143" s="2099"/>
      <c r="AM143" s="2099"/>
      <c r="AN143" s="2099"/>
      <c r="AO143" s="2099"/>
      <c r="AP143" s="2099"/>
      <c r="AQ143" s="2099"/>
      <c r="AR143" s="2099"/>
      <c r="AS143" s="2099"/>
      <c r="AT143" s="2099"/>
      <c r="AU143" s="2099"/>
      <c r="AV143" s="2099"/>
      <c r="AW143" s="2099"/>
      <c r="AX143" s="2100"/>
      <c r="AY143" s="1190"/>
      <c r="AZ143" s="1190"/>
      <c r="BA143" s="1190"/>
      <c r="BB143" s="1190"/>
      <c r="BC143" s="1190"/>
      <c r="BD143" s="1190"/>
      <c r="BE143" s="1194"/>
    </row>
    <row r="144" spans="1:57" ht="15.75" customHeight="1">
      <c r="A144" s="1190"/>
      <c r="B144" s="2098"/>
      <c r="C144" s="2099"/>
      <c r="D144" s="2099"/>
      <c r="E144" s="2099"/>
      <c r="F144" s="2099"/>
      <c r="G144" s="2099"/>
      <c r="H144" s="2099"/>
      <c r="I144" s="2099"/>
      <c r="J144" s="2099"/>
      <c r="K144" s="2099"/>
      <c r="L144" s="2099"/>
      <c r="M144" s="2099"/>
      <c r="N144" s="2099"/>
      <c r="O144" s="2099"/>
      <c r="P144" s="2099"/>
      <c r="Q144" s="2099"/>
      <c r="R144" s="2099"/>
      <c r="S144" s="2099"/>
      <c r="T144" s="2099"/>
      <c r="U144" s="2099"/>
      <c r="V144" s="2099"/>
      <c r="W144" s="2099"/>
      <c r="X144" s="2099"/>
      <c r="Y144" s="2099"/>
      <c r="Z144" s="2099"/>
      <c r="AA144" s="2099"/>
      <c r="AB144" s="2099"/>
      <c r="AC144" s="2099"/>
      <c r="AD144" s="2099"/>
      <c r="AE144" s="2099"/>
      <c r="AF144" s="2099"/>
      <c r="AG144" s="2099"/>
      <c r="AH144" s="2099"/>
      <c r="AI144" s="2099"/>
      <c r="AJ144" s="2099"/>
      <c r="AK144" s="2099"/>
      <c r="AL144" s="2099"/>
      <c r="AM144" s="2099"/>
      <c r="AN144" s="2099"/>
      <c r="AO144" s="2099"/>
      <c r="AP144" s="2099"/>
      <c r="AQ144" s="2099"/>
      <c r="AR144" s="2099"/>
      <c r="AS144" s="2099"/>
      <c r="AT144" s="2099"/>
      <c r="AU144" s="2099"/>
      <c r="AV144" s="2099"/>
      <c r="AW144" s="2099"/>
      <c r="AX144" s="2100"/>
      <c r="AY144" s="1190"/>
      <c r="AZ144" s="1190"/>
      <c r="BA144" s="1190"/>
      <c r="BB144" s="1190"/>
      <c r="BC144" s="1190"/>
      <c r="BD144" s="1190"/>
      <c r="BE144" s="1194"/>
    </row>
    <row r="145" spans="1:57" ht="15.75" customHeight="1">
      <c r="A145" s="1190"/>
      <c r="B145" s="2098"/>
      <c r="C145" s="2099"/>
      <c r="D145" s="2099"/>
      <c r="E145" s="2099"/>
      <c r="F145" s="2099"/>
      <c r="G145" s="2099"/>
      <c r="H145" s="2099"/>
      <c r="I145" s="2099"/>
      <c r="J145" s="2099"/>
      <c r="K145" s="2099"/>
      <c r="L145" s="2099"/>
      <c r="M145" s="2099"/>
      <c r="N145" s="2099"/>
      <c r="O145" s="2099"/>
      <c r="P145" s="2099"/>
      <c r="Q145" s="2099"/>
      <c r="R145" s="2099"/>
      <c r="S145" s="2099"/>
      <c r="T145" s="2099"/>
      <c r="U145" s="2099"/>
      <c r="V145" s="2099"/>
      <c r="W145" s="2099"/>
      <c r="X145" s="2099"/>
      <c r="Y145" s="2099"/>
      <c r="Z145" s="2099"/>
      <c r="AA145" s="2099"/>
      <c r="AB145" s="2099"/>
      <c r="AC145" s="2099"/>
      <c r="AD145" s="2099"/>
      <c r="AE145" s="2099"/>
      <c r="AF145" s="2099"/>
      <c r="AG145" s="2099"/>
      <c r="AH145" s="2099"/>
      <c r="AI145" s="2099"/>
      <c r="AJ145" s="2099"/>
      <c r="AK145" s="2099"/>
      <c r="AL145" s="2099"/>
      <c r="AM145" s="2099"/>
      <c r="AN145" s="2099"/>
      <c r="AO145" s="2099"/>
      <c r="AP145" s="2099"/>
      <c r="AQ145" s="2099"/>
      <c r="AR145" s="2099"/>
      <c r="AS145" s="2099"/>
      <c r="AT145" s="2099"/>
      <c r="AU145" s="2099"/>
      <c r="AV145" s="2099"/>
      <c r="AW145" s="2099"/>
      <c r="AX145" s="2100"/>
      <c r="AY145" s="1190"/>
      <c r="AZ145" s="1190"/>
      <c r="BA145" s="1190"/>
      <c r="BB145" s="1190"/>
      <c r="BC145" s="1190"/>
      <c r="BD145" s="1190"/>
      <c r="BE145" s="1194"/>
    </row>
    <row r="146" spans="1:57" ht="15.75" customHeight="1">
      <c r="A146" s="1190"/>
      <c r="B146" s="2098"/>
      <c r="C146" s="2099"/>
      <c r="D146" s="2099"/>
      <c r="E146" s="2099"/>
      <c r="F146" s="2099"/>
      <c r="G146" s="2099"/>
      <c r="H146" s="2099"/>
      <c r="I146" s="2099"/>
      <c r="J146" s="2099"/>
      <c r="K146" s="2099"/>
      <c r="L146" s="2099"/>
      <c r="M146" s="2099"/>
      <c r="N146" s="2099"/>
      <c r="O146" s="2099"/>
      <c r="P146" s="2099"/>
      <c r="Q146" s="2099"/>
      <c r="R146" s="2099"/>
      <c r="S146" s="2099"/>
      <c r="T146" s="2099"/>
      <c r="U146" s="2099"/>
      <c r="V146" s="2099"/>
      <c r="W146" s="2099"/>
      <c r="X146" s="2099"/>
      <c r="Y146" s="2099"/>
      <c r="Z146" s="2099"/>
      <c r="AA146" s="2099"/>
      <c r="AB146" s="2099"/>
      <c r="AC146" s="2099"/>
      <c r="AD146" s="2099"/>
      <c r="AE146" s="2099"/>
      <c r="AF146" s="2099"/>
      <c r="AG146" s="2099"/>
      <c r="AH146" s="2099"/>
      <c r="AI146" s="2099"/>
      <c r="AJ146" s="2099"/>
      <c r="AK146" s="2099"/>
      <c r="AL146" s="2099"/>
      <c r="AM146" s="2099"/>
      <c r="AN146" s="2099"/>
      <c r="AO146" s="2099"/>
      <c r="AP146" s="2099"/>
      <c r="AQ146" s="2099"/>
      <c r="AR146" s="2099"/>
      <c r="AS146" s="2099"/>
      <c r="AT146" s="2099"/>
      <c r="AU146" s="2099"/>
      <c r="AV146" s="2099"/>
      <c r="AW146" s="2099"/>
      <c r="AX146" s="2100"/>
      <c r="AY146" s="1190"/>
      <c r="AZ146" s="1190"/>
      <c r="BA146" s="1190"/>
      <c r="BB146" s="1190"/>
      <c r="BC146" s="1190"/>
      <c r="BD146" s="1190"/>
      <c r="BE146" s="1194"/>
    </row>
    <row r="147" spans="1:57" ht="15.75" customHeight="1">
      <c r="A147" s="1190"/>
      <c r="B147" s="2098"/>
      <c r="C147" s="2099"/>
      <c r="D147" s="2099"/>
      <c r="E147" s="2099"/>
      <c r="F147" s="2099"/>
      <c r="G147" s="2099"/>
      <c r="H147" s="2099"/>
      <c r="I147" s="2099"/>
      <c r="J147" s="2099"/>
      <c r="K147" s="2099"/>
      <c r="L147" s="2099"/>
      <c r="M147" s="2099"/>
      <c r="N147" s="2099"/>
      <c r="O147" s="2099"/>
      <c r="P147" s="2099"/>
      <c r="Q147" s="2099"/>
      <c r="R147" s="2099"/>
      <c r="S147" s="2099"/>
      <c r="T147" s="2099"/>
      <c r="U147" s="2099"/>
      <c r="V147" s="2099"/>
      <c r="W147" s="2099"/>
      <c r="X147" s="2099"/>
      <c r="Y147" s="2099"/>
      <c r="Z147" s="2099"/>
      <c r="AA147" s="2099"/>
      <c r="AB147" s="2099"/>
      <c r="AC147" s="2099"/>
      <c r="AD147" s="2099"/>
      <c r="AE147" s="2099"/>
      <c r="AF147" s="2099"/>
      <c r="AG147" s="2099"/>
      <c r="AH147" s="2099"/>
      <c r="AI147" s="2099"/>
      <c r="AJ147" s="2099"/>
      <c r="AK147" s="2099"/>
      <c r="AL147" s="2099"/>
      <c r="AM147" s="2099"/>
      <c r="AN147" s="2099"/>
      <c r="AO147" s="2099"/>
      <c r="AP147" s="2099"/>
      <c r="AQ147" s="2099"/>
      <c r="AR147" s="2099"/>
      <c r="AS147" s="2099"/>
      <c r="AT147" s="2099"/>
      <c r="AU147" s="2099"/>
      <c r="AV147" s="2099"/>
      <c r="AW147" s="2099"/>
      <c r="AX147" s="2100"/>
      <c r="AY147" s="1190"/>
      <c r="AZ147" s="1190"/>
      <c r="BA147" s="1190"/>
      <c r="BB147" s="1190"/>
      <c r="BC147" s="1190"/>
      <c r="BD147" s="1190"/>
      <c r="BE147" s="1194"/>
    </row>
    <row r="148" spans="1:57" ht="15.75" customHeight="1">
      <c r="A148" s="1190"/>
      <c r="B148" s="2098"/>
      <c r="C148" s="2099"/>
      <c r="D148" s="2099"/>
      <c r="E148" s="2099"/>
      <c r="F148" s="2099"/>
      <c r="G148" s="2099"/>
      <c r="H148" s="2099"/>
      <c r="I148" s="2099"/>
      <c r="J148" s="2099"/>
      <c r="K148" s="2099"/>
      <c r="L148" s="2099"/>
      <c r="M148" s="2099"/>
      <c r="N148" s="2099"/>
      <c r="O148" s="2099"/>
      <c r="P148" s="2099"/>
      <c r="Q148" s="2099"/>
      <c r="R148" s="2099"/>
      <c r="S148" s="2099"/>
      <c r="T148" s="2099"/>
      <c r="U148" s="2099"/>
      <c r="V148" s="2099"/>
      <c r="W148" s="2099"/>
      <c r="X148" s="2099"/>
      <c r="Y148" s="2099"/>
      <c r="Z148" s="2099"/>
      <c r="AA148" s="2099"/>
      <c r="AB148" s="2099"/>
      <c r="AC148" s="2099"/>
      <c r="AD148" s="2099"/>
      <c r="AE148" s="2099"/>
      <c r="AF148" s="2099"/>
      <c r="AG148" s="2099"/>
      <c r="AH148" s="2099"/>
      <c r="AI148" s="2099"/>
      <c r="AJ148" s="2099"/>
      <c r="AK148" s="2099"/>
      <c r="AL148" s="2099"/>
      <c r="AM148" s="2099"/>
      <c r="AN148" s="2099"/>
      <c r="AO148" s="2099"/>
      <c r="AP148" s="2099"/>
      <c r="AQ148" s="2099"/>
      <c r="AR148" s="2099"/>
      <c r="AS148" s="2099"/>
      <c r="AT148" s="2099"/>
      <c r="AU148" s="2099"/>
      <c r="AV148" s="2099"/>
      <c r="AW148" s="2099"/>
      <c r="AX148" s="2100"/>
      <c r="AY148" s="1190"/>
      <c r="AZ148" s="1190"/>
      <c r="BA148" s="1190"/>
      <c r="BB148" s="1190"/>
      <c r="BC148" s="1190"/>
      <c r="BD148" s="1190"/>
      <c r="BE148" s="1194"/>
    </row>
    <row r="149" spans="1:57" ht="15.75" customHeight="1">
      <c r="A149" s="1190"/>
      <c r="B149" s="2098"/>
      <c r="C149" s="2099"/>
      <c r="D149" s="2099"/>
      <c r="E149" s="2099"/>
      <c r="F149" s="2099"/>
      <c r="G149" s="2099"/>
      <c r="H149" s="2099"/>
      <c r="I149" s="2099"/>
      <c r="J149" s="2099"/>
      <c r="K149" s="2099"/>
      <c r="L149" s="2099"/>
      <c r="M149" s="2099"/>
      <c r="N149" s="2099"/>
      <c r="O149" s="2099"/>
      <c r="P149" s="2099"/>
      <c r="Q149" s="2099"/>
      <c r="R149" s="2099"/>
      <c r="S149" s="2099"/>
      <c r="T149" s="2099"/>
      <c r="U149" s="2099"/>
      <c r="V149" s="2099"/>
      <c r="W149" s="2099"/>
      <c r="X149" s="2099"/>
      <c r="Y149" s="2099"/>
      <c r="Z149" s="2099"/>
      <c r="AA149" s="2099"/>
      <c r="AB149" s="2099"/>
      <c r="AC149" s="2099"/>
      <c r="AD149" s="2099"/>
      <c r="AE149" s="2099"/>
      <c r="AF149" s="2099"/>
      <c r="AG149" s="2099"/>
      <c r="AH149" s="2099"/>
      <c r="AI149" s="2099"/>
      <c r="AJ149" s="2099"/>
      <c r="AK149" s="2099"/>
      <c r="AL149" s="2099"/>
      <c r="AM149" s="2099"/>
      <c r="AN149" s="2099"/>
      <c r="AO149" s="2099"/>
      <c r="AP149" s="2099"/>
      <c r="AQ149" s="2099"/>
      <c r="AR149" s="2099"/>
      <c r="AS149" s="2099"/>
      <c r="AT149" s="2099"/>
      <c r="AU149" s="2099"/>
      <c r="AV149" s="2099"/>
      <c r="AW149" s="2099"/>
      <c r="AX149" s="2100"/>
      <c r="AY149" s="1190"/>
      <c r="AZ149" s="1190"/>
      <c r="BA149" s="1190"/>
      <c r="BB149" s="1190"/>
      <c r="BC149" s="1190"/>
      <c r="BD149" s="1190"/>
      <c r="BE149" s="1194"/>
    </row>
    <row r="150" spans="1:57" ht="15.75" customHeight="1">
      <c r="A150" s="1190"/>
      <c r="B150" s="2098"/>
      <c r="C150" s="2099"/>
      <c r="D150" s="2099"/>
      <c r="E150" s="2099"/>
      <c r="F150" s="2099"/>
      <c r="G150" s="2099"/>
      <c r="H150" s="2099"/>
      <c r="I150" s="2099"/>
      <c r="J150" s="2099"/>
      <c r="K150" s="2099"/>
      <c r="L150" s="2099"/>
      <c r="M150" s="2099"/>
      <c r="N150" s="2099"/>
      <c r="O150" s="2099"/>
      <c r="P150" s="2099"/>
      <c r="Q150" s="2099"/>
      <c r="R150" s="2099"/>
      <c r="S150" s="2099"/>
      <c r="T150" s="2099"/>
      <c r="U150" s="2099"/>
      <c r="V150" s="2099"/>
      <c r="W150" s="2099"/>
      <c r="X150" s="2099"/>
      <c r="Y150" s="2099"/>
      <c r="Z150" s="2099"/>
      <c r="AA150" s="2099"/>
      <c r="AB150" s="2099"/>
      <c r="AC150" s="2099"/>
      <c r="AD150" s="2099"/>
      <c r="AE150" s="2099"/>
      <c r="AF150" s="2099"/>
      <c r="AG150" s="2099"/>
      <c r="AH150" s="2099"/>
      <c r="AI150" s="2099"/>
      <c r="AJ150" s="2099"/>
      <c r="AK150" s="2099"/>
      <c r="AL150" s="2099"/>
      <c r="AM150" s="2099"/>
      <c r="AN150" s="2099"/>
      <c r="AO150" s="2099"/>
      <c r="AP150" s="2099"/>
      <c r="AQ150" s="2099"/>
      <c r="AR150" s="2099"/>
      <c r="AS150" s="2099"/>
      <c r="AT150" s="2099"/>
      <c r="AU150" s="2099"/>
      <c r="AV150" s="2099"/>
      <c r="AW150" s="2099"/>
      <c r="AX150" s="2100"/>
      <c r="AY150" s="1190"/>
      <c r="AZ150" s="1190"/>
      <c r="BA150" s="1190"/>
      <c r="BB150" s="1190"/>
      <c r="BC150" s="1190"/>
      <c r="BD150" s="1190"/>
      <c r="BE150" s="1194"/>
    </row>
    <row r="151" spans="1:57" ht="15.75" customHeight="1">
      <c r="A151" s="1190"/>
      <c r="B151" s="2098"/>
      <c r="C151" s="2099"/>
      <c r="D151" s="2099"/>
      <c r="E151" s="2099"/>
      <c r="F151" s="2099"/>
      <c r="G151" s="2099"/>
      <c r="H151" s="2099"/>
      <c r="I151" s="2099"/>
      <c r="J151" s="2099"/>
      <c r="K151" s="2099"/>
      <c r="L151" s="2099"/>
      <c r="M151" s="2099"/>
      <c r="N151" s="2099"/>
      <c r="O151" s="2099"/>
      <c r="P151" s="2099"/>
      <c r="Q151" s="2099"/>
      <c r="R151" s="2099"/>
      <c r="S151" s="2099"/>
      <c r="T151" s="2099"/>
      <c r="U151" s="2099"/>
      <c r="V151" s="2099"/>
      <c r="W151" s="2099"/>
      <c r="X151" s="2099"/>
      <c r="Y151" s="2099"/>
      <c r="Z151" s="2099"/>
      <c r="AA151" s="2099"/>
      <c r="AB151" s="2099"/>
      <c r="AC151" s="2099"/>
      <c r="AD151" s="2099"/>
      <c r="AE151" s="2099"/>
      <c r="AF151" s="2099"/>
      <c r="AG151" s="2099"/>
      <c r="AH151" s="2099"/>
      <c r="AI151" s="2099"/>
      <c r="AJ151" s="2099"/>
      <c r="AK151" s="2099"/>
      <c r="AL151" s="2099"/>
      <c r="AM151" s="2099"/>
      <c r="AN151" s="2099"/>
      <c r="AO151" s="2099"/>
      <c r="AP151" s="2099"/>
      <c r="AQ151" s="2099"/>
      <c r="AR151" s="2099"/>
      <c r="AS151" s="2099"/>
      <c r="AT151" s="2099"/>
      <c r="AU151" s="2099"/>
      <c r="AV151" s="2099"/>
      <c r="AW151" s="2099"/>
      <c r="AX151" s="2100"/>
      <c r="AY151" s="1190"/>
      <c r="AZ151" s="1190"/>
      <c r="BA151" s="1190"/>
      <c r="BB151" s="1190"/>
      <c r="BC151" s="1190"/>
      <c r="BD151" s="1190"/>
      <c r="BE151" s="1194"/>
    </row>
    <row r="152" spans="1:57" ht="15.75" customHeight="1" thickBot="1">
      <c r="A152" s="1190"/>
      <c r="B152" s="2101"/>
      <c r="C152" s="2102"/>
      <c r="D152" s="2102"/>
      <c r="E152" s="2102"/>
      <c r="F152" s="2102"/>
      <c r="G152" s="2102"/>
      <c r="H152" s="2102"/>
      <c r="I152" s="2102"/>
      <c r="J152" s="2102"/>
      <c r="K152" s="2102"/>
      <c r="L152" s="2102"/>
      <c r="M152" s="2102"/>
      <c r="N152" s="2102"/>
      <c r="O152" s="2102"/>
      <c r="P152" s="2102"/>
      <c r="Q152" s="2102"/>
      <c r="R152" s="2102"/>
      <c r="S152" s="2102"/>
      <c r="T152" s="2102"/>
      <c r="U152" s="2102"/>
      <c r="V152" s="2102"/>
      <c r="W152" s="2102"/>
      <c r="X152" s="2102"/>
      <c r="Y152" s="2102"/>
      <c r="Z152" s="2102"/>
      <c r="AA152" s="2102"/>
      <c r="AB152" s="2102"/>
      <c r="AC152" s="2102"/>
      <c r="AD152" s="2102"/>
      <c r="AE152" s="2102"/>
      <c r="AF152" s="2102"/>
      <c r="AG152" s="2102"/>
      <c r="AH152" s="2102"/>
      <c r="AI152" s="2102"/>
      <c r="AJ152" s="2102"/>
      <c r="AK152" s="2102"/>
      <c r="AL152" s="2102"/>
      <c r="AM152" s="2102"/>
      <c r="AN152" s="2102"/>
      <c r="AO152" s="2102"/>
      <c r="AP152" s="2102"/>
      <c r="AQ152" s="2102"/>
      <c r="AR152" s="2102"/>
      <c r="AS152" s="2102"/>
      <c r="AT152" s="2102"/>
      <c r="AU152" s="2102"/>
      <c r="AV152" s="2102"/>
      <c r="AW152" s="2102"/>
      <c r="AX152" s="2103"/>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81" t="s">
        <v>2351</v>
      </c>
      <c r="C156" s="2037"/>
      <c r="D156" s="2037"/>
      <c r="E156" s="2037"/>
      <c r="F156" s="2037"/>
      <c r="G156" s="2037"/>
      <c r="H156" s="2037"/>
      <c r="I156" s="2037"/>
      <c r="J156" s="2037"/>
      <c r="K156" s="2037"/>
      <c r="L156" s="2037"/>
      <c r="M156" s="2037"/>
      <c r="N156" s="2037"/>
      <c r="O156" s="2037"/>
      <c r="P156" s="2037"/>
      <c r="Q156" s="2037"/>
      <c r="R156" s="2037"/>
      <c r="S156" s="2037"/>
      <c r="T156" s="2037"/>
      <c r="U156" s="2038"/>
      <c r="V156" s="1190"/>
      <c r="W156" s="1192"/>
      <c r="X156" s="2081" t="s">
        <v>2350</v>
      </c>
      <c r="Y156" s="2037"/>
      <c r="Z156" s="2037"/>
      <c r="AA156" s="2037"/>
      <c r="AB156" s="2037"/>
      <c r="AC156" s="2037"/>
      <c r="AD156" s="2037"/>
      <c r="AE156" s="2037"/>
      <c r="AF156" s="2037"/>
      <c r="AG156" s="2037"/>
      <c r="AH156" s="2037"/>
      <c r="AI156" s="2037"/>
      <c r="AJ156" s="2037"/>
      <c r="AK156" s="2037"/>
      <c r="AL156" s="2037"/>
      <c r="AM156" s="2037"/>
      <c r="AN156" s="2037"/>
      <c r="AO156" s="2037"/>
      <c r="AP156" s="2037"/>
      <c r="AQ156" s="2038"/>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9"/>
      <c r="C157" s="2050"/>
      <c r="D157" s="2050"/>
      <c r="E157" s="2050"/>
      <c r="F157" s="2050"/>
      <c r="G157" s="2050"/>
      <c r="H157" s="2050"/>
      <c r="I157" s="2087" t="s">
        <v>2348</v>
      </c>
      <c r="J157" s="2087"/>
      <c r="K157" s="2087"/>
      <c r="L157" s="2087"/>
      <c r="M157" s="2087"/>
      <c r="N157" s="2087"/>
      <c r="O157" s="2087"/>
      <c r="P157" s="2087" t="s">
        <v>2349</v>
      </c>
      <c r="Q157" s="2087"/>
      <c r="R157" s="2087"/>
      <c r="S157" s="2087"/>
      <c r="T157" s="2087"/>
      <c r="U157" s="2088"/>
      <c r="V157" s="1190"/>
      <c r="W157" s="1190"/>
      <c r="X157" s="2049"/>
      <c r="Y157" s="2050"/>
      <c r="Z157" s="2050"/>
      <c r="AA157" s="2050"/>
      <c r="AB157" s="2050"/>
      <c r="AC157" s="2050"/>
      <c r="AD157" s="2050"/>
      <c r="AE157" s="2087" t="s">
        <v>2348</v>
      </c>
      <c r="AF157" s="2087"/>
      <c r="AG157" s="2087"/>
      <c r="AH157" s="2087"/>
      <c r="AI157" s="2087"/>
      <c r="AJ157" s="2087"/>
      <c r="AK157" s="2087"/>
      <c r="AL157" s="2087" t="s">
        <v>2347</v>
      </c>
      <c r="AM157" s="2087"/>
      <c r="AN157" s="2087"/>
      <c r="AO157" s="2087"/>
      <c r="AP157" s="2087"/>
      <c r="AQ157" s="2088"/>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9"/>
      <c r="C158" s="2050"/>
      <c r="D158" s="2050"/>
      <c r="E158" s="2050"/>
      <c r="F158" s="2050"/>
      <c r="G158" s="2050"/>
      <c r="H158" s="2050"/>
      <c r="I158" s="2087"/>
      <c r="J158" s="2087"/>
      <c r="K158" s="2087"/>
      <c r="L158" s="2087"/>
      <c r="M158" s="2087"/>
      <c r="N158" s="2087"/>
      <c r="O158" s="2087"/>
      <c r="P158" s="2087"/>
      <c r="Q158" s="2087"/>
      <c r="R158" s="2087"/>
      <c r="S158" s="2087"/>
      <c r="T158" s="2087"/>
      <c r="U158" s="2088"/>
      <c r="V158" s="1190"/>
      <c r="W158" s="1190"/>
      <c r="X158" s="2049"/>
      <c r="Y158" s="2050"/>
      <c r="Z158" s="2050"/>
      <c r="AA158" s="2050"/>
      <c r="AB158" s="2050"/>
      <c r="AC158" s="2050"/>
      <c r="AD158" s="2050"/>
      <c r="AE158" s="2087"/>
      <c r="AF158" s="2087"/>
      <c r="AG158" s="2087"/>
      <c r="AH158" s="2087"/>
      <c r="AI158" s="2087"/>
      <c r="AJ158" s="2087"/>
      <c r="AK158" s="2087"/>
      <c r="AL158" s="2087"/>
      <c r="AM158" s="2087"/>
      <c r="AN158" s="2087"/>
      <c r="AO158" s="2087"/>
      <c r="AP158" s="2087"/>
      <c r="AQ158" s="2088"/>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83" t="s">
        <v>2346</v>
      </c>
      <c r="C159" s="2084"/>
      <c r="D159" s="2084"/>
      <c r="E159" s="2084"/>
      <c r="F159" s="2084"/>
      <c r="G159" s="2084"/>
      <c r="H159" s="2084"/>
      <c r="I159" s="2085">
        <v>0</v>
      </c>
      <c r="J159" s="2085"/>
      <c r="K159" s="2085"/>
      <c r="L159" s="2085"/>
      <c r="M159" s="2085"/>
      <c r="N159" s="2085"/>
      <c r="O159" s="2085"/>
      <c r="P159" s="2085">
        <v>0</v>
      </c>
      <c r="Q159" s="2085"/>
      <c r="R159" s="2085"/>
      <c r="S159" s="2085"/>
      <c r="T159" s="2085"/>
      <c r="U159" s="2086"/>
      <c r="V159" s="1190"/>
      <c r="W159" s="1190"/>
      <c r="X159" s="2077" t="s">
        <v>2346</v>
      </c>
      <c r="Y159" s="2078"/>
      <c r="Z159" s="2078"/>
      <c r="AA159" s="2078"/>
      <c r="AB159" s="2078"/>
      <c r="AC159" s="2078"/>
      <c r="AD159" s="2078"/>
      <c r="AE159" s="2079">
        <v>0</v>
      </c>
      <c r="AF159" s="2079"/>
      <c r="AG159" s="2079"/>
      <c r="AH159" s="2079"/>
      <c r="AI159" s="2079"/>
      <c r="AJ159" s="2079"/>
      <c r="AK159" s="2079"/>
      <c r="AL159" s="2079">
        <v>0</v>
      </c>
      <c r="AM159" s="2079"/>
      <c r="AN159" s="2079"/>
      <c r="AO159" s="2079"/>
      <c r="AP159" s="2079"/>
      <c r="AQ159" s="208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7" t="s">
        <v>2345</v>
      </c>
      <c r="C160" s="2078"/>
      <c r="D160" s="2078"/>
      <c r="E160" s="2078"/>
      <c r="F160" s="2078"/>
      <c r="G160" s="2078"/>
      <c r="H160" s="2078"/>
      <c r="I160" s="2079">
        <v>0</v>
      </c>
      <c r="J160" s="2079"/>
      <c r="K160" s="2079"/>
      <c r="L160" s="2079"/>
      <c r="M160" s="2079"/>
      <c r="N160" s="2079"/>
      <c r="O160" s="2079"/>
      <c r="P160" s="2079">
        <v>0</v>
      </c>
      <c r="Q160" s="2079"/>
      <c r="R160" s="2079"/>
      <c r="S160" s="2079"/>
      <c r="T160" s="2079"/>
      <c r="U160" s="208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81" t="s">
        <v>2344</v>
      </c>
      <c r="D162" s="2037"/>
      <c r="E162" s="2037"/>
      <c r="F162" s="2037"/>
      <c r="G162" s="2037"/>
      <c r="H162" s="2037"/>
      <c r="I162" s="2037"/>
      <c r="J162" s="2037"/>
      <c r="K162" s="2037"/>
      <c r="L162" s="2037"/>
      <c r="M162" s="2037"/>
      <c r="N162" s="2037"/>
      <c r="O162" s="2037"/>
      <c r="P162" s="2037"/>
      <c r="Q162" s="2037"/>
      <c r="R162" s="2037"/>
      <c r="S162" s="2037"/>
      <c r="T162" s="2037"/>
      <c r="U162" s="2037"/>
      <c r="V162" s="2037"/>
      <c r="W162" s="2037"/>
      <c r="X162" s="2037"/>
      <c r="Y162" s="2037"/>
      <c r="Z162" s="2037"/>
      <c r="AA162" s="2037"/>
      <c r="AB162" s="2037"/>
      <c r="AC162" s="2037"/>
      <c r="AD162" s="2037"/>
      <c r="AE162" s="2037"/>
      <c r="AF162" s="2037"/>
      <c r="AG162" s="2038"/>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9" t="s">
        <v>2329</v>
      </c>
      <c r="D163" s="2050"/>
      <c r="E163" s="2050"/>
      <c r="F163" s="2050"/>
      <c r="G163" s="2050"/>
      <c r="H163" s="2050"/>
      <c r="I163" s="2050"/>
      <c r="J163" s="2050"/>
      <c r="K163" s="2050"/>
      <c r="L163" s="2050"/>
      <c r="M163" s="2050"/>
      <c r="N163" s="2050"/>
      <c r="O163" s="2050"/>
      <c r="P163" s="2050"/>
      <c r="Q163" s="2050" t="s">
        <v>2343</v>
      </c>
      <c r="R163" s="2050"/>
      <c r="S163" s="2050"/>
      <c r="T163" s="2082" t="s">
        <v>2342</v>
      </c>
      <c r="U163" s="2082"/>
      <c r="V163" s="2082"/>
      <c r="W163" s="2082"/>
      <c r="X163" s="2082"/>
      <c r="Y163" s="2082"/>
      <c r="Z163" s="2082"/>
      <c r="AA163" s="2082"/>
      <c r="AB163" s="2050" t="s">
        <v>2341</v>
      </c>
      <c r="AC163" s="2050"/>
      <c r="AD163" s="2050"/>
      <c r="AE163" s="2050"/>
      <c r="AF163" s="2050"/>
      <c r="AG163" s="2051"/>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64" t="s">
        <v>2340</v>
      </c>
      <c r="D164" s="2065"/>
      <c r="E164" s="2065"/>
      <c r="F164" s="2065"/>
      <c r="G164" s="2065"/>
      <c r="H164" s="2065"/>
      <c r="I164" s="2065"/>
      <c r="J164" s="2065"/>
      <c r="K164" s="2065"/>
      <c r="L164" s="2065"/>
      <c r="M164" s="2065"/>
      <c r="N164" s="2065"/>
      <c r="O164" s="2065"/>
      <c r="P164" s="2065"/>
      <c r="Q164" s="2007">
        <v>55</v>
      </c>
      <c r="R164" s="2007"/>
      <c r="S164" s="2007"/>
      <c r="T164" s="2058"/>
      <c r="U164" s="2058"/>
      <c r="V164" s="2058"/>
      <c r="W164" s="2058"/>
      <c r="X164" s="2058"/>
      <c r="Y164" s="2058"/>
      <c r="Z164" s="2058"/>
      <c r="AA164" s="2058"/>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64" t="s">
        <v>2339</v>
      </c>
      <c r="D165" s="2065"/>
      <c r="E165" s="2065"/>
      <c r="F165" s="2065"/>
      <c r="G165" s="2065"/>
      <c r="H165" s="2065"/>
      <c r="I165" s="2065"/>
      <c r="J165" s="2065"/>
      <c r="K165" s="2065"/>
      <c r="L165" s="2065"/>
      <c r="M165" s="2065"/>
      <c r="N165" s="2065"/>
      <c r="O165" s="2065"/>
      <c r="P165" s="2065"/>
      <c r="Q165" s="2007">
        <v>55</v>
      </c>
      <c r="R165" s="2007"/>
      <c r="S165" s="2007"/>
      <c r="T165" s="2067"/>
      <c r="U165" s="2067"/>
      <c r="V165" s="2067"/>
      <c r="W165" s="2067"/>
      <c r="X165" s="2067"/>
      <c r="Y165" s="2067"/>
      <c r="Z165" s="2067"/>
      <c r="AA165" s="206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64" t="s">
        <v>2338</v>
      </c>
      <c r="D166" s="2065"/>
      <c r="E166" s="2065"/>
      <c r="F166" s="2065"/>
      <c r="G166" s="2065"/>
      <c r="H166" s="2065"/>
      <c r="I166" s="2065"/>
      <c r="J166" s="2065"/>
      <c r="K166" s="2065"/>
      <c r="L166" s="2065"/>
      <c r="M166" s="2065"/>
      <c r="N166" s="2065"/>
      <c r="O166" s="2065"/>
      <c r="P166" s="2065"/>
      <c r="Q166" s="2007">
        <v>55</v>
      </c>
      <c r="R166" s="2007"/>
      <c r="S166" s="2007"/>
      <c r="T166" s="2058"/>
      <c r="U166" s="2058"/>
      <c r="V166" s="2058"/>
      <c r="W166" s="2058"/>
      <c r="X166" s="2058"/>
      <c r="Y166" s="2058"/>
      <c r="Z166" s="2058"/>
      <c r="AA166" s="2058"/>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64" t="s">
        <v>2337</v>
      </c>
      <c r="D167" s="2065"/>
      <c r="E167" s="2065"/>
      <c r="F167" s="2065"/>
      <c r="G167" s="2065"/>
      <c r="H167" s="2065"/>
      <c r="I167" s="2065"/>
      <c r="J167" s="2065"/>
      <c r="K167" s="2065"/>
      <c r="L167" s="2065"/>
      <c r="M167" s="2065"/>
      <c r="N167" s="2065"/>
      <c r="O167" s="2065"/>
      <c r="P167" s="2065"/>
      <c r="Q167" s="2007">
        <v>55</v>
      </c>
      <c r="R167" s="2007"/>
      <c r="S167" s="2007"/>
      <c r="T167" s="2058"/>
      <c r="U167" s="2058"/>
      <c r="V167" s="2058"/>
      <c r="W167" s="2058"/>
      <c r="X167" s="2058"/>
      <c r="Y167" s="2058"/>
      <c r="Z167" s="2058"/>
      <c r="AA167" s="2058"/>
      <c r="AB167" s="2068">
        <v>0</v>
      </c>
      <c r="AC167" s="2068"/>
      <c r="AD167" s="2068"/>
      <c r="AE167" s="2068"/>
      <c r="AF167" s="2068"/>
      <c r="AG167" s="2069"/>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64" t="s">
        <v>170</v>
      </c>
      <c r="D168" s="2065"/>
      <c r="E168" s="2065"/>
      <c r="F168" s="2066" t="s">
        <v>2318</v>
      </c>
      <c r="G168" s="2066"/>
      <c r="H168" s="2066"/>
      <c r="I168" s="2066"/>
      <c r="J168" s="2066"/>
      <c r="K168" s="2066"/>
      <c r="L168" s="2066"/>
      <c r="M168" s="2066"/>
      <c r="N168" s="2066"/>
      <c r="O168" s="2066"/>
      <c r="P168" s="2066"/>
      <c r="Q168" s="2007">
        <v>55</v>
      </c>
      <c r="R168" s="2007"/>
      <c r="S168" s="2007"/>
      <c r="T168" s="2067"/>
      <c r="U168" s="2067"/>
      <c r="V168" s="2067"/>
      <c r="W168" s="2067"/>
      <c r="X168" s="2067"/>
      <c r="Y168" s="2067"/>
      <c r="Z168" s="2067"/>
      <c r="AA168" s="2067"/>
      <c r="AB168" s="2068">
        <v>0</v>
      </c>
      <c r="AC168" s="2068"/>
      <c r="AD168" s="2068"/>
      <c r="AE168" s="2068"/>
      <c r="AF168" s="2068"/>
      <c r="AG168" s="2069"/>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64" t="s">
        <v>170</v>
      </c>
      <c r="D169" s="2065"/>
      <c r="E169" s="2065"/>
      <c r="F169" s="2066" t="s">
        <v>2318</v>
      </c>
      <c r="G169" s="2066"/>
      <c r="H169" s="2066"/>
      <c r="I169" s="2066"/>
      <c r="J169" s="2066"/>
      <c r="K169" s="2066"/>
      <c r="L169" s="2066"/>
      <c r="M169" s="2066"/>
      <c r="N169" s="2066"/>
      <c r="O169" s="2066"/>
      <c r="P169" s="2066"/>
      <c r="Q169" s="2007">
        <v>55</v>
      </c>
      <c r="R169" s="2007"/>
      <c r="S169" s="2007"/>
      <c r="T169" s="2067"/>
      <c r="U169" s="2067"/>
      <c r="V169" s="2067"/>
      <c r="W169" s="2067"/>
      <c r="X169" s="2067"/>
      <c r="Y169" s="2067"/>
      <c r="Z169" s="2067"/>
      <c r="AA169" s="2067"/>
      <c r="AB169" s="2068">
        <v>0</v>
      </c>
      <c r="AC169" s="2068"/>
      <c r="AD169" s="2068"/>
      <c r="AE169" s="2068"/>
      <c r="AF169" s="2068"/>
      <c r="AG169" s="2069"/>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70" t="s">
        <v>170</v>
      </c>
      <c r="D170" s="2071"/>
      <c r="E170" s="2071"/>
      <c r="F170" s="2072" t="s">
        <v>2318</v>
      </c>
      <c r="G170" s="2072"/>
      <c r="H170" s="2072"/>
      <c r="I170" s="2072"/>
      <c r="J170" s="2072"/>
      <c r="K170" s="2072"/>
      <c r="L170" s="2072"/>
      <c r="M170" s="2072"/>
      <c r="N170" s="2072"/>
      <c r="O170" s="2072"/>
      <c r="P170" s="2072"/>
      <c r="Q170" s="2073">
        <v>55</v>
      </c>
      <c r="R170" s="2073"/>
      <c r="S170" s="2073"/>
      <c r="T170" s="2074"/>
      <c r="U170" s="2074"/>
      <c r="V170" s="2074"/>
      <c r="W170" s="2074"/>
      <c r="X170" s="2074"/>
      <c r="Y170" s="2074"/>
      <c r="Z170" s="2074"/>
      <c r="AA170" s="2074"/>
      <c r="AB170" s="2075">
        <v>0</v>
      </c>
      <c r="AC170" s="2075"/>
      <c r="AD170" s="2075"/>
      <c r="AE170" s="2075"/>
      <c r="AF170" s="2075"/>
      <c r="AG170" s="2076"/>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35" t="s">
        <v>2336</v>
      </c>
      <c r="D172" s="2036"/>
      <c r="E172" s="2036"/>
      <c r="F172" s="2036"/>
      <c r="G172" s="2036"/>
      <c r="H172" s="2036"/>
      <c r="I172" s="2036"/>
      <c r="J172" s="2036"/>
      <c r="K172" s="2036"/>
      <c r="L172" s="2036"/>
      <c r="M172" s="2036"/>
      <c r="N172" s="2045"/>
      <c r="O172" s="1190"/>
      <c r="P172" s="2046" t="s">
        <v>2335</v>
      </c>
      <c r="Q172" s="2047"/>
      <c r="R172" s="2047"/>
      <c r="S172" s="2047"/>
      <c r="T172" s="2047"/>
      <c r="U172" s="2047"/>
      <c r="V172" s="2047"/>
      <c r="W172" s="2047"/>
      <c r="X172" s="2047"/>
      <c r="Y172" s="2047"/>
      <c r="Z172" s="2047"/>
      <c r="AA172" s="2047"/>
      <c r="AB172" s="2047"/>
      <c r="AC172" s="2047"/>
      <c r="AD172" s="2047"/>
      <c r="AE172" s="2047"/>
      <c r="AF172" s="2047"/>
      <c r="AG172" s="2047"/>
      <c r="AH172" s="2047"/>
      <c r="AI172" s="2047"/>
      <c r="AJ172" s="2047"/>
      <c r="AK172" s="2047"/>
      <c r="AL172" s="2047"/>
      <c r="AM172" s="2047"/>
      <c r="AN172" s="2047"/>
      <c r="AO172" s="2048"/>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9" t="s">
        <v>2334</v>
      </c>
      <c r="D173" s="2050"/>
      <c r="E173" s="2050"/>
      <c r="F173" s="2050"/>
      <c r="G173" s="2050"/>
      <c r="H173" s="2050"/>
      <c r="I173" s="2050" t="s">
        <v>2333</v>
      </c>
      <c r="J173" s="2050"/>
      <c r="K173" s="2050"/>
      <c r="L173" s="2050"/>
      <c r="M173" s="2050"/>
      <c r="N173" s="2051"/>
      <c r="O173" s="1190"/>
      <c r="P173" s="2052" t="s">
        <v>2332</v>
      </c>
      <c r="Q173" s="2053"/>
      <c r="R173" s="2053"/>
      <c r="S173" s="2053"/>
      <c r="T173" s="2053"/>
      <c r="U173" s="2053"/>
      <c r="V173" s="2053"/>
      <c r="W173" s="2053"/>
      <c r="X173" s="2053"/>
      <c r="Y173" s="2053"/>
      <c r="Z173" s="2053"/>
      <c r="AA173" s="2053"/>
      <c r="AB173" s="2053"/>
      <c r="AC173" s="2053"/>
      <c r="AD173" s="2053"/>
      <c r="AE173" s="2053"/>
      <c r="AF173" s="2053"/>
      <c r="AG173" s="2053"/>
      <c r="AH173" s="2053"/>
      <c r="AI173" s="2053"/>
      <c r="AJ173" s="2053"/>
      <c r="AK173" s="2053"/>
      <c r="AL173" s="2053"/>
      <c r="AM173" s="2053"/>
      <c r="AN173" s="2053"/>
      <c r="AO173" s="2054"/>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7"/>
      <c r="D174" s="1998"/>
      <c r="E174" s="1998"/>
      <c r="F174" s="1998"/>
      <c r="G174" s="1998"/>
      <c r="H174" s="1998"/>
      <c r="I174" s="2058"/>
      <c r="J174" s="2058"/>
      <c r="K174" s="2058"/>
      <c r="L174" s="2058"/>
      <c r="M174" s="2058"/>
      <c r="N174" s="2059"/>
      <c r="O174" s="1190"/>
      <c r="P174" s="2052"/>
      <c r="Q174" s="2053"/>
      <c r="R174" s="2053"/>
      <c r="S174" s="2053"/>
      <c r="T174" s="2053"/>
      <c r="U174" s="2053"/>
      <c r="V174" s="2053"/>
      <c r="W174" s="2053"/>
      <c r="X174" s="2053"/>
      <c r="Y174" s="2053"/>
      <c r="Z174" s="2053"/>
      <c r="AA174" s="2053"/>
      <c r="AB174" s="2053"/>
      <c r="AC174" s="2053"/>
      <c r="AD174" s="2053"/>
      <c r="AE174" s="2053"/>
      <c r="AF174" s="2053"/>
      <c r="AG174" s="2053"/>
      <c r="AH174" s="2053"/>
      <c r="AI174" s="2053"/>
      <c r="AJ174" s="2053"/>
      <c r="AK174" s="2053"/>
      <c r="AL174" s="2053"/>
      <c r="AM174" s="2053"/>
      <c r="AN174" s="2053"/>
      <c r="AO174" s="2054"/>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7"/>
      <c r="D175" s="1998"/>
      <c r="E175" s="1998"/>
      <c r="F175" s="1998"/>
      <c r="G175" s="1998"/>
      <c r="H175" s="1998"/>
      <c r="I175" s="2058"/>
      <c r="J175" s="2058"/>
      <c r="K175" s="2058"/>
      <c r="L175" s="2058"/>
      <c r="M175" s="2058"/>
      <c r="N175" s="2059"/>
      <c r="O175" s="1190"/>
      <c r="P175" s="2052"/>
      <c r="Q175" s="2053"/>
      <c r="R175" s="2053"/>
      <c r="S175" s="2053"/>
      <c r="T175" s="2053"/>
      <c r="U175" s="2053"/>
      <c r="V175" s="2053"/>
      <c r="W175" s="2053"/>
      <c r="X175" s="2053"/>
      <c r="Y175" s="2053"/>
      <c r="Z175" s="2053"/>
      <c r="AA175" s="2053"/>
      <c r="AB175" s="2053"/>
      <c r="AC175" s="2053"/>
      <c r="AD175" s="2053"/>
      <c r="AE175" s="2053"/>
      <c r="AF175" s="2053"/>
      <c r="AG175" s="2053"/>
      <c r="AH175" s="2053"/>
      <c r="AI175" s="2053"/>
      <c r="AJ175" s="2053"/>
      <c r="AK175" s="2053"/>
      <c r="AL175" s="2053"/>
      <c r="AM175" s="2053"/>
      <c r="AN175" s="2053"/>
      <c r="AO175" s="2054"/>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7"/>
      <c r="D176" s="1998"/>
      <c r="E176" s="1998"/>
      <c r="F176" s="1998"/>
      <c r="G176" s="1998"/>
      <c r="H176" s="1998"/>
      <c r="I176" s="2058"/>
      <c r="J176" s="2058"/>
      <c r="K176" s="2058"/>
      <c r="L176" s="2058"/>
      <c r="M176" s="2058"/>
      <c r="N176" s="2059"/>
      <c r="O176" s="1190"/>
      <c r="P176" s="2052"/>
      <c r="Q176" s="2053"/>
      <c r="R176" s="2053"/>
      <c r="S176" s="2053"/>
      <c r="T176" s="2053"/>
      <c r="U176" s="2053"/>
      <c r="V176" s="2053"/>
      <c r="W176" s="2053"/>
      <c r="X176" s="2053"/>
      <c r="Y176" s="2053"/>
      <c r="Z176" s="2053"/>
      <c r="AA176" s="2053"/>
      <c r="AB176" s="2053"/>
      <c r="AC176" s="2053"/>
      <c r="AD176" s="2053"/>
      <c r="AE176" s="2053"/>
      <c r="AF176" s="2053"/>
      <c r="AG176" s="2053"/>
      <c r="AH176" s="2053"/>
      <c r="AI176" s="2053"/>
      <c r="AJ176" s="2053"/>
      <c r="AK176" s="2053"/>
      <c r="AL176" s="2053"/>
      <c r="AM176" s="2053"/>
      <c r="AN176" s="2053"/>
      <c r="AO176" s="2054"/>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7"/>
      <c r="D177" s="1998"/>
      <c r="E177" s="1998"/>
      <c r="F177" s="1998"/>
      <c r="G177" s="1998"/>
      <c r="H177" s="1998"/>
      <c r="I177" s="2058"/>
      <c r="J177" s="2058"/>
      <c r="K177" s="2058"/>
      <c r="L177" s="2058"/>
      <c r="M177" s="2058"/>
      <c r="N177" s="2059"/>
      <c r="O177" s="1190"/>
      <c r="P177" s="2052"/>
      <c r="Q177" s="2053"/>
      <c r="R177" s="2053"/>
      <c r="S177" s="2053"/>
      <c r="T177" s="2053"/>
      <c r="U177" s="2053"/>
      <c r="V177" s="2053"/>
      <c r="W177" s="2053"/>
      <c r="X177" s="2053"/>
      <c r="Y177" s="2053"/>
      <c r="Z177" s="2053"/>
      <c r="AA177" s="2053"/>
      <c r="AB177" s="2053"/>
      <c r="AC177" s="2053"/>
      <c r="AD177" s="2053"/>
      <c r="AE177" s="2053"/>
      <c r="AF177" s="2053"/>
      <c r="AG177" s="2053"/>
      <c r="AH177" s="2053"/>
      <c r="AI177" s="2053"/>
      <c r="AJ177" s="2053"/>
      <c r="AK177" s="2053"/>
      <c r="AL177" s="2053"/>
      <c r="AM177" s="2053"/>
      <c r="AN177" s="2053"/>
      <c r="AO177" s="2054"/>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7"/>
      <c r="D178" s="1998"/>
      <c r="E178" s="1998"/>
      <c r="F178" s="1998"/>
      <c r="G178" s="1998"/>
      <c r="H178" s="1998"/>
      <c r="I178" s="2058"/>
      <c r="J178" s="2058"/>
      <c r="K178" s="2058"/>
      <c r="L178" s="2058"/>
      <c r="M178" s="2058"/>
      <c r="N178" s="2059"/>
      <c r="O178" s="1190"/>
      <c r="P178" s="2052"/>
      <c r="Q178" s="2053"/>
      <c r="R178" s="2053"/>
      <c r="S178" s="2053"/>
      <c r="T178" s="2053"/>
      <c r="U178" s="2053"/>
      <c r="V178" s="2053"/>
      <c r="W178" s="2053"/>
      <c r="X178" s="2053"/>
      <c r="Y178" s="2053"/>
      <c r="Z178" s="2053"/>
      <c r="AA178" s="2053"/>
      <c r="AB178" s="2053"/>
      <c r="AC178" s="2053"/>
      <c r="AD178" s="2053"/>
      <c r="AE178" s="2053"/>
      <c r="AF178" s="2053"/>
      <c r="AG178" s="2053"/>
      <c r="AH178" s="2053"/>
      <c r="AI178" s="2053"/>
      <c r="AJ178" s="2053"/>
      <c r="AK178" s="2053"/>
      <c r="AL178" s="2053"/>
      <c r="AM178" s="2053"/>
      <c r="AN178" s="2053"/>
      <c r="AO178" s="2054"/>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7"/>
      <c r="D179" s="1998"/>
      <c r="E179" s="1998"/>
      <c r="F179" s="1998"/>
      <c r="G179" s="1998"/>
      <c r="H179" s="1998"/>
      <c r="I179" s="2058"/>
      <c r="J179" s="2058"/>
      <c r="K179" s="2058"/>
      <c r="L179" s="2058"/>
      <c r="M179" s="2058"/>
      <c r="N179" s="2059"/>
      <c r="O179" s="1190"/>
      <c r="P179" s="2052"/>
      <c r="Q179" s="2053"/>
      <c r="R179" s="2053"/>
      <c r="S179" s="2053"/>
      <c r="T179" s="2053"/>
      <c r="U179" s="2053"/>
      <c r="V179" s="2053"/>
      <c r="W179" s="2053"/>
      <c r="X179" s="2053"/>
      <c r="Y179" s="2053"/>
      <c r="Z179" s="2053"/>
      <c r="AA179" s="2053"/>
      <c r="AB179" s="2053"/>
      <c r="AC179" s="2053"/>
      <c r="AD179" s="2053"/>
      <c r="AE179" s="2053"/>
      <c r="AF179" s="2053"/>
      <c r="AG179" s="2053"/>
      <c r="AH179" s="2053"/>
      <c r="AI179" s="2053"/>
      <c r="AJ179" s="2053"/>
      <c r="AK179" s="2053"/>
      <c r="AL179" s="2053"/>
      <c r="AM179" s="2053"/>
      <c r="AN179" s="2053"/>
      <c r="AO179" s="2054"/>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60"/>
      <c r="D180" s="2061"/>
      <c r="E180" s="2061"/>
      <c r="F180" s="2061"/>
      <c r="G180" s="2061"/>
      <c r="H180" s="2061"/>
      <c r="I180" s="2062"/>
      <c r="J180" s="2062"/>
      <c r="K180" s="2062"/>
      <c r="L180" s="2062"/>
      <c r="M180" s="2062"/>
      <c r="N180" s="2063"/>
      <c r="O180" s="1190"/>
      <c r="P180" s="2055"/>
      <c r="Q180" s="2056"/>
      <c r="R180" s="2056"/>
      <c r="S180" s="2056"/>
      <c r="T180" s="2056"/>
      <c r="U180" s="2056"/>
      <c r="V180" s="2056"/>
      <c r="W180" s="2056"/>
      <c r="X180" s="2056"/>
      <c r="Y180" s="2056"/>
      <c r="Z180" s="2056"/>
      <c r="AA180" s="2056"/>
      <c r="AB180" s="2056"/>
      <c r="AC180" s="2056"/>
      <c r="AD180" s="2056"/>
      <c r="AE180" s="2056"/>
      <c r="AF180" s="2056"/>
      <c r="AG180" s="2056"/>
      <c r="AH180" s="2056"/>
      <c r="AI180" s="2056"/>
      <c r="AJ180" s="2056"/>
      <c r="AK180" s="2056"/>
      <c r="AL180" s="2056"/>
      <c r="AM180" s="2056"/>
      <c r="AN180" s="2056"/>
      <c r="AO180" s="2057"/>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6" t="s">
        <v>2331</v>
      </c>
      <c r="D182" s="2027"/>
      <c r="E182" s="2027"/>
      <c r="F182" s="2027"/>
      <c r="G182" s="2027"/>
      <c r="H182" s="2027"/>
      <c r="I182" s="2027"/>
      <c r="J182" s="2027"/>
      <c r="K182" s="2027"/>
      <c r="L182" s="2027"/>
      <c r="M182" s="2027"/>
      <c r="N182" s="2027"/>
      <c r="O182" s="2027"/>
      <c r="P182" s="2027"/>
      <c r="Q182" s="2027"/>
      <c r="R182" s="2027"/>
      <c r="S182" s="2027"/>
      <c r="T182" s="2027"/>
      <c r="U182" s="2027"/>
      <c r="V182" s="2027"/>
      <c r="W182" s="2027"/>
      <c r="X182" s="2027"/>
      <c r="Y182" s="2027"/>
      <c r="Z182" s="2027"/>
      <c r="AA182" s="2027"/>
      <c r="AB182" s="2027"/>
      <c r="AC182" s="2027"/>
      <c r="AD182" s="2027"/>
      <c r="AE182" s="2028"/>
      <c r="AF182" s="1190"/>
      <c r="AG182" s="1190"/>
      <c r="AH182" s="1911"/>
      <c r="AI182" s="1911"/>
      <c r="AJ182" s="1911"/>
      <c r="AK182" s="1911"/>
      <c r="AL182" s="1911"/>
      <c r="AM182" s="1911"/>
      <c r="AN182" s="1911"/>
      <c r="AO182" s="1911"/>
      <c r="AP182" s="1911"/>
      <c r="AQ182" s="1911"/>
      <c r="AR182" s="1911"/>
      <c r="AS182" s="1911"/>
      <c r="AT182" s="1911"/>
      <c r="AU182" s="1911"/>
      <c r="AV182" s="1911"/>
      <c r="AW182" s="1911"/>
      <c r="AX182" s="1911"/>
      <c r="AY182" s="1911"/>
      <c r="AZ182" s="1911"/>
      <c r="BA182" s="1911"/>
      <c r="BB182" s="1911"/>
      <c r="BC182" s="1911"/>
      <c r="BD182" s="1911"/>
      <c r="BE182" s="1911"/>
    </row>
    <row r="183" spans="1:57" ht="15.75" customHeight="1" thickBot="1">
      <c r="A183" s="1190"/>
      <c r="B183" s="1190"/>
      <c r="C183" s="2029"/>
      <c r="D183" s="2030"/>
      <c r="E183" s="2030"/>
      <c r="F183" s="2030"/>
      <c r="G183" s="2030"/>
      <c r="H183" s="2030"/>
      <c r="I183" s="2030"/>
      <c r="J183" s="2030"/>
      <c r="K183" s="2030"/>
      <c r="L183" s="2030"/>
      <c r="M183" s="2030"/>
      <c r="N183" s="2030"/>
      <c r="O183" s="2030"/>
      <c r="P183" s="2030"/>
      <c r="Q183" s="2030"/>
      <c r="R183" s="2030"/>
      <c r="S183" s="2030"/>
      <c r="T183" s="2030"/>
      <c r="U183" s="2030"/>
      <c r="V183" s="2030"/>
      <c r="W183" s="2030"/>
      <c r="X183" s="2030"/>
      <c r="Y183" s="2030"/>
      <c r="Z183" s="2030"/>
      <c r="AA183" s="2030"/>
      <c r="AB183" s="2030"/>
      <c r="AC183" s="2030"/>
      <c r="AD183" s="2030"/>
      <c r="AE183" s="2031"/>
      <c r="AF183" s="1190"/>
      <c r="AG183" s="1190"/>
      <c r="AH183" s="1911"/>
      <c r="AI183" s="1911"/>
      <c r="AJ183" s="1911"/>
      <c r="AK183" s="1911"/>
      <c r="AL183" s="1911"/>
      <c r="AM183" s="1911"/>
      <c r="AN183" s="1911"/>
      <c r="AO183" s="1911"/>
      <c r="AP183" s="1911"/>
      <c r="AQ183" s="1911"/>
      <c r="AR183" s="1911"/>
      <c r="AS183" s="1911"/>
      <c r="AT183" s="1911"/>
      <c r="AU183" s="1911"/>
      <c r="AV183" s="1911"/>
      <c r="AW183" s="1911"/>
      <c r="AX183" s="1911"/>
      <c r="AY183" s="1911"/>
      <c r="AZ183" s="1911"/>
      <c r="BA183" s="1911"/>
      <c r="BB183" s="1911"/>
      <c r="BC183" s="1911"/>
      <c r="BD183" s="1911"/>
      <c r="BE183" s="1911"/>
    </row>
    <row r="184" spans="1:57" ht="15.75" customHeight="1">
      <c r="A184" s="1190"/>
      <c r="B184" s="1190"/>
      <c r="C184" s="2035" t="s">
        <v>2329</v>
      </c>
      <c r="D184" s="2036"/>
      <c r="E184" s="2036"/>
      <c r="F184" s="2036"/>
      <c r="G184" s="2036"/>
      <c r="H184" s="2036"/>
      <c r="I184" s="2036"/>
      <c r="J184" s="2036"/>
      <c r="K184" s="2036"/>
      <c r="L184" s="2036"/>
      <c r="M184" s="2036"/>
      <c r="N184" s="2036" t="s">
        <v>2330</v>
      </c>
      <c r="O184" s="2036"/>
      <c r="P184" s="2036"/>
      <c r="Q184" s="2036"/>
      <c r="R184" s="2036"/>
      <c r="S184" s="2036"/>
      <c r="T184" s="2036"/>
      <c r="U184" s="2037" t="s">
        <v>2329</v>
      </c>
      <c r="V184" s="2037"/>
      <c r="W184" s="2037"/>
      <c r="X184" s="2037"/>
      <c r="Y184" s="2037"/>
      <c r="Z184" s="2037"/>
      <c r="AA184" s="2037"/>
      <c r="AB184" s="2037"/>
      <c r="AC184" s="2037"/>
      <c r="AD184" s="2037"/>
      <c r="AE184" s="2038"/>
      <c r="AF184" s="1190"/>
      <c r="AG184" s="1190"/>
      <c r="AH184" s="1911"/>
      <c r="AI184" s="1911"/>
      <c r="AJ184" s="1911"/>
      <c r="AK184" s="1911"/>
      <c r="AL184" s="1911"/>
      <c r="AM184" s="1911"/>
      <c r="AN184" s="1911"/>
      <c r="AO184" s="1911"/>
      <c r="AP184" s="1911"/>
      <c r="AQ184" s="1911"/>
      <c r="AR184" s="1911"/>
      <c r="AS184" s="1911"/>
      <c r="AT184" s="1911"/>
      <c r="AU184" s="1911"/>
      <c r="AV184" s="1911"/>
      <c r="AW184" s="1911"/>
      <c r="AX184" s="1911"/>
      <c r="AY184" s="1911"/>
      <c r="AZ184" s="1911"/>
      <c r="BA184" s="1911"/>
      <c r="BB184" s="1911"/>
      <c r="BC184" s="1911"/>
      <c r="BD184" s="1911"/>
      <c r="BE184" s="1911"/>
    </row>
    <row r="185" spans="1:57" ht="15.75" customHeight="1">
      <c r="A185" s="1190"/>
      <c r="B185" s="1190"/>
      <c r="C185" s="2014" t="s">
        <v>2328</v>
      </c>
      <c r="D185" s="2015"/>
      <c r="E185" s="2015"/>
      <c r="F185" s="2015"/>
      <c r="G185" s="2015"/>
      <c r="H185" s="2015"/>
      <c r="I185" s="2015"/>
      <c r="J185" s="2015"/>
      <c r="K185" s="2015"/>
      <c r="L185" s="2015"/>
      <c r="M185" s="2015"/>
      <c r="N185" s="2025">
        <f>'Sources and Uses Budget'!B105</f>
        <v>162592874</v>
      </c>
      <c r="O185" s="2025"/>
      <c r="P185" s="2025"/>
      <c r="Q185" s="2025"/>
      <c r="R185" s="2025"/>
      <c r="S185" s="2025"/>
      <c r="T185" s="2025"/>
      <c r="U185" s="2039"/>
      <c r="V185" s="2039"/>
      <c r="W185" s="2039"/>
      <c r="X185" s="2039"/>
      <c r="Y185" s="2039"/>
      <c r="Z185" s="2039"/>
      <c r="AA185" s="2039"/>
      <c r="AB185" s="2039"/>
      <c r="AC185" s="2039"/>
      <c r="AD185" s="2039"/>
      <c r="AE185" s="2040"/>
      <c r="AF185" s="1190"/>
      <c r="AG185" s="1190"/>
      <c r="AH185" s="1911"/>
      <c r="AI185" s="1911"/>
      <c r="AJ185" s="1911"/>
      <c r="AK185" s="1911"/>
      <c r="AL185" s="1911"/>
      <c r="AM185" s="1911"/>
      <c r="AN185" s="1911"/>
      <c r="AO185" s="1911"/>
      <c r="AP185" s="1911"/>
      <c r="AQ185" s="1911"/>
      <c r="AR185" s="1911"/>
      <c r="AS185" s="1911"/>
      <c r="AT185" s="1911"/>
      <c r="AU185" s="1911"/>
      <c r="AV185" s="1911"/>
      <c r="AW185" s="1911"/>
      <c r="AX185" s="1911"/>
      <c r="AY185" s="1911"/>
      <c r="AZ185" s="1911"/>
      <c r="BA185" s="1911"/>
      <c r="BB185" s="1911"/>
      <c r="BC185" s="1911"/>
      <c r="BD185" s="1911"/>
      <c r="BE185" s="1911"/>
    </row>
    <row r="186" spans="1:57" ht="15.75" customHeight="1">
      <c r="A186" s="1190"/>
      <c r="B186" s="1190"/>
      <c r="C186" s="2014" t="s">
        <v>2327</v>
      </c>
      <c r="D186" s="2015"/>
      <c r="E186" s="2015"/>
      <c r="F186" s="2015"/>
      <c r="G186" s="2015"/>
      <c r="H186" s="2015"/>
      <c r="I186" s="2015"/>
      <c r="J186" s="2015"/>
      <c r="K186" s="2015"/>
      <c r="L186" s="2015"/>
      <c r="M186" s="2015"/>
      <c r="N186" s="2025">
        <f>N185/J29</f>
        <v>833809.6102564102</v>
      </c>
      <c r="O186" s="2025"/>
      <c r="P186" s="2025"/>
      <c r="Q186" s="2025"/>
      <c r="R186" s="2025"/>
      <c r="S186" s="2025"/>
      <c r="T186" s="2025"/>
      <c r="U186" s="1228"/>
      <c r="V186" s="1228"/>
      <c r="W186" s="1228"/>
      <c r="X186" s="1228"/>
      <c r="Y186" s="1228"/>
      <c r="Z186" s="1228"/>
      <c r="AA186" s="1228"/>
      <c r="AB186" s="1228"/>
      <c r="AC186" s="1228"/>
      <c r="AD186" s="1228"/>
      <c r="AE186" s="1229"/>
      <c r="AF186" s="1190"/>
      <c r="AG186" s="1190"/>
      <c r="AH186" s="1911"/>
      <c r="AI186" s="1911"/>
      <c r="AJ186" s="1911"/>
      <c r="AK186" s="1911"/>
      <c r="AL186" s="1911"/>
      <c r="AM186" s="1911"/>
      <c r="AN186" s="1911"/>
      <c r="AO186" s="1911"/>
      <c r="AP186" s="1911"/>
      <c r="AQ186" s="1911"/>
      <c r="AR186" s="1911"/>
      <c r="AS186" s="1911"/>
      <c r="AT186" s="1911"/>
      <c r="AU186" s="1911"/>
      <c r="AV186" s="1911"/>
      <c r="AW186" s="1911"/>
      <c r="AX186" s="1911"/>
      <c r="AY186" s="1911"/>
      <c r="AZ186" s="1911"/>
      <c r="BA186" s="1911"/>
      <c r="BB186" s="1911"/>
      <c r="BC186" s="1911"/>
      <c r="BD186" s="1911"/>
      <c r="BE186" s="1911"/>
    </row>
    <row r="187" spans="1:57" ht="15.75" customHeight="1">
      <c r="A187" s="1190"/>
      <c r="B187" s="1190"/>
      <c r="C187" s="2041" t="s">
        <v>2326</v>
      </c>
      <c r="D187" s="2042"/>
      <c r="E187" s="2042"/>
      <c r="F187" s="2042"/>
      <c r="G187" s="2042"/>
      <c r="H187" s="2042"/>
      <c r="I187" s="2042"/>
      <c r="J187" s="2042"/>
      <c r="K187" s="2042"/>
      <c r="L187" s="2042"/>
      <c r="M187" s="2042"/>
      <c r="N187" s="2043">
        <v>0</v>
      </c>
      <c r="O187" s="2043"/>
      <c r="P187" s="2043"/>
      <c r="Q187" s="2043"/>
      <c r="R187" s="2043"/>
      <c r="S187" s="2043"/>
      <c r="T187" s="2043"/>
      <c r="U187" s="2001"/>
      <c r="V187" s="2001"/>
      <c r="W187" s="2001"/>
      <c r="X187" s="2001"/>
      <c r="Y187" s="2001"/>
      <c r="Z187" s="2001"/>
      <c r="AA187" s="2001"/>
      <c r="AB187" s="2001"/>
      <c r="AC187" s="2001"/>
      <c r="AD187" s="2001"/>
      <c r="AE187" s="2002"/>
      <c r="AF187" s="1190"/>
      <c r="AG187" s="1190"/>
      <c r="AH187" s="1911"/>
      <c r="AI187" s="1911"/>
      <c r="AJ187" s="1911"/>
      <c r="AK187" s="1911"/>
      <c r="AL187" s="1911"/>
      <c r="AM187" s="1911"/>
      <c r="AN187" s="1911"/>
      <c r="AO187" s="1911"/>
      <c r="AP187" s="1911"/>
      <c r="AQ187" s="1911"/>
      <c r="AR187" s="1911"/>
      <c r="AS187" s="1911"/>
      <c r="AT187" s="1911"/>
      <c r="AU187" s="1911"/>
      <c r="AV187" s="1911"/>
      <c r="AW187" s="1911"/>
      <c r="AX187" s="1911"/>
      <c r="AY187" s="1911"/>
      <c r="AZ187" s="1911"/>
      <c r="BA187" s="1911"/>
      <c r="BB187" s="1911"/>
      <c r="BC187" s="1911"/>
      <c r="BD187" s="1911"/>
      <c r="BE187" s="1911"/>
    </row>
    <row r="188" spans="1:57" ht="15.75" customHeight="1" thickBot="1">
      <c r="A188" s="1190"/>
      <c r="B188" s="1190"/>
      <c r="C188" s="2014" t="s">
        <v>2325</v>
      </c>
      <c r="D188" s="2015"/>
      <c r="E188" s="2015"/>
      <c r="F188" s="2015"/>
      <c r="G188" s="2015"/>
      <c r="H188" s="2015"/>
      <c r="I188" s="2015"/>
      <c r="J188" s="2015"/>
      <c r="K188" s="2015"/>
      <c r="L188" s="2015"/>
      <c r="M188" s="2015"/>
      <c r="N188" s="2044">
        <f>SUM('Sources and Uses Budget'!B85:B86)</f>
        <v>6074877</v>
      </c>
      <c r="O188" s="2044"/>
      <c r="P188" s="2044"/>
      <c r="Q188" s="2044"/>
      <c r="R188" s="2044"/>
      <c r="S188" s="2044"/>
      <c r="T188" s="2044"/>
      <c r="U188" s="2001"/>
      <c r="V188" s="2001"/>
      <c r="W188" s="2001"/>
      <c r="X188" s="2001"/>
      <c r="Y188" s="2001"/>
      <c r="Z188" s="2001"/>
      <c r="AA188" s="2001"/>
      <c r="AB188" s="2001"/>
      <c r="AC188" s="2001"/>
      <c r="AD188" s="2001"/>
      <c r="AE188" s="2002"/>
      <c r="AF188" s="1190"/>
      <c r="AG188" s="1190"/>
      <c r="AH188" s="1911"/>
      <c r="AI188" s="1911"/>
      <c r="AJ188" s="1911"/>
      <c r="AK188" s="1911"/>
      <c r="AL188" s="1911"/>
      <c r="AM188" s="1911"/>
      <c r="AN188" s="1911"/>
      <c r="AO188" s="1911"/>
      <c r="AP188" s="1911"/>
      <c r="AQ188" s="1911"/>
      <c r="AR188" s="1911"/>
      <c r="AS188" s="1911"/>
      <c r="AT188" s="1911"/>
      <c r="AU188" s="1911"/>
      <c r="AV188" s="1911"/>
      <c r="AW188" s="1911"/>
      <c r="AX188" s="1911"/>
      <c r="AY188" s="1911"/>
      <c r="AZ188" s="1911"/>
      <c r="BA188" s="1911"/>
      <c r="BB188" s="1911"/>
      <c r="BC188" s="1911"/>
      <c r="BD188" s="1911"/>
      <c r="BE188" s="1911"/>
    </row>
    <row r="189" spans="1:57" ht="15.75" customHeight="1" thickBot="1">
      <c r="A189" s="1190"/>
      <c r="B189" s="1190"/>
      <c r="C189" s="2014" t="s">
        <v>2324</v>
      </c>
      <c r="D189" s="2015"/>
      <c r="E189" s="2015"/>
      <c r="F189" s="2015"/>
      <c r="G189" s="2015"/>
      <c r="H189" s="2015"/>
      <c r="I189" s="2015"/>
      <c r="J189" s="2015"/>
      <c r="K189" s="2015"/>
      <c r="L189" s="2015"/>
      <c r="M189" s="2015"/>
      <c r="N189" s="2044">
        <f>'Sources and Uses Budget'!B8</f>
        <v>11222879</v>
      </c>
      <c r="O189" s="2044"/>
      <c r="P189" s="2044"/>
      <c r="Q189" s="2044"/>
      <c r="R189" s="2044"/>
      <c r="S189" s="2044"/>
      <c r="T189" s="2044"/>
      <c r="U189" s="2001"/>
      <c r="V189" s="2001"/>
      <c r="W189" s="2001"/>
      <c r="X189" s="2001"/>
      <c r="Y189" s="2001"/>
      <c r="Z189" s="2001"/>
      <c r="AA189" s="2001"/>
      <c r="AB189" s="2001"/>
      <c r="AC189" s="2001"/>
      <c r="AD189" s="2001"/>
      <c r="AE189" s="2002"/>
      <c r="AF189" s="1190"/>
      <c r="AG189" s="1190"/>
      <c r="AH189" s="2011" t="s">
        <v>2322</v>
      </c>
      <c r="AI189" s="2012"/>
      <c r="AJ189" s="2012"/>
      <c r="AK189" s="2012"/>
      <c r="AL189" s="2012"/>
      <c r="AM189" s="2012"/>
      <c r="AN189" s="2012"/>
      <c r="AO189" s="2012"/>
      <c r="AP189" s="2012"/>
      <c r="AQ189" s="2012"/>
      <c r="AR189" s="2012"/>
      <c r="AS189" s="2012"/>
      <c r="AT189" s="2012"/>
      <c r="AU189" s="2012"/>
      <c r="AV189" s="2012"/>
      <c r="AW189" s="2012"/>
      <c r="AX189" s="2012"/>
      <c r="AY189" s="2012"/>
      <c r="AZ189" s="2012"/>
      <c r="BA189" s="2012"/>
      <c r="BB189" s="2012"/>
      <c r="BC189" s="2012"/>
      <c r="BD189" s="2012"/>
      <c r="BE189" s="2013"/>
    </row>
    <row r="190" spans="1:57" ht="15.75" customHeight="1">
      <c r="A190" s="1190"/>
      <c r="B190" s="1190"/>
      <c r="C190" s="2014" t="s">
        <v>2323</v>
      </c>
      <c r="D190" s="2015"/>
      <c r="E190" s="2015"/>
      <c r="F190" s="2015"/>
      <c r="G190" s="2015"/>
      <c r="H190" s="2015"/>
      <c r="I190" s="2015"/>
      <c r="J190" s="2015"/>
      <c r="K190" s="2015"/>
      <c r="L190" s="2015"/>
      <c r="M190" s="2015"/>
      <c r="N190" s="2000">
        <v>0</v>
      </c>
      <c r="O190" s="2000"/>
      <c r="P190" s="2000"/>
      <c r="Q190" s="2000"/>
      <c r="R190" s="2000"/>
      <c r="S190" s="2000"/>
      <c r="T190" s="2000"/>
      <c r="U190" s="2001"/>
      <c r="V190" s="2001"/>
      <c r="W190" s="2001"/>
      <c r="X190" s="2001"/>
      <c r="Y190" s="2001"/>
      <c r="Z190" s="2001"/>
      <c r="AA190" s="2001"/>
      <c r="AB190" s="2001"/>
      <c r="AC190" s="2001"/>
      <c r="AD190" s="2001"/>
      <c r="AE190" s="2002"/>
      <c r="AF190" s="1190"/>
      <c r="AG190" s="1190"/>
      <c r="AH190" s="2016" t="s">
        <v>2322</v>
      </c>
      <c r="AI190" s="2017"/>
      <c r="AJ190" s="2017"/>
      <c r="AK190" s="2017"/>
      <c r="AL190" s="2017"/>
      <c r="AM190" s="2017"/>
      <c r="AN190" s="2017"/>
      <c r="AO190" s="2017"/>
      <c r="AP190" s="2017"/>
      <c r="AQ190" s="2017"/>
      <c r="AR190" s="2017"/>
      <c r="AS190" s="2017"/>
      <c r="AT190" s="2017"/>
      <c r="AU190" s="2018">
        <v>0</v>
      </c>
      <c r="AV190" s="2018"/>
      <c r="AW190" s="2018"/>
      <c r="AX190" s="2018"/>
      <c r="AY190" s="2018"/>
      <c r="AZ190" s="2018"/>
      <c r="BA190" s="2018"/>
      <c r="BB190" s="2018"/>
      <c r="BC190" s="2019"/>
      <c r="BD190" s="2020"/>
      <c r="BE190" s="2021"/>
    </row>
    <row r="191" spans="1:57" ht="15.75" customHeight="1">
      <c r="A191" s="1190"/>
      <c r="B191" s="1190"/>
      <c r="C191" s="2014" t="s">
        <v>2321</v>
      </c>
      <c r="D191" s="2015"/>
      <c r="E191" s="2015"/>
      <c r="F191" s="2015"/>
      <c r="G191" s="2015"/>
      <c r="H191" s="2015"/>
      <c r="I191" s="2015"/>
      <c r="J191" s="2015"/>
      <c r="K191" s="2015"/>
      <c r="L191" s="2015"/>
      <c r="M191" s="2015"/>
      <c r="N191" s="2000">
        <v>0</v>
      </c>
      <c r="O191" s="2000"/>
      <c r="P191" s="2000"/>
      <c r="Q191" s="2000"/>
      <c r="R191" s="2000"/>
      <c r="S191" s="2000"/>
      <c r="T191" s="2000"/>
      <c r="U191" s="2001"/>
      <c r="V191" s="2001"/>
      <c r="W191" s="2001"/>
      <c r="X191" s="2001"/>
      <c r="Y191" s="2001"/>
      <c r="Z191" s="2001"/>
      <c r="AA191" s="2001"/>
      <c r="AB191" s="2001"/>
      <c r="AC191" s="2001"/>
      <c r="AD191" s="2001"/>
      <c r="AE191" s="2002"/>
      <c r="AF191" s="1190"/>
      <c r="AG191" s="1190"/>
      <c r="AH191" s="2032" t="s">
        <v>2320</v>
      </c>
      <c r="AI191" s="2033"/>
      <c r="AJ191" s="2033"/>
      <c r="AK191" s="2033"/>
      <c r="AL191" s="2033"/>
      <c r="AM191" s="2033"/>
      <c r="AN191" s="2033"/>
      <c r="AO191" s="2033"/>
      <c r="AP191" s="2033"/>
      <c r="AQ191" s="2033"/>
      <c r="AR191" s="2033"/>
      <c r="AS191" s="2033"/>
      <c r="AT191" s="2033"/>
      <c r="AU191" s="2034"/>
      <c r="AV191" s="2034"/>
      <c r="AW191" s="2034"/>
      <c r="AX191" s="2034"/>
      <c r="AY191" s="2034"/>
      <c r="AZ191" s="2034"/>
      <c r="BA191" s="2034"/>
      <c r="BB191" s="2034"/>
      <c r="BC191" s="2022"/>
      <c r="BD191" s="2023"/>
      <c r="BE191" s="2024"/>
    </row>
    <row r="192" spans="1:57" ht="15.75" customHeight="1">
      <c r="A192" s="1190"/>
      <c r="B192" s="1190"/>
      <c r="C192" s="2006" t="s">
        <v>300</v>
      </c>
      <c r="D192" s="2007"/>
      <c r="E192" s="1999" t="s">
        <v>2318</v>
      </c>
      <c r="F192" s="1999"/>
      <c r="G192" s="1999"/>
      <c r="H192" s="1999"/>
      <c r="I192" s="1999"/>
      <c r="J192" s="1999"/>
      <c r="K192" s="1999"/>
      <c r="L192" s="1999"/>
      <c r="M192" s="1999"/>
      <c r="N192" s="2000">
        <v>0</v>
      </c>
      <c r="O192" s="2000"/>
      <c r="P192" s="2000"/>
      <c r="Q192" s="2000"/>
      <c r="R192" s="2000"/>
      <c r="S192" s="2000"/>
      <c r="T192" s="2000"/>
      <c r="U192" s="2001"/>
      <c r="V192" s="2001"/>
      <c r="W192" s="2001"/>
      <c r="X192" s="2001"/>
      <c r="Y192" s="2001"/>
      <c r="Z192" s="2001"/>
      <c r="AA192" s="2001"/>
      <c r="AB192" s="2001"/>
      <c r="AC192" s="2001"/>
      <c r="AD192" s="2001"/>
      <c r="AE192" s="2002"/>
      <c r="AF192" s="1190"/>
      <c r="AG192" s="1190"/>
      <c r="AH192" s="2008" t="s">
        <v>2319</v>
      </c>
      <c r="AI192" s="2009"/>
      <c r="AJ192" s="2009"/>
      <c r="AK192" s="2009"/>
      <c r="AL192" s="2009"/>
      <c r="AM192" s="2009"/>
      <c r="AN192" s="2009"/>
      <c r="AO192" s="2009"/>
      <c r="AP192" s="2009"/>
      <c r="AQ192" s="2009"/>
      <c r="AR192" s="2009"/>
      <c r="AS192" s="2009"/>
      <c r="AT192" s="2009"/>
      <c r="AU192" s="2010">
        <f>SUM(AU190:BB191)</f>
        <v>0</v>
      </c>
      <c r="AV192" s="2010"/>
      <c r="AW192" s="2010"/>
      <c r="AX192" s="2010"/>
      <c r="AY192" s="2010"/>
      <c r="AZ192" s="2010"/>
      <c r="BA192" s="2010"/>
      <c r="BB192" s="2010"/>
      <c r="BC192" s="2022"/>
      <c r="BD192" s="2023"/>
      <c r="BE192" s="2024"/>
    </row>
    <row r="193" spans="1:57" ht="15.75" customHeight="1" thickBot="1">
      <c r="A193" s="1190"/>
      <c r="B193" s="1190"/>
      <c r="C193" s="1997" t="s">
        <v>300</v>
      </c>
      <c r="D193" s="1998"/>
      <c r="E193" s="1999" t="s">
        <v>2318</v>
      </c>
      <c r="F193" s="1999"/>
      <c r="G193" s="1999"/>
      <c r="H193" s="1999"/>
      <c r="I193" s="1999"/>
      <c r="J193" s="1999"/>
      <c r="K193" s="1999"/>
      <c r="L193" s="1999"/>
      <c r="M193" s="1999"/>
      <c r="N193" s="2000">
        <v>0</v>
      </c>
      <c r="O193" s="2000"/>
      <c r="P193" s="2000"/>
      <c r="Q193" s="2000"/>
      <c r="R193" s="2000"/>
      <c r="S193" s="2000"/>
      <c r="T193" s="2000"/>
      <c r="U193" s="2001"/>
      <c r="V193" s="2001"/>
      <c r="W193" s="2001"/>
      <c r="X193" s="2001"/>
      <c r="Y193" s="2001"/>
      <c r="Z193" s="2001"/>
      <c r="AA193" s="2001"/>
      <c r="AB193" s="2001"/>
      <c r="AC193" s="2001"/>
      <c r="AD193" s="2001"/>
      <c r="AE193" s="2002"/>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003"/>
      <c r="BD193" s="2004"/>
      <c r="BE193" s="2005"/>
    </row>
    <row r="194" spans="1:57" ht="15.75" customHeight="1" thickBot="1">
      <c r="A194" s="1190"/>
      <c r="B194" s="1190"/>
      <c r="C194" s="1985" t="s">
        <v>300</v>
      </c>
      <c r="D194" s="1986"/>
      <c r="E194" s="1987" t="s">
        <v>2318</v>
      </c>
      <c r="F194" s="1987"/>
      <c r="G194" s="1987"/>
      <c r="H194" s="1987"/>
      <c r="I194" s="1987"/>
      <c r="J194" s="1987"/>
      <c r="K194" s="1987"/>
      <c r="L194" s="1987"/>
      <c r="M194" s="1988"/>
      <c r="N194" s="1989">
        <v>0</v>
      </c>
      <c r="O194" s="1989"/>
      <c r="P194" s="1989"/>
      <c r="Q194" s="1989"/>
      <c r="R194" s="1989"/>
      <c r="S194" s="1989"/>
      <c r="T194" s="1990"/>
      <c r="U194" s="1991"/>
      <c r="V194" s="1992"/>
      <c r="W194" s="1992"/>
      <c r="X194" s="1992"/>
      <c r="Y194" s="1992"/>
      <c r="Z194" s="1992"/>
      <c r="AA194" s="1992"/>
      <c r="AB194" s="1992"/>
      <c r="AC194" s="1992"/>
      <c r="AD194" s="1992"/>
      <c r="AE194" s="1993"/>
      <c r="AF194" s="1190"/>
      <c r="AG194" s="1190"/>
      <c r="AH194" s="1994" t="s">
        <v>2317</v>
      </c>
      <c r="AI194" s="1995"/>
      <c r="AJ194" s="1995"/>
      <c r="AK194" s="1995"/>
      <c r="AL194" s="1995"/>
      <c r="AM194" s="1995"/>
      <c r="AN194" s="1995"/>
      <c r="AO194" s="1995"/>
      <c r="AP194" s="1995"/>
      <c r="AQ194" s="1995"/>
      <c r="AR194" s="1995"/>
      <c r="AS194" s="1995"/>
      <c r="AT194" s="1995"/>
      <c r="AU194" s="1996"/>
      <c r="AV194" s="1996"/>
      <c r="AW194" s="1996"/>
      <c r="AX194" s="1996"/>
      <c r="AY194" s="1996"/>
      <c r="AZ194" s="1996"/>
      <c r="BA194" s="1996"/>
      <c r="BB194" s="1996"/>
      <c r="BC194" s="1171"/>
      <c r="BD194" s="1171"/>
      <c r="BE194" s="1232"/>
    </row>
    <row r="195" spans="1:57" ht="15.75" customHeight="1">
      <c r="A195" s="1190"/>
      <c r="B195" s="1190"/>
      <c r="C195" s="1968" t="s">
        <v>2316</v>
      </c>
      <c r="D195" s="1969"/>
      <c r="E195" s="1969"/>
      <c r="F195" s="1969"/>
      <c r="G195" s="1969"/>
      <c r="H195" s="1969"/>
      <c r="I195" s="1969"/>
      <c r="J195" s="1969"/>
      <c r="K195" s="1969"/>
      <c r="L195" s="1969"/>
      <c r="M195" s="1969"/>
      <c r="N195" s="1970">
        <f>SUM(N187:T194)</f>
        <v>17297756</v>
      </c>
      <c r="O195" s="1970"/>
      <c r="P195" s="1970"/>
      <c r="Q195" s="1970"/>
      <c r="R195" s="1970"/>
      <c r="S195" s="1970"/>
      <c r="T195" s="1971"/>
      <c r="U195" s="1190"/>
      <c r="V195" s="1190"/>
      <c r="W195" s="1190"/>
      <c r="X195" s="1190"/>
      <c r="Y195" s="1190"/>
      <c r="Z195" s="1190"/>
      <c r="AA195" s="1190"/>
      <c r="AB195" s="1190"/>
      <c r="AC195" s="1190"/>
      <c r="AD195" s="1190"/>
      <c r="AE195" s="1190"/>
      <c r="AF195" s="1190"/>
      <c r="AG195" s="1190"/>
      <c r="AH195" s="1972" t="s">
        <v>2315</v>
      </c>
      <c r="AI195" s="1973"/>
      <c r="AJ195" s="1973"/>
      <c r="AK195" s="1973"/>
      <c r="AL195" s="1973"/>
      <c r="AM195" s="1973"/>
      <c r="AN195" s="1973"/>
      <c r="AO195" s="1973"/>
      <c r="AP195" s="1973"/>
      <c r="AQ195" s="1973"/>
      <c r="AR195" s="1973"/>
      <c r="AS195" s="1973"/>
      <c r="AT195" s="1973"/>
      <c r="AU195" s="1973"/>
      <c r="AV195" s="1973"/>
      <c r="AW195" s="1973"/>
      <c r="AX195" s="1973"/>
      <c r="AY195" s="1973"/>
      <c r="AZ195" s="1973"/>
      <c r="BA195" s="1973"/>
      <c r="BB195" s="1973"/>
      <c r="BC195" s="1973"/>
      <c r="BD195" s="1973"/>
      <c r="BE195" s="1974"/>
    </row>
    <row r="196" spans="1:57" ht="15.75" customHeight="1" thickBot="1">
      <c r="A196" s="1190"/>
      <c r="B196" s="1190"/>
      <c r="C196" s="1978" t="s">
        <v>2314</v>
      </c>
      <c r="D196" s="1979"/>
      <c r="E196" s="1979"/>
      <c r="F196" s="1979"/>
      <c r="G196" s="1979"/>
      <c r="H196" s="1979"/>
      <c r="I196" s="1979"/>
      <c r="J196" s="1979"/>
      <c r="K196" s="1979"/>
      <c r="L196" s="1979"/>
      <c r="M196" s="1979"/>
      <c r="N196" s="1980">
        <f>(N185-N195)/J29</f>
        <v>745103.16923076927</v>
      </c>
      <c r="O196" s="1981"/>
      <c r="P196" s="1981"/>
      <c r="Q196" s="1981"/>
      <c r="R196" s="1981"/>
      <c r="S196" s="1981"/>
      <c r="T196" s="1982"/>
      <c r="U196" s="1195"/>
      <c r="V196" s="1190"/>
      <c r="W196" s="1190"/>
      <c r="X196" s="1190"/>
      <c r="Y196" s="1190"/>
      <c r="Z196" s="1190"/>
      <c r="AA196" s="1190"/>
      <c r="AB196" s="1190"/>
      <c r="AC196" s="1190"/>
      <c r="AD196" s="1190"/>
      <c r="AE196" s="1190"/>
      <c r="AF196" s="1190"/>
      <c r="AG196" s="1190"/>
      <c r="AH196" s="1975"/>
      <c r="AI196" s="1976"/>
      <c r="AJ196" s="1976"/>
      <c r="AK196" s="1976"/>
      <c r="AL196" s="1976"/>
      <c r="AM196" s="1976"/>
      <c r="AN196" s="1976"/>
      <c r="AO196" s="1976"/>
      <c r="AP196" s="1976"/>
      <c r="AQ196" s="1976"/>
      <c r="AR196" s="1976"/>
      <c r="AS196" s="1976"/>
      <c r="AT196" s="1976"/>
      <c r="AU196" s="1976"/>
      <c r="AV196" s="1976"/>
      <c r="AW196" s="1976"/>
      <c r="AX196" s="1976"/>
      <c r="AY196" s="1976"/>
      <c r="AZ196" s="1976"/>
      <c r="BA196" s="1976"/>
      <c r="BB196" s="1976"/>
      <c r="BC196" s="1976"/>
      <c r="BD196" s="1976"/>
      <c r="BE196" s="1977"/>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83"/>
      <c r="AI197" s="1983"/>
      <c r="AJ197" s="1983"/>
      <c r="AK197" s="1983"/>
      <c r="AL197" s="1983"/>
      <c r="AM197" s="1983"/>
      <c r="AN197" s="1983"/>
      <c r="AO197" s="1983"/>
      <c r="AP197" s="1983"/>
      <c r="AQ197" s="1983"/>
      <c r="AR197" s="1983"/>
      <c r="AS197" s="1984"/>
      <c r="AT197" s="1984"/>
      <c r="AU197" s="1984"/>
      <c r="AV197" s="1984"/>
      <c r="AW197" s="1984"/>
      <c r="AX197" s="1984"/>
      <c r="AY197" s="1984"/>
      <c r="AZ197" s="1984"/>
      <c r="BA197" s="1984"/>
      <c r="BB197" s="1984"/>
      <c r="BC197" s="1984"/>
      <c r="BD197" s="1984"/>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63" t="s">
        <v>2313</v>
      </c>
      <c r="D199" s="1964"/>
      <c r="E199" s="1964"/>
      <c r="F199" s="1964"/>
      <c r="G199" s="1964"/>
      <c r="H199" s="1964"/>
      <c r="I199" s="1964"/>
      <c r="J199" s="1964"/>
      <c r="K199" s="1964"/>
      <c r="L199" s="1964"/>
      <c r="M199" s="1964"/>
      <c r="N199" s="1964"/>
      <c r="O199" s="1964"/>
      <c r="P199" s="1964"/>
      <c r="Q199" s="1964"/>
      <c r="R199" s="1964"/>
      <c r="S199" s="1964"/>
      <c r="T199" s="1964"/>
      <c r="U199" s="1964"/>
      <c r="V199" s="1964"/>
      <c r="W199" s="1964"/>
      <c r="X199" s="1964"/>
      <c r="Y199" s="1964"/>
      <c r="Z199" s="1964"/>
      <c r="AA199" s="1964"/>
      <c r="AB199" s="1964"/>
      <c r="AC199" s="1964"/>
      <c r="AD199" s="1964"/>
      <c r="AE199" s="1965"/>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6" t="s">
        <v>2312</v>
      </c>
      <c r="D200" s="1966"/>
      <c r="E200" s="1966"/>
      <c r="F200" s="1966"/>
      <c r="G200" s="1966"/>
      <c r="H200" s="1966"/>
      <c r="I200" s="1966"/>
      <c r="J200" s="1966"/>
      <c r="K200" s="1966"/>
      <c r="L200" s="1966"/>
      <c r="M200" s="1966"/>
      <c r="N200" s="1966"/>
      <c r="O200" s="1967" t="s">
        <v>2311</v>
      </c>
      <c r="P200" s="1967"/>
      <c r="Q200" s="1967"/>
      <c r="R200" s="1967"/>
      <c r="S200" s="1967"/>
      <c r="T200" s="1967"/>
      <c r="U200" s="1967"/>
      <c r="V200" s="1967"/>
      <c r="W200" s="1967"/>
      <c r="X200" s="1967" t="s">
        <v>2310</v>
      </c>
      <c r="Y200" s="1967"/>
      <c r="Z200" s="1967"/>
      <c r="AA200" s="1967"/>
      <c r="AB200" s="1967"/>
      <c r="AC200" s="1967"/>
      <c r="AD200" s="1967"/>
      <c r="AE200" s="1967"/>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8" t="s">
        <v>2309</v>
      </c>
      <c r="D201" s="1958"/>
      <c r="E201" s="1958"/>
      <c r="F201" s="1958"/>
      <c r="G201" s="1958"/>
      <c r="H201" s="1958"/>
      <c r="I201" s="1958"/>
      <c r="J201" s="1958"/>
      <c r="K201" s="1958"/>
      <c r="L201" s="1958"/>
      <c r="M201" s="1958"/>
      <c r="N201" s="1958"/>
      <c r="O201" s="1959" t="s">
        <v>2308</v>
      </c>
      <c r="P201" s="1959"/>
      <c r="Q201" s="1959"/>
      <c r="R201" s="1959"/>
      <c r="S201" s="1959"/>
      <c r="T201" s="1959"/>
      <c r="U201" s="1959"/>
      <c r="V201" s="1959"/>
      <c r="W201" s="1959"/>
      <c r="X201" s="1960">
        <v>0.03</v>
      </c>
      <c r="Y201" s="1960"/>
      <c r="Z201" s="1960"/>
      <c r="AA201" s="1960"/>
      <c r="AB201" s="1960"/>
      <c r="AC201" s="1960"/>
      <c r="AD201" s="1960"/>
      <c r="AE201" s="1960"/>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8" t="s">
        <v>854</v>
      </c>
      <c r="D202" s="1958"/>
      <c r="E202" s="1958"/>
      <c r="F202" s="1958"/>
      <c r="G202" s="1958"/>
      <c r="H202" s="1958"/>
      <c r="I202" s="1958"/>
      <c r="J202" s="1958"/>
      <c r="K202" s="1958"/>
      <c r="L202" s="1958"/>
      <c r="M202" s="1958"/>
      <c r="N202" s="1958"/>
      <c r="O202" s="1959" t="s">
        <v>2308</v>
      </c>
      <c r="P202" s="1959"/>
      <c r="Q202" s="1959"/>
      <c r="R202" s="1959"/>
      <c r="S202" s="1959"/>
      <c r="T202" s="1959"/>
      <c r="U202" s="1959"/>
      <c r="V202" s="1959"/>
      <c r="W202" s="1959"/>
      <c r="X202" s="1960">
        <v>0.03</v>
      </c>
      <c r="Y202" s="1960"/>
      <c r="Z202" s="1960"/>
      <c r="AA202" s="1960"/>
      <c r="AB202" s="1960"/>
      <c r="AC202" s="1960"/>
      <c r="AD202" s="1960"/>
      <c r="AE202" s="1960"/>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8" t="s">
        <v>2307</v>
      </c>
      <c r="D203" s="1958"/>
      <c r="E203" s="1958"/>
      <c r="F203" s="1958"/>
      <c r="G203" s="1958"/>
      <c r="H203" s="1958"/>
      <c r="I203" s="1958"/>
      <c r="J203" s="1958"/>
      <c r="K203" s="1958"/>
      <c r="L203" s="1958"/>
      <c r="M203" s="1958"/>
      <c r="N203" s="1958"/>
      <c r="O203" s="1961">
        <f>SUM(O201:W202)</f>
        <v>0</v>
      </c>
      <c r="P203" s="1962"/>
      <c r="Q203" s="1962"/>
      <c r="R203" s="1962"/>
      <c r="S203" s="1962"/>
      <c r="T203" s="1962"/>
      <c r="U203" s="1962"/>
      <c r="V203" s="1962"/>
      <c r="W203" s="1962"/>
      <c r="X203" s="1962" t="s">
        <v>2306</v>
      </c>
      <c r="Y203" s="1962"/>
      <c r="Z203" s="1962"/>
      <c r="AA203" s="1962"/>
      <c r="AB203" s="1962"/>
      <c r="AC203" s="1962"/>
      <c r="AD203" s="1962"/>
      <c r="AE203" s="1962"/>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32" t="s">
        <v>2305</v>
      </c>
      <c r="D204" s="1932"/>
      <c r="E204" s="1932"/>
      <c r="F204" s="1932"/>
      <c r="G204" s="1932"/>
      <c r="H204" s="1932"/>
      <c r="I204" s="1932"/>
      <c r="J204" s="1932"/>
      <c r="K204" s="1932"/>
      <c r="L204" s="1932"/>
      <c r="M204" s="1932"/>
      <c r="N204" s="1932"/>
      <c r="O204" s="1932"/>
      <c r="P204" s="1932"/>
      <c r="Q204" s="1932"/>
      <c r="R204" s="1932"/>
      <c r="S204" s="1932"/>
      <c r="T204" s="1932"/>
      <c r="U204" s="1932"/>
      <c r="V204" s="1932"/>
      <c r="W204" s="1932"/>
      <c r="X204" s="1932"/>
      <c r="Y204" s="1932"/>
      <c r="Z204" s="1932"/>
      <c r="AA204" s="1932"/>
      <c r="AB204" s="1932"/>
      <c r="AC204" s="1932"/>
      <c r="AD204" s="1932"/>
      <c r="AE204" s="1932"/>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33" t="s">
        <v>2304</v>
      </c>
      <c r="D206" s="1934"/>
      <c r="E206" s="1934"/>
      <c r="F206" s="1934"/>
      <c r="G206" s="1934"/>
      <c r="H206" s="1934"/>
      <c r="I206" s="1934"/>
      <c r="J206" s="1934"/>
      <c r="K206" s="1934"/>
      <c r="L206" s="1934"/>
      <c r="M206" s="1934"/>
      <c r="N206" s="1934"/>
      <c r="O206" s="1934"/>
      <c r="P206" s="1934"/>
      <c r="Q206" s="1934"/>
      <c r="R206" s="1934"/>
      <c r="S206" s="1934"/>
      <c r="T206" s="1934"/>
      <c r="U206" s="1934"/>
      <c r="V206" s="1934"/>
      <c r="W206" s="1934"/>
      <c r="X206" s="1934"/>
      <c r="Y206" s="1934"/>
      <c r="Z206" s="1934"/>
      <c r="AA206" s="1934"/>
      <c r="AB206" s="1934"/>
      <c r="AC206" s="1934"/>
      <c r="AD206" s="1934"/>
      <c r="AE206" s="1934"/>
      <c r="AF206" s="1934"/>
      <c r="AG206" s="1934"/>
      <c r="AH206" s="1934"/>
      <c r="AI206" s="1934"/>
      <c r="AJ206" s="1934"/>
      <c r="AK206" s="1935"/>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6" t="s">
        <v>2303</v>
      </c>
      <c r="D207" s="1937"/>
      <c r="E207" s="1937"/>
      <c r="F207" s="1938"/>
      <c r="G207" s="1942" t="s">
        <v>2302</v>
      </c>
      <c r="H207" s="1937"/>
      <c r="I207" s="1937"/>
      <c r="J207" s="1937"/>
      <c r="K207" s="1937"/>
      <c r="L207" s="1937"/>
      <c r="M207" s="1937"/>
      <c r="N207" s="1937"/>
      <c r="O207" s="1938"/>
      <c r="P207" s="1944" t="s">
        <v>2301</v>
      </c>
      <c r="Q207" s="1945"/>
      <c r="R207" s="1945"/>
      <c r="S207" s="1945"/>
      <c r="T207" s="1946"/>
      <c r="U207" s="1950" t="s">
        <v>2300</v>
      </c>
      <c r="V207" s="1951"/>
      <c r="W207" s="1951"/>
      <c r="X207" s="1952"/>
      <c r="Y207" s="1950" t="s">
        <v>2299</v>
      </c>
      <c r="Z207" s="1951"/>
      <c r="AA207" s="1951"/>
      <c r="AB207" s="1952"/>
      <c r="AC207" s="1950" t="s">
        <v>2298</v>
      </c>
      <c r="AD207" s="1951"/>
      <c r="AE207" s="1951"/>
      <c r="AF207" s="1952"/>
      <c r="AG207" s="1942" t="s">
        <v>2297</v>
      </c>
      <c r="AH207" s="1937"/>
      <c r="AI207" s="1937"/>
      <c r="AJ207" s="1937"/>
      <c r="AK207" s="1956"/>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9"/>
      <c r="D208" s="1940"/>
      <c r="E208" s="1940"/>
      <c r="F208" s="1941"/>
      <c r="G208" s="1943"/>
      <c r="H208" s="1940"/>
      <c r="I208" s="1940"/>
      <c r="J208" s="1940"/>
      <c r="K208" s="1940"/>
      <c r="L208" s="1940"/>
      <c r="M208" s="1940"/>
      <c r="N208" s="1940"/>
      <c r="O208" s="1941"/>
      <c r="P208" s="1947"/>
      <c r="Q208" s="1948"/>
      <c r="R208" s="1948"/>
      <c r="S208" s="1948"/>
      <c r="T208" s="1949"/>
      <c r="U208" s="1953"/>
      <c r="V208" s="1954"/>
      <c r="W208" s="1954"/>
      <c r="X208" s="1955"/>
      <c r="Y208" s="1953"/>
      <c r="Z208" s="1954"/>
      <c r="AA208" s="1954"/>
      <c r="AB208" s="1955"/>
      <c r="AC208" s="1953"/>
      <c r="AD208" s="1954"/>
      <c r="AE208" s="1954"/>
      <c r="AF208" s="1955"/>
      <c r="AG208" s="1943"/>
      <c r="AH208" s="1940"/>
      <c r="AI208" s="1940"/>
      <c r="AJ208" s="1940"/>
      <c r="AK208" s="1957"/>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25">
        <v>1</v>
      </c>
      <c r="D209" s="1926"/>
      <c r="E209" s="1926"/>
      <c r="F209" s="1926"/>
      <c r="G209" s="1927" t="s">
        <v>1885</v>
      </c>
      <c r="H209" s="1927"/>
      <c r="I209" s="1927"/>
      <c r="J209" s="1927"/>
      <c r="K209" s="1927"/>
      <c r="L209" s="1927"/>
      <c r="M209" s="1927"/>
      <c r="N209" s="1927"/>
      <c r="O209" s="1927"/>
      <c r="P209" s="1928"/>
      <c r="Q209" s="1931"/>
      <c r="R209" s="1931"/>
      <c r="S209" s="1931"/>
      <c r="T209" s="1931"/>
      <c r="U209" s="1929" t="s">
        <v>1885</v>
      </c>
      <c r="V209" s="1929"/>
      <c r="W209" s="1929"/>
      <c r="X209" s="1929"/>
      <c r="Y209" s="1929" t="s">
        <v>1885</v>
      </c>
      <c r="Z209" s="1929"/>
      <c r="AA209" s="1929"/>
      <c r="AB209" s="1929"/>
      <c r="AC209" s="1930" t="s">
        <v>1885</v>
      </c>
      <c r="AD209" s="1930"/>
      <c r="AE209" s="1930"/>
      <c r="AF209" s="1930"/>
      <c r="AG209" s="1914"/>
      <c r="AH209" s="1915"/>
      <c r="AI209" s="1915"/>
      <c r="AJ209" s="1915"/>
      <c r="AK209" s="1916"/>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25">
        <v>2</v>
      </c>
      <c r="D210" s="1926"/>
      <c r="E210" s="1926"/>
      <c r="F210" s="1926"/>
      <c r="G210" s="1927" t="s">
        <v>1885</v>
      </c>
      <c r="H210" s="1927"/>
      <c r="I210" s="1927"/>
      <c r="J210" s="1927"/>
      <c r="K210" s="1927"/>
      <c r="L210" s="1927"/>
      <c r="M210" s="1927"/>
      <c r="N210" s="1927"/>
      <c r="O210" s="1927"/>
      <c r="P210" s="1928"/>
      <c r="Q210" s="1928"/>
      <c r="R210" s="1928"/>
      <c r="S210" s="1928"/>
      <c r="T210" s="1928"/>
      <c r="U210" s="1929" t="s">
        <v>1885</v>
      </c>
      <c r="V210" s="1929"/>
      <c r="W210" s="1929"/>
      <c r="X210" s="1929"/>
      <c r="Y210" s="1929" t="s">
        <v>1885</v>
      </c>
      <c r="Z210" s="1929"/>
      <c r="AA210" s="1929"/>
      <c r="AB210" s="1929"/>
      <c r="AC210" s="1930" t="s">
        <v>1885</v>
      </c>
      <c r="AD210" s="1930"/>
      <c r="AE210" s="1930"/>
      <c r="AF210" s="1930"/>
      <c r="AG210" s="1914"/>
      <c r="AH210" s="1915"/>
      <c r="AI210" s="1915"/>
      <c r="AJ210" s="1915"/>
      <c r="AK210" s="1916"/>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25">
        <v>3</v>
      </c>
      <c r="D211" s="1926"/>
      <c r="E211" s="1926"/>
      <c r="F211" s="1926"/>
      <c r="G211" s="1927" t="s">
        <v>1885</v>
      </c>
      <c r="H211" s="1927"/>
      <c r="I211" s="1927"/>
      <c r="J211" s="1927"/>
      <c r="K211" s="1927"/>
      <c r="L211" s="1927"/>
      <c r="M211" s="1927"/>
      <c r="N211" s="1927"/>
      <c r="O211" s="1927"/>
      <c r="P211" s="1928"/>
      <c r="Q211" s="1928"/>
      <c r="R211" s="1928"/>
      <c r="S211" s="1928"/>
      <c r="T211" s="1928"/>
      <c r="U211" s="1929" t="s">
        <v>1885</v>
      </c>
      <c r="V211" s="1929"/>
      <c r="W211" s="1929"/>
      <c r="X211" s="1929"/>
      <c r="Y211" s="1929" t="s">
        <v>1885</v>
      </c>
      <c r="Z211" s="1929"/>
      <c r="AA211" s="1929"/>
      <c r="AB211" s="1929"/>
      <c r="AC211" s="1930" t="s">
        <v>1885</v>
      </c>
      <c r="AD211" s="1930"/>
      <c r="AE211" s="1930"/>
      <c r="AF211" s="1930"/>
      <c r="AG211" s="1914"/>
      <c r="AH211" s="1915"/>
      <c r="AI211" s="1915"/>
      <c r="AJ211" s="1915"/>
      <c r="AK211" s="1916"/>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25">
        <v>4</v>
      </c>
      <c r="D212" s="1926"/>
      <c r="E212" s="1926"/>
      <c r="F212" s="1926"/>
      <c r="G212" s="1927" t="s">
        <v>1885</v>
      </c>
      <c r="H212" s="1927"/>
      <c r="I212" s="1927"/>
      <c r="J212" s="1927"/>
      <c r="K212" s="1927"/>
      <c r="L212" s="1927"/>
      <c r="M212" s="1927"/>
      <c r="N212" s="1927"/>
      <c r="O212" s="1927"/>
      <c r="P212" s="1928"/>
      <c r="Q212" s="1928"/>
      <c r="R212" s="1928"/>
      <c r="S212" s="1928"/>
      <c r="T212" s="1928"/>
      <c r="U212" s="1929" t="s">
        <v>1885</v>
      </c>
      <c r="V212" s="1929"/>
      <c r="W212" s="1929"/>
      <c r="X212" s="1929"/>
      <c r="Y212" s="1929" t="s">
        <v>1885</v>
      </c>
      <c r="Z212" s="1929"/>
      <c r="AA212" s="1929"/>
      <c r="AB212" s="1929"/>
      <c r="AC212" s="1930" t="s">
        <v>1885</v>
      </c>
      <c r="AD212" s="1930"/>
      <c r="AE212" s="1930"/>
      <c r="AF212" s="1930"/>
      <c r="AG212" s="1914"/>
      <c r="AH212" s="1915"/>
      <c r="AI212" s="1915"/>
      <c r="AJ212" s="1915"/>
      <c r="AK212" s="1916"/>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25">
        <v>5</v>
      </c>
      <c r="D213" s="1926"/>
      <c r="E213" s="1926"/>
      <c r="F213" s="1926"/>
      <c r="G213" s="1927" t="s">
        <v>1885</v>
      </c>
      <c r="H213" s="1927"/>
      <c r="I213" s="1927"/>
      <c r="J213" s="1927"/>
      <c r="K213" s="1927"/>
      <c r="L213" s="1927"/>
      <c r="M213" s="1927"/>
      <c r="N213" s="1927"/>
      <c r="O213" s="1927"/>
      <c r="P213" s="1928"/>
      <c r="Q213" s="1928"/>
      <c r="R213" s="1928"/>
      <c r="S213" s="1928"/>
      <c r="T213" s="1928"/>
      <c r="U213" s="1929" t="s">
        <v>1885</v>
      </c>
      <c r="V213" s="1929"/>
      <c r="W213" s="1929"/>
      <c r="X213" s="1929"/>
      <c r="Y213" s="1929" t="s">
        <v>1885</v>
      </c>
      <c r="Z213" s="1929"/>
      <c r="AA213" s="1929"/>
      <c r="AB213" s="1929"/>
      <c r="AC213" s="1930" t="s">
        <v>1885</v>
      </c>
      <c r="AD213" s="1930"/>
      <c r="AE213" s="1930"/>
      <c r="AF213" s="1930"/>
      <c r="AG213" s="1914"/>
      <c r="AH213" s="1915"/>
      <c r="AI213" s="1915"/>
      <c r="AJ213" s="1915"/>
      <c r="AK213" s="1916"/>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25">
        <v>6</v>
      </c>
      <c r="D214" s="1926"/>
      <c r="E214" s="1926"/>
      <c r="F214" s="1926"/>
      <c r="G214" s="1927" t="s">
        <v>1885</v>
      </c>
      <c r="H214" s="1927"/>
      <c r="I214" s="1927"/>
      <c r="J214" s="1927"/>
      <c r="K214" s="1927"/>
      <c r="L214" s="1927"/>
      <c r="M214" s="1927"/>
      <c r="N214" s="1927"/>
      <c r="O214" s="1927"/>
      <c r="P214" s="1928"/>
      <c r="Q214" s="1928"/>
      <c r="R214" s="1928"/>
      <c r="S214" s="1928"/>
      <c r="T214" s="1928"/>
      <c r="U214" s="1929"/>
      <c r="V214" s="1929"/>
      <c r="W214" s="1929"/>
      <c r="X214" s="1929"/>
      <c r="Y214" s="1929"/>
      <c r="Z214" s="1929"/>
      <c r="AA214" s="1929"/>
      <c r="AB214" s="1929"/>
      <c r="AC214" s="1930" t="s">
        <v>1885</v>
      </c>
      <c r="AD214" s="1930"/>
      <c r="AE214" s="1930"/>
      <c r="AF214" s="1930"/>
      <c r="AG214" s="1914"/>
      <c r="AH214" s="1915"/>
      <c r="AI214" s="1915"/>
      <c r="AJ214" s="1915"/>
      <c r="AK214" s="1916"/>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25">
        <v>7</v>
      </c>
      <c r="D215" s="1926"/>
      <c r="E215" s="1926"/>
      <c r="F215" s="1926"/>
      <c r="G215" s="1927"/>
      <c r="H215" s="1927"/>
      <c r="I215" s="1927"/>
      <c r="J215" s="1927"/>
      <c r="K215" s="1927"/>
      <c r="L215" s="1927"/>
      <c r="M215" s="1927"/>
      <c r="N215" s="1927"/>
      <c r="O215" s="1927"/>
      <c r="P215" s="1928"/>
      <c r="Q215" s="1928"/>
      <c r="R215" s="1928"/>
      <c r="S215" s="1928"/>
      <c r="T215" s="1928"/>
      <c r="U215" s="1929"/>
      <c r="V215" s="1929"/>
      <c r="W215" s="1929"/>
      <c r="X215" s="1929"/>
      <c r="Y215" s="1929"/>
      <c r="Z215" s="1929"/>
      <c r="AA215" s="1929"/>
      <c r="AB215" s="1929"/>
      <c r="AC215" s="1930" t="s">
        <v>1885</v>
      </c>
      <c r="AD215" s="1930"/>
      <c r="AE215" s="1930"/>
      <c r="AF215" s="1930"/>
      <c r="AG215" s="1914"/>
      <c r="AH215" s="1915"/>
      <c r="AI215" s="1915"/>
      <c r="AJ215" s="1915"/>
      <c r="AK215" s="1916"/>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7" t="s">
        <v>2296</v>
      </c>
      <c r="D216" s="1918"/>
      <c r="E216" s="1918"/>
      <c r="F216" s="1918"/>
      <c r="G216" s="1918"/>
      <c r="H216" s="1918"/>
      <c r="I216" s="1918"/>
      <c r="J216" s="1918"/>
      <c r="K216" s="1918"/>
      <c r="L216" s="1918"/>
      <c r="M216" s="1918"/>
      <c r="N216" s="1918"/>
      <c r="O216" s="1918"/>
      <c r="P216" s="1919"/>
      <c r="Q216" s="1919"/>
      <c r="R216" s="1919"/>
      <c r="S216" s="1919"/>
      <c r="T216" s="1919"/>
      <c r="U216" s="1920">
        <f>-SUM(U209:U215)</f>
        <v>0</v>
      </c>
      <c r="V216" s="1920"/>
      <c r="W216" s="1920"/>
      <c r="X216" s="1920"/>
      <c r="Y216" s="1920">
        <f>-SUM(Y209:Y215)</f>
        <v>0</v>
      </c>
      <c r="Z216" s="1920"/>
      <c r="AA216" s="1920"/>
      <c r="AB216" s="1920"/>
      <c r="AC216" s="1921">
        <f>-SUM(AC209:AC215)</f>
        <v>0</v>
      </c>
      <c r="AD216" s="1921"/>
      <c r="AE216" s="1921"/>
      <c r="AF216" s="1921"/>
      <c r="AG216" s="1922"/>
      <c r="AH216" s="1923"/>
      <c r="AI216" s="1923"/>
      <c r="AJ216" s="1923"/>
      <c r="AK216" s="1924"/>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901" t="s">
        <v>2294</v>
      </c>
      <c r="C221" s="1902"/>
      <c r="D221" s="1902"/>
      <c r="E221" s="1902"/>
      <c r="F221" s="1902"/>
      <c r="G221" s="1902"/>
      <c r="H221" s="1902"/>
      <c r="I221" s="1902"/>
      <c r="J221" s="1902"/>
      <c r="K221" s="1902"/>
      <c r="L221" s="1902"/>
      <c r="M221" s="1902"/>
      <c r="N221" s="1902"/>
      <c r="O221" s="1902"/>
      <c r="P221" s="1902"/>
      <c r="Q221" s="1902"/>
      <c r="R221" s="1902"/>
      <c r="S221" s="1902"/>
      <c r="T221" s="1902"/>
      <c r="U221" s="1902"/>
      <c r="V221" s="1902"/>
      <c r="W221" s="1902"/>
      <c r="X221" s="1902"/>
      <c r="Y221" s="1902"/>
      <c r="Z221" s="1902"/>
      <c r="AA221" s="1902"/>
      <c r="AB221" s="1902"/>
      <c r="AC221" s="1902"/>
      <c r="AD221" s="1902"/>
      <c r="AE221" s="1902"/>
      <c r="AF221" s="1902"/>
      <c r="AG221" s="1902"/>
      <c r="AH221" s="1902"/>
      <c r="AI221" s="1902"/>
      <c r="AJ221" s="1902"/>
      <c r="AK221" s="1902"/>
      <c r="AL221" s="1902"/>
      <c r="AM221" s="1902"/>
      <c r="AN221" s="1902"/>
      <c r="AO221" s="1902"/>
      <c r="AP221" s="1902"/>
      <c r="AQ221" s="1902"/>
      <c r="AR221" s="1902"/>
      <c r="AS221" s="1902"/>
      <c r="AT221" s="1902"/>
      <c r="AU221" s="1902"/>
      <c r="AV221" s="1902"/>
      <c r="AW221" s="1902"/>
      <c r="AX221" s="1902"/>
      <c r="AY221" s="1902"/>
      <c r="AZ221" s="1902"/>
      <c r="BA221" s="1902"/>
      <c r="BB221" s="1902"/>
      <c r="BC221" s="1902"/>
      <c r="BD221" s="1903"/>
      <c r="BE221" s="1194"/>
    </row>
    <row r="222" spans="1:57" ht="15.75" customHeight="1">
      <c r="A222" s="1190"/>
      <c r="B222" s="1904"/>
      <c r="C222" s="1905"/>
      <c r="D222" s="1905"/>
      <c r="E222" s="1905"/>
      <c r="F222" s="1905"/>
      <c r="G222" s="1905"/>
      <c r="H222" s="1905"/>
      <c r="I222" s="1905"/>
      <c r="J222" s="1905"/>
      <c r="K222" s="1905"/>
      <c r="L222" s="1905"/>
      <c r="M222" s="1905"/>
      <c r="N222" s="1905"/>
      <c r="O222" s="1905"/>
      <c r="P222" s="1905"/>
      <c r="Q222" s="1905"/>
      <c r="R222" s="1905"/>
      <c r="S222" s="1905"/>
      <c r="T222" s="1905"/>
      <c r="U222" s="1905"/>
      <c r="V222" s="1905"/>
      <c r="W222" s="1905"/>
      <c r="X222" s="1905"/>
      <c r="Y222" s="1905"/>
      <c r="Z222" s="1905"/>
      <c r="AA222" s="1905"/>
      <c r="AB222" s="1905"/>
      <c r="AC222" s="1905"/>
      <c r="AD222" s="1905"/>
      <c r="AE222" s="1905"/>
      <c r="AF222" s="1905"/>
      <c r="AG222" s="1905"/>
      <c r="AH222" s="1905"/>
      <c r="AI222" s="1905"/>
      <c r="AJ222" s="1905"/>
      <c r="AK222" s="1905"/>
      <c r="AL222" s="1905"/>
      <c r="AM222" s="1905"/>
      <c r="AN222" s="1905"/>
      <c r="AO222" s="1905"/>
      <c r="AP222" s="1905"/>
      <c r="AQ222" s="1905"/>
      <c r="AR222" s="1905"/>
      <c r="AS222" s="1905"/>
      <c r="AT222" s="1905"/>
      <c r="AU222" s="1905"/>
      <c r="AV222" s="1905"/>
      <c r="AW222" s="1905"/>
      <c r="AX222" s="1905"/>
      <c r="AY222" s="1905"/>
      <c r="AZ222" s="1905"/>
      <c r="BA222" s="1905"/>
      <c r="BB222" s="1905"/>
      <c r="BC222" s="1905"/>
      <c r="BD222" s="1906"/>
      <c r="BE222" s="1194"/>
    </row>
    <row r="223" spans="1:57" ht="15.75" customHeight="1">
      <c r="A223" s="1190"/>
      <c r="B223" s="1907" t="s">
        <v>2293</v>
      </c>
      <c r="C223" s="1908"/>
      <c r="D223" s="1908"/>
      <c r="E223" s="1908"/>
      <c r="F223" s="1908"/>
      <c r="G223" s="1908"/>
      <c r="H223" s="1908"/>
      <c r="I223" s="1908"/>
      <c r="J223" s="1908"/>
      <c r="K223" s="1908"/>
      <c r="L223" s="1908"/>
      <c r="M223" s="1908"/>
      <c r="N223" s="1908"/>
      <c r="O223" s="1908"/>
      <c r="P223" s="1908"/>
      <c r="Q223" s="1908"/>
      <c r="R223" s="1908"/>
      <c r="S223" s="1908"/>
      <c r="T223" s="1908"/>
      <c r="U223" s="1908"/>
      <c r="V223" s="1908"/>
      <c r="W223" s="1908"/>
      <c r="X223" s="1908"/>
      <c r="Y223" s="1908"/>
      <c r="Z223" s="1908"/>
      <c r="AA223" s="1908"/>
      <c r="AB223" s="1908"/>
      <c r="AC223" s="1908"/>
      <c r="AD223" s="1908"/>
      <c r="AE223" s="1908"/>
      <c r="AF223" s="1908"/>
      <c r="AG223" s="1908"/>
      <c r="AH223" s="1908"/>
      <c r="AI223" s="1908"/>
      <c r="AJ223" s="1908"/>
      <c r="AK223" s="1908"/>
      <c r="AL223" s="1908"/>
      <c r="AM223" s="1908"/>
      <c r="AN223" s="1908"/>
      <c r="AO223" s="1908"/>
      <c r="AP223" s="1908"/>
      <c r="AQ223" s="1908"/>
      <c r="AR223" s="1908"/>
      <c r="AS223" s="1908"/>
      <c r="AT223" s="1908"/>
      <c r="AU223" s="1908"/>
      <c r="AV223" s="1908"/>
      <c r="AW223" s="1908"/>
      <c r="AX223" s="1908"/>
      <c r="AY223" s="1908"/>
      <c r="AZ223" s="1908"/>
      <c r="BA223" s="1908"/>
      <c r="BB223" s="1908"/>
      <c r="BC223" s="1908"/>
      <c r="BD223" s="1909"/>
      <c r="BE223" s="1194"/>
    </row>
    <row r="224" spans="1:57" ht="15.75" customHeight="1">
      <c r="A224" s="1190"/>
      <c r="B224" s="1907" t="s">
        <v>2292</v>
      </c>
      <c r="C224" s="1908"/>
      <c r="D224" s="1908"/>
      <c r="E224" s="1908"/>
      <c r="F224" s="1908"/>
      <c r="G224" s="1908"/>
      <c r="H224" s="1908"/>
      <c r="I224" s="1908"/>
      <c r="J224" s="1908"/>
      <c r="K224" s="1908"/>
      <c r="L224" s="1908"/>
      <c r="M224" s="1908"/>
      <c r="N224" s="1908"/>
      <c r="O224" s="1908"/>
      <c r="P224" s="1908"/>
      <c r="Q224" s="1908"/>
      <c r="R224" s="1908"/>
      <c r="S224" s="1908"/>
      <c r="T224" s="1908"/>
      <c r="U224" s="1908"/>
      <c r="V224" s="1908"/>
      <c r="W224" s="1908"/>
      <c r="X224" s="1908"/>
      <c r="Y224" s="1908"/>
      <c r="Z224" s="1908"/>
      <c r="AA224" s="1908"/>
      <c r="AB224" s="1908"/>
      <c r="AC224" s="1908"/>
      <c r="AD224" s="1908"/>
      <c r="AE224" s="1908"/>
      <c r="AF224" s="1908"/>
      <c r="AG224" s="1908"/>
      <c r="AH224" s="1908"/>
      <c r="AI224" s="1908"/>
      <c r="AJ224" s="1908"/>
      <c r="AK224" s="1908"/>
      <c r="AL224" s="1908"/>
      <c r="AM224" s="1908"/>
      <c r="AN224" s="1908"/>
      <c r="AO224" s="1908"/>
      <c r="AP224" s="1908"/>
      <c r="AQ224" s="1908"/>
      <c r="AR224" s="1908"/>
      <c r="AS224" s="1908"/>
      <c r="AT224" s="1908"/>
      <c r="AU224" s="1908"/>
      <c r="AV224" s="1908"/>
      <c r="AW224" s="1908"/>
      <c r="AX224" s="1908"/>
      <c r="AY224" s="1908"/>
      <c r="AZ224" s="1908"/>
      <c r="BA224" s="1908"/>
      <c r="BB224" s="1908"/>
      <c r="BC224" s="1908"/>
      <c r="BD224" s="190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10" t="s">
        <v>2291</v>
      </c>
      <c r="C226" s="1911"/>
      <c r="D226" s="1911"/>
      <c r="E226" s="1911"/>
      <c r="F226" s="1911"/>
      <c r="G226" s="1911"/>
      <c r="H226" s="1911"/>
      <c r="I226" s="1911"/>
      <c r="J226" s="1911"/>
      <c r="K226" s="1911"/>
      <c r="L226" s="1911"/>
      <c r="M226" s="1911"/>
      <c r="N226" s="1911"/>
      <c r="O226" s="1911"/>
      <c r="P226" s="1911"/>
      <c r="Q226" s="1911"/>
      <c r="R226" s="1911"/>
      <c r="S226" s="1911"/>
      <c r="T226" s="1911"/>
      <c r="U226" s="1911"/>
      <c r="V226" s="1911"/>
      <c r="W226" s="1911"/>
      <c r="X226" s="1911"/>
      <c r="Y226" s="1911"/>
      <c r="Z226" s="1911"/>
      <c r="AA226" s="1911"/>
      <c r="AB226" s="1911"/>
      <c r="AC226" s="1911"/>
      <c r="AD226" s="1911"/>
      <c r="AE226" s="1911"/>
      <c r="AF226" s="1911"/>
      <c r="AG226" s="1911"/>
      <c r="AH226" s="1911"/>
      <c r="AI226" s="1911"/>
      <c r="AJ226" s="1911"/>
      <c r="AK226" s="1911"/>
      <c r="AL226" s="1911"/>
      <c r="AM226" s="1911"/>
      <c r="AN226" s="1911"/>
      <c r="AO226" s="1911"/>
      <c r="AP226" s="1911"/>
      <c r="AQ226" s="1911"/>
      <c r="AR226" s="1911"/>
      <c r="AS226" s="1911"/>
      <c r="AT226" s="1911"/>
      <c r="AU226" s="1911"/>
      <c r="AV226" s="1911"/>
      <c r="AW226" s="1911"/>
      <c r="AX226" s="1911"/>
      <c r="AY226" s="1911"/>
      <c r="AZ226" s="1911"/>
      <c r="BA226" s="1911"/>
      <c r="BB226" s="1911"/>
      <c r="BC226" s="1911"/>
      <c r="BD226" s="1912"/>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13" t="s">
        <v>2289</v>
      </c>
      <c r="I230" s="1913"/>
      <c r="J230" s="1913"/>
      <c r="K230" s="1913"/>
      <c r="L230" s="1913"/>
      <c r="M230" s="1913"/>
      <c r="N230" s="1913"/>
      <c r="O230" s="1913"/>
      <c r="P230" s="1913"/>
      <c r="Q230" s="1913"/>
      <c r="R230" s="1913"/>
      <c r="S230" s="1913"/>
      <c r="T230" s="1913"/>
      <c r="U230" s="1913"/>
      <c r="V230" s="1913"/>
      <c r="W230" s="1913"/>
      <c r="X230" s="1913"/>
      <c r="Y230" s="1913"/>
      <c r="Z230" s="1913"/>
      <c r="AA230" s="1913"/>
      <c r="AB230" s="1913"/>
      <c r="AC230" s="1913"/>
      <c r="AD230" s="1913"/>
      <c r="AE230" s="1913"/>
      <c r="AF230" s="1913"/>
      <c r="AG230" s="1913"/>
      <c r="AH230" s="1913"/>
      <c r="AI230" s="1913"/>
      <c r="AJ230" s="1913"/>
      <c r="AK230" s="1913"/>
      <c r="AL230" s="1913"/>
      <c r="AM230" s="1913"/>
      <c r="AN230" s="1913"/>
      <c r="AO230" s="1913"/>
      <c r="AP230" s="1913"/>
      <c r="AQ230" s="1913"/>
      <c r="AR230" s="1913"/>
      <c r="AS230" s="1913"/>
      <c r="AT230" s="1913"/>
      <c r="AU230" s="1913"/>
      <c r="AV230" s="1913"/>
      <c r="AW230" s="1913"/>
      <c r="AX230" s="1913"/>
      <c r="AY230" s="1913"/>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6" t="s">
        <v>2288</v>
      </c>
      <c r="I232" s="1896"/>
      <c r="J232" s="1896"/>
      <c r="K232" s="1896"/>
      <c r="L232" s="1896"/>
      <c r="M232" s="1896"/>
      <c r="N232" s="1896"/>
      <c r="O232" s="1896"/>
      <c r="P232" s="1896"/>
      <c r="Q232" s="1896"/>
      <c r="R232" s="1896"/>
      <c r="S232" s="1896"/>
      <c r="T232" s="1896"/>
      <c r="U232" s="1896"/>
      <c r="V232" s="1896"/>
      <c r="W232" s="1896"/>
      <c r="X232" s="1896"/>
      <c r="Y232" s="1896"/>
      <c r="Z232" s="1896"/>
      <c r="AA232" s="1896"/>
      <c r="AB232" s="1896"/>
      <c r="AC232" s="1896"/>
      <c r="AD232" s="1896"/>
      <c r="AE232" s="1896"/>
      <c r="AF232" s="1896"/>
      <c r="AG232" s="1896"/>
      <c r="AH232" s="1896"/>
      <c r="AI232" s="1896"/>
      <c r="AJ232" s="1896"/>
      <c r="AK232" s="1896"/>
      <c r="AL232" s="1896"/>
      <c r="AM232" s="1896"/>
      <c r="AN232" s="1896"/>
      <c r="AO232" s="1896"/>
      <c r="AP232" s="1896"/>
      <c r="AQ232" s="1896"/>
      <c r="AR232" s="1896"/>
      <c r="AS232" s="1896"/>
      <c r="AT232" s="1896"/>
      <c r="AU232" s="1896"/>
      <c r="AV232" s="1896"/>
      <c r="AW232" s="1896"/>
      <c r="AX232" s="1896"/>
      <c r="AY232" s="1896"/>
      <c r="AZ232" s="1896"/>
      <c r="BA232" s="1190"/>
      <c r="BB232" s="1190"/>
      <c r="BC232" s="1190"/>
      <c r="BD232" s="1194"/>
      <c r="BE232" s="1194"/>
    </row>
    <row r="233" spans="1:57" ht="15.75" customHeight="1">
      <c r="A233" s="1190"/>
      <c r="B233" s="1189"/>
      <c r="C233" s="1190"/>
      <c r="D233" s="1190"/>
      <c r="E233" s="1190"/>
      <c r="F233" s="1190"/>
      <c r="G233" s="1190"/>
      <c r="H233" s="1896"/>
      <c r="I233" s="1896"/>
      <c r="J233" s="1896"/>
      <c r="K233" s="1896"/>
      <c r="L233" s="1896"/>
      <c r="M233" s="1896"/>
      <c r="N233" s="1896"/>
      <c r="O233" s="1896"/>
      <c r="P233" s="1896"/>
      <c r="Q233" s="1896"/>
      <c r="R233" s="1896"/>
      <c r="S233" s="1896"/>
      <c r="T233" s="1896"/>
      <c r="U233" s="1896"/>
      <c r="V233" s="1896"/>
      <c r="W233" s="1896"/>
      <c r="X233" s="1896"/>
      <c r="Y233" s="1896"/>
      <c r="Z233" s="1896"/>
      <c r="AA233" s="1896"/>
      <c r="AB233" s="1896"/>
      <c r="AC233" s="1896"/>
      <c r="AD233" s="1896"/>
      <c r="AE233" s="1896"/>
      <c r="AF233" s="1896"/>
      <c r="AG233" s="1896"/>
      <c r="AH233" s="1896"/>
      <c r="AI233" s="1896"/>
      <c r="AJ233" s="1896"/>
      <c r="AK233" s="1896"/>
      <c r="AL233" s="1896"/>
      <c r="AM233" s="1896"/>
      <c r="AN233" s="1896"/>
      <c r="AO233" s="1896"/>
      <c r="AP233" s="1896"/>
      <c r="AQ233" s="1896"/>
      <c r="AR233" s="1896"/>
      <c r="AS233" s="1896"/>
      <c r="AT233" s="1896"/>
      <c r="AU233" s="1896"/>
      <c r="AV233" s="1896"/>
      <c r="AW233" s="1896"/>
      <c r="AX233" s="1896"/>
      <c r="AY233" s="1896"/>
      <c r="AZ233" s="1896"/>
      <c r="BA233" s="1190"/>
      <c r="BB233" s="1190"/>
      <c r="BC233" s="1190"/>
      <c r="BD233" s="1194"/>
      <c r="BE233" s="1194"/>
    </row>
    <row r="234" spans="1:57" ht="15.75" customHeight="1">
      <c r="A234" s="1190"/>
      <c r="B234" s="1189"/>
      <c r="C234" s="1190"/>
      <c r="D234" s="1190"/>
      <c r="E234" s="1190"/>
      <c r="F234" s="1190"/>
      <c r="G234" s="1190"/>
      <c r="H234" s="1896"/>
      <c r="I234" s="1896"/>
      <c r="J234" s="1896"/>
      <c r="K234" s="1896"/>
      <c r="L234" s="1896"/>
      <c r="M234" s="1896"/>
      <c r="N234" s="1896"/>
      <c r="O234" s="1896"/>
      <c r="P234" s="1896"/>
      <c r="Q234" s="1896"/>
      <c r="R234" s="1896"/>
      <c r="S234" s="1896"/>
      <c r="T234" s="1896"/>
      <c r="U234" s="1896"/>
      <c r="V234" s="1896"/>
      <c r="W234" s="1896"/>
      <c r="X234" s="1896"/>
      <c r="Y234" s="1896"/>
      <c r="Z234" s="1896"/>
      <c r="AA234" s="1896"/>
      <c r="AB234" s="1896"/>
      <c r="AC234" s="1896"/>
      <c r="AD234" s="1896"/>
      <c r="AE234" s="1896"/>
      <c r="AF234" s="1896"/>
      <c r="AG234" s="1896"/>
      <c r="AH234" s="1896"/>
      <c r="AI234" s="1896"/>
      <c r="AJ234" s="1896"/>
      <c r="AK234" s="1896"/>
      <c r="AL234" s="1896"/>
      <c r="AM234" s="1896"/>
      <c r="AN234" s="1896"/>
      <c r="AO234" s="1896"/>
      <c r="AP234" s="1896"/>
      <c r="AQ234" s="1896"/>
      <c r="AR234" s="1896"/>
      <c r="AS234" s="1896"/>
      <c r="AT234" s="1896"/>
      <c r="AU234" s="1896"/>
      <c r="AV234" s="1896"/>
      <c r="AW234" s="1896"/>
      <c r="AX234" s="1896"/>
      <c r="AY234" s="1896"/>
      <c r="AZ234" s="1896"/>
      <c r="BA234" s="1190"/>
      <c r="BB234" s="1190"/>
      <c r="BC234" s="1190"/>
      <c r="BD234" s="1194"/>
      <c r="BE234" s="1194"/>
    </row>
    <row r="235" spans="1:57" ht="15.75" customHeight="1">
      <c r="A235" s="1190"/>
      <c r="B235" s="1189"/>
      <c r="C235" s="1190"/>
      <c r="D235" s="1190"/>
      <c r="E235" s="1190"/>
      <c r="F235" s="1190"/>
      <c r="G235" s="1190"/>
      <c r="H235" s="1896"/>
      <c r="I235" s="1896"/>
      <c r="J235" s="1896"/>
      <c r="K235" s="1896"/>
      <c r="L235" s="1896"/>
      <c r="M235" s="1896"/>
      <c r="N235" s="1896"/>
      <c r="O235" s="1896"/>
      <c r="P235" s="1896"/>
      <c r="Q235" s="1896"/>
      <c r="R235" s="1896"/>
      <c r="S235" s="1896"/>
      <c r="T235" s="1896"/>
      <c r="U235" s="1896"/>
      <c r="V235" s="1896"/>
      <c r="W235" s="1896"/>
      <c r="X235" s="1896"/>
      <c r="Y235" s="1896"/>
      <c r="Z235" s="1896"/>
      <c r="AA235" s="1896"/>
      <c r="AB235" s="1896"/>
      <c r="AC235" s="1896"/>
      <c r="AD235" s="1896"/>
      <c r="AE235" s="1896"/>
      <c r="AF235" s="1896"/>
      <c r="AG235" s="1896"/>
      <c r="AH235" s="1896"/>
      <c r="AI235" s="1896"/>
      <c r="AJ235" s="1896"/>
      <c r="AK235" s="1896"/>
      <c r="AL235" s="1896"/>
      <c r="AM235" s="1896"/>
      <c r="AN235" s="1896"/>
      <c r="AO235" s="1896"/>
      <c r="AP235" s="1896"/>
      <c r="AQ235" s="1896"/>
      <c r="AR235" s="1896"/>
      <c r="AS235" s="1896"/>
      <c r="AT235" s="1896"/>
      <c r="AU235" s="1896"/>
      <c r="AV235" s="1896"/>
      <c r="AW235" s="1896"/>
      <c r="AX235" s="1896"/>
      <c r="AY235" s="1896"/>
      <c r="AZ235" s="1896"/>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7" t="s">
        <v>2287</v>
      </c>
      <c r="I237" s="1897"/>
      <c r="J237" s="1897"/>
      <c r="K237" s="1897"/>
      <c r="L237" s="1897"/>
      <c r="M237" s="1897"/>
      <c r="N237" s="1897"/>
      <c r="O237" s="1897"/>
      <c r="P237" s="1897"/>
      <c r="Q237" s="1897"/>
      <c r="R237" s="1897"/>
      <c r="S237" s="1897"/>
      <c r="T237" s="1897"/>
      <c r="U237" s="1897"/>
      <c r="V237" s="1897"/>
      <c r="W237" s="1897"/>
      <c r="X237" s="1897"/>
      <c r="Y237" s="1897"/>
      <c r="Z237" s="1897"/>
      <c r="AA237" s="1897"/>
      <c r="AB237" s="1897"/>
      <c r="AC237" s="1897"/>
      <c r="AD237" s="1897"/>
      <c r="AE237" s="1897"/>
      <c r="AF237" s="1897"/>
      <c r="AG237" s="1897"/>
      <c r="AH237" s="1897"/>
      <c r="AI237" s="1897"/>
      <c r="AJ237" s="1897"/>
      <c r="AK237" s="1897"/>
      <c r="AL237" s="1897"/>
      <c r="AM237" s="1897"/>
      <c r="AN237" s="1897"/>
      <c r="AO237" s="1897"/>
      <c r="AP237" s="1897"/>
      <c r="AQ237" s="1897"/>
      <c r="AR237" s="1897"/>
      <c r="AS237" s="1897"/>
      <c r="AT237" s="1897"/>
      <c r="AU237" s="1897"/>
      <c r="AV237" s="1897"/>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7" t="s">
        <v>2286</v>
      </c>
      <c r="I239" s="1887"/>
      <c r="J239" s="1887"/>
      <c r="K239" s="1887"/>
      <c r="L239" s="1239"/>
      <c r="M239" s="1239"/>
      <c r="N239" s="1239"/>
      <c r="O239" s="1239"/>
      <c r="P239" s="1239"/>
      <c r="Q239" s="1239"/>
      <c r="R239" s="1239"/>
      <c r="S239" s="1898"/>
      <c r="T239" s="1899"/>
      <c r="U239" s="1899"/>
      <c r="V239" s="1899"/>
      <c r="W239" s="1899"/>
      <c r="X239" s="1899"/>
      <c r="Y239" s="1899"/>
      <c r="Z239" s="1899"/>
      <c r="AA239" s="1899"/>
      <c r="AB239" s="1899"/>
      <c r="AC239" s="1899"/>
      <c r="AD239" s="1899"/>
      <c r="AE239" s="1899"/>
      <c r="AF239" s="1899"/>
      <c r="AG239" s="1899"/>
      <c r="AH239" s="1899"/>
      <c r="AI239" s="1899"/>
      <c r="AJ239" s="1900"/>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7" t="s">
        <v>2285</v>
      </c>
      <c r="I241" s="1887"/>
      <c r="J241" s="1887"/>
      <c r="K241" s="1241"/>
      <c r="L241" s="1239"/>
      <c r="M241" s="1239"/>
      <c r="N241" s="1239"/>
      <c r="O241" s="1239"/>
      <c r="P241" s="1239"/>
      <c r="Q241" s="1239"/>
      <c r="R241" s="1239"/>
      <c r="S241" s="1888"/>
      <c r="T241" s="1889"/>
      <c r="U241" s="1889"/>
      <c r="V241" s="1889"/>
      <c r="W241" s="1889"/>
      <c r="X241" s="1889"/>
      <c r="Y241" s="1889"/>
      <c r="Z241" s="1889"/>
      <c r="AA241" s="1889"/>
      <c r="AB241" s="1889"/>
      <c r="AC241" s="1889"/>
      <c r="AD241" s="1889"/>
      <c r="AE241" s="1889"/>
      <c r="AF241" s="1889"/>
      <c r="AG241" s="1889"/>
      <c r="AH241" s="1889"/>
      <c r="AI241" s="1889"/>
      <c r="AJ241" s="1890"/>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7" t="s">
        <v>441</v>
      </c>
      <c r="I243" s="1887"/>
      <c r="J243" s="1241"/>
      <c r="K243" s="1241"/>
      <c r="L243" s="1239"/>
      <c r="M243" s="1239"/>
      <c r="N243" s="1239"/>
      <c r="O243" s="1239"/>
      <c r="P243" s="1239"/>
      <c r="Q243" s="1239"/>
      <c r="R243" s="1239"/>
      <c r="S243" s="1888"/>
      <c r="T243" s="1889"/>
      <c r="U243" s="1889"/>
      <c r="V243" s="1889"/>
      <c r="W243" s="1889"/>
      <c r="X243" s="1889"/>
      <c r="Y243" s="1889"/>
      <c r="Z243" s="1889"/>
      <c r="AA243" s="1889"/>
      <c r="AB243" s="1889"/>
      <c r="AC243" s="1889"/>
      <c r="AD243" s="1889"/>
      <c r="AE243" s="1889"/>
      <c r="AF243" s="1889"/>
      <c r="AG243" s="1889"/>
      <c r="AH243" s="1889"/>
      <c r="AI243" s="1889"/>
      <c r="AJ243" s="1890"/>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91" t="s">
        <v>2284</v>
      </c>
      <c r="I245" s="1891"/>
      <c r="J245" s="1891"/>
      <c r="K245" s="1891"/>
      <c r="L245" s="1891"/>
      <c r="M245" s="1891"/>
      <c r="N245" s="1891"/>
      <c r="O245" s="1891"/>
      <c r="P245" s="1239"/>
      <c r="Q245" s="1239"/>
      <c r="R245" s="1239"/>
      <c r="S245" s="1888"/>
      <c r="T245" s="1889"/>
      <c r="U245" s="1889"/>
      <c r="V245" s="1889"/>
      <c r="W245" s="1889"/>
      <c r="X245" s="1889"/>
      <c r="Y245" s="1889"/>
      <c r="Z245" s="1889"/>
      <c r="AA245" s="1889"/>
      <c r="AB245" s="1889"/>
      <c r="AC245" s="1889"/>
      <c r="AD245" s="1889"/>
      <c r="AE245" s="1889"/>
      <c r="AF245" s="1889"/>
      <c r="AG245" s="1889"/>
      <c r="AH245" s="1889"/>
      <c r="AI245" s="1889"/>
      <c r="AJ245" s="1890"/>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92" t="s">
        <v>2283</v>
      </c>
      <c r="I247" s="1892"/>
      <c r="J247" s="1239"/>
      <c r="K247" s="1239"/>
      <c r="L247" s="1239"/>
      <c r="M247" s="1239"/>
      <c r="N247" s="1239"/>
      <c r="O247" s="1239"/>
      <c r="P247" s="1239"/>
      <c r="Q247" s="1239"/>
      <c r="R247" s="1239"/>
      <c r="S247" s="1893"/>
      <c r="T247" s="1894"/>
      <c r="U247" s="1894"/>
      <c r="V247" s="1894"/>
      <c r="W247" s="1894"/>
      <c r="X247" s="1894"/>
      <c r="Y247" s="1894"/>
      <c r="Z247" s="1894"/>
      <c r="AA247" s="1894"/>
      <c r="AB247" s="1894"/>
      <c r="AC247" s="1894"/>
      <c r="AD247" s="1894"/>
      <c r="AE247" s="1894"/>
      <c r="AF247" s="1894"/>
      <c r="AG247" s="1894"/>
      <c r="AH247" s="1894"/>
      <c r="AI247" s="1894"/>
      <c r="AJ247" s="1895"/>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2"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0" sqref="AB50:AF50"/>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85" t="s">
        <v>1280</v>
      </c>
      <c r="B1" s="2385"/>
      <c r="C1" s="2385"/>
      <c r="D1" s="2385"/>
      <c r="E1" s="2385"/>
      <c r="F1" s="2385"/>
      <c r="G1" s="2385"/>
      <c r="H1" s="2385"/>
      <c r="I1" s="2385"/>
      <c r="J1" s="2385"/>
      <c r="K1" s="2385"/>
      <c r="L1" s="2385"/>
      <c r="M1" s="2385"/>
      <c r="N1" s="2385"/>
      <c r="O1" s="2385"/>
      <c r="P1" s="2385"/>
      <c r="Q1" s="2385"/>
      <c r="R1" s="2385"/>
      <c r="S1" s="2385"/>
      <c r="T1" s="2385"/>
      <c r="U1" s="2385"/>
      <c r="V1" s="2385"/>
      <c r="W1" s="2385"/>
      <c r="X1" s="2385"/>
      <c r="Y1" s="2385"/>
      <c r="Z1" s="2385"/>
      <c r="AA1" s="2385"/>
      <c r="AB1" s="2385"/>
      <c r="AC1" s="2385"/>
      <c r="AD1" s="2385"/>
      <c r="AE1" s="2385"/>
      <c r="AF1" s="2385"/>
      <c r="AG1" s="2385"/>
      <c r="AH1" s="2385"/>
      <c r="AI1" s="2385"/>
      <c r="AJ1" s="2385"/>
      <c r="AK1" s="2385"/>
      <c r="AL1" s="2385"/>
      <c r="AM1" s="2385"/>
      <c r="AN1" s="2385"/>
    </row>
    <row r="2" spans="1:40" ht="12.95" customHeight="1" thickBot="1">
      <c r="A2" s="2386"/>
      <c r="B2" s="2386"/>
      <c r="C2" s="2386"/>
      <c r="D2" s="2386"/>
      <c r="E2" s="2386"/>
      <c r="F2" s="2386"/>
      <c r="G2" s="2386"/>
      <c r="H2" s="2386"/>
      <c r="I2" s="2386"/>
      <c r="J2" s="2386"/>
      <c r="K2" s="2386"/>
      <c r="L2" s="2386"/>
      <c r="M2" s="2386"/>
      <c r="N2" s="2386"/>
      <c r="O2" s="2386"/>
      <c r="P2" s="2386"/>
      <c r="Q2" s="2386"/>
      <c r="R2" s="2386"/>
      <c r="S2" s="2386"/>
      <c r="T2" s="2386"/>
      <c r="U2" s="2386"/>
      <c r="V2" s="2386"/>
      <c r="W2" s="2386"/>
      <c r="X2" s="2386"/>
      <c r="Y2" s="2386"/>
      <c r="Z2" s="2386"/>
      <c r="AA2" s="2386"/>
      <c r="AB2" s="2386"/>
      <c r="AC2" s="2386"/>
      <c r="AD2" s="2386"/>
      <c r="AE2" s="2386"/>
      <c r="AF2" s="2386"/>
      <c r="AG2" s="2386"/>
      <c r="AH2" s="2386"/>
      <c r="AI2" s="2386"/>
      <c r="AJ2" s="2386"/>
      <c r="AK2" s="2386"/>
      <c r="AL2" s="2386"/>
      <c r="AM2" s="2386"/>
      <c r="AN2" s="2386"/>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65" t="str">
        <f xml:space="preserve"> IF(T25=100%,'Sources and Basis Breakdown'!G2,'Sources and Basis Breakdown'!F2)</f>
        <v>30% PVC for New Const/
Rehabilitation
NON-DDA/
NON-QCT Building(s)</v>
      </c>
      <c r="U7" s="2365"/>
      <c r="V7" s="2365"/>
      <c r="W7" s="2365"/>
      <c r="X7" s="2365"/>
      <c r="Y7" s="2365" t="str">
        <f>IF(T25=100%,"",'Sources and Basis Breakdown'!G2)</f>
        <v/>
      </c>
      <c r="Z7" s="2365"/>
      <c r="AA7" s="2365"/>
      <c r="AB7" s="2365"/>
      <c r="AC7" s="2365"/>
      <c r="AD7" s="2365" t="str">
        <f xml:space="preserve"> IF(T25=100%, 'Sources and Basis Breakdown'!J2,'Sources and Basis Breakdown'!I2)</f>
        <v>30% PVC for Acquisition
NON-DDA/
NON-QCT Building(s)</v>
      </c>
      <c r="AE7" s="2365"/>
      <c r="AF7" s="2365"/>
      <c r="AG7" s="2365"/>
      <c r="AH7" s="2365"/>
      <c r="AI7" s="2365" t="str">
        <f>IF(T25=100%,"",'Sources and Basis Breakdown'!J2)</f>
        <v/>
      </c>
      <c r="AJ7" s="2365"/>
      <c r="AK7" s="2365"/>
      <c r="AL7" s="2365"/>
      <c r="AM7" s="2365"/>
    </row>
    <row r="8" spans="1:40" ht="12.95" customHeight="1">
      <c r="B8" s="407"/>
      <c r="T8" s="2365"/>
      <c r="U8" s="2365"/>
      <c r="V8" s="2365"/>
      <c r="W8" s="2365"/>
      <c r="X8" s="2365"/>
      <c r="Y8" s="2365"/>
      <c r="Z8" s="2365"/>
      <c r="AA8" s="2365"/>
      <c r="AB8" s="2365"/>
      <c r="AC8" s="2365"/>
      <c r="AD8" s="2365"/>
      <c r="AE8" s="2365"/>
      <c r="AF8" s="2365"/>
      <c r="AG8" s="2365"/>
      <c r="AH8" s="2365"/>
      <c r="AI8" s="2365"/>
      <c r="AJ8" s="2365"/>
      <c r="AK8" s="2365"/>
      <c r="AL8" s="2365"/>
      <c r="AM8" s="2365"/>
    </row>
    <row r="9" spans="1:40" ht="12.95" customHeight="1">
      <c r="B9" s="407"/>
      <c r="T9" s="2365"/>
      <c r="U9" s="2365"/>
      <c r="V9" s="2365"/>
      <c r="W9" s="2365"/>
      <c r="X9" s="2365"/>
      <c r="Y9" s="2365"/>
      <c r="Z9" s="2365"/>
      <c r="AA9" s="2365"/>
      <c r="AB9" s="2365"/>
      <c r="AC9" s="2365"/>
      <c r="AD9" s="2365"/>
      <c r="AE9" s="2365"/>
      <c r="AF9" s="2365"/>
      <c r="AG9" s="2365"/>
      <c r="AH9" s="2365"/>
      <c r="AI9" s="2365"/>
      <c r="AJ9" s="2365"/>
      <c r="AK9" s="2365"/>
      <c r="AL9" s="2365"/>
      <c r="AM9" s="2365"/>
    </row>
    <row r="10" spans="1:40" ht="12.95" customHeight="1">
      <c r="B10" s="408"/>
      <c r="C10" s="409"/>
      <c r="D10" s="409"/>
      <c r="E10" s="409"/>
      <c r="F10" s="409"/>
      <c r="G10" s="409"/>
      <c r="H10" s="409"/>
      <c r="I10" s="409"/>
      <c r="J10" s="409"/>
      <c r="K10" s="409"/>
      <c r="L10" s="409"/>
      <c r="M10" s="409"/>
      <c r="N10" s="409"/>
      <c r="O10" s="409"/>
      <c r="P10" s="409"/>
      <c r="Q10" s="409"/>
      <c r="R10" s="409"/>
      <c r="S10" s="409"/>
      <c r="T10" s="2365"/>
      <c r="U10" s="2365"/>
      <c r="V10" s="2365"/>
      <c r="W10" s="2365"/>
      <c r="X10" s="2365"/>
      <c r="Y10" s="2365"/>
      <c r="Z10" s="2365"/>
      <c r="AA10" s="2365"/>
      <c r="AB10" s="2365"/>
      <c r="AC10" s="2365"/>
      <c r="AD10" s="2365"/>
      <c r="AE10" s="2365"/>
      <c r="AF10" s="2365"/>
      <c r="AG10" s="2365"/>
      <c r="AH10" s="2365"/>
      <c r="AI10" s="2365"/>
      <c r="AJ10" s="2365"/>
      <c r="AK10" s="2365"/>
      <c r="AL10" s="2365"/>
      <c r="AM10" s="2365"/>
    </row>
    <row r="11" spans="1:40" ht="12.95" customHeight="1">
      <c r="B11" s="2351" t="s">
        <v>375</v>
      </c>
      <c r="C11" s="2352"/>
      <c r="D11" s="2352"/>
      <c r="E11" s="2352"/>
      <c r="F11" s="2352"/>
      <c r="G11" s="2352"/>
      <c r="H11" s="2352"/>
      <c r="I11" s="2352"/>
      <c r="J11" s="2352"/>
      <c r="K11" s="2352"/>
      <c r="L11" s="2352"/>
      <c r="M11" s="2352"/>
      <c r="N11" s="2352"/>
      <c r="O11" s="2352"/>
      <c r="P11" s="2352"/>
      <c r="Q11" s="2352"/>
      <c r="R11" s="2352"/>
      <c r="S11" s="2353"/>
      <c r="T11" s="2387">
        <f>IF('Sources and Basis Breakdown'!F107=0,'Sources and Basis Breakdown'!E107,'Sources and Basis Breakdown'!F107)</f>
        <v>142459472</v>
      </c>
      <c r="U11" s="2388"/>
      <c r="V11" s="2388"/>
      <c r="W11" s="2388"/>
      <c r="X11" s="2388"/>
      <c r="Y11" s="2387">
        <f>IF(Y7="",0,IF('Sources and Basis Breakdown'!G107+'Sources and Basis Breakdown'!F107='Sources and Basis Breakdown'!E107,'Sources and Basis Breakdown'!G107,0))</f>
        <v>0</v>
      </c>
      <c r="Z11" s="2388"/>
      <c r="AA11" s="2388"/>
      <c r="AB11" s="2388"/>
      <c r="AC11" s="2388"/>
      <c r="AD11" s="2388">
        <f>IF('Sources and Basis Breakdown'!I107=0,'Sources and Basis Breakdown'!H107,'Sources and Basis Breakdown'!I107)</f>
        <v>0</v>
      </c>
      <c r="AE11" s="2388"/>
      <c r="AF11" s="2388"/>
      <c r="AG11" s="2388"/>
      <c r="AH11" s="2388"/>
      <c r="AI11" s="2388">
        <f>IF(Y7="",0,IF('Sources and Basis Breakdown'!I107+'Sources and Basis Breakdown'!J107='Sources and Basis Breakdown'!H107,'Sources and Basis Breakdown'!J107,0))</f>
        <v>0</v>
      </c>
      <c r="AJ11" s="2388"/>
      <c r="AK11" s="2388"/>
      <c r="AL11" s="2388"/>
      <c r="AM11" s="2388"/>
    </row>
    <row r="12" spans="1:40" ht="12.95" customHeight="1">
      <c r="B12" s="2389" t="s">
        <v>497</v>
      </c>
      <c r="C12" s="1314"/>
      <c r="D12" s="1314"/>
      <c r="E12" s="1314"/>
      <c r="F12" s="1314"/>
      <c r="G12" s="1314"/>
      <c r="H12" s="1314"/>
      <c r="I12" s="1314"/>
      <c r="J12" s="1314"/>
      <c r="K12" s="1314"/>
      <c r="L12" s="1314"/>
      <c r="M12" s="1314"/>
      <c r="N12" s="1314"/>
      <c r="O12" s="1314"/>
      <c r="P12" s="1314"/>
      <c r="Q12" s="1314"/>
      <c r="R12" s="1314"/>
      <c r="S12" s="2390"/>
      <c r="T12" s="2380"/>
      <c r="U12" s="2381"/>
      <c r="V12" s="2381"/>
      <c r="W12" s="2381"/>
      <c r="X12" s="2382"/>
      <c r="Y12" s="2380"/>
      <c r="Z12" s="2381"/>
      <c r="AA12" s="2381"/>
      <c r="AB12" s="2381"/>
      <c r="AC12" s="2382"/>
      <c r="AD12" s="2380"/>
      <c r="AE12" s="2381"/>
      <c r="AF12" s="2381"/>
      <c r="AG12" s="2381"/>
      <c r="AH12" s="2382"/>
      <c r="AI12" s="2380"/>
      <c r="AJ12" s="2381"/>
      <c r="AK12" s="2381"/>
      <c r="AL12" s="2381"/>
      <c r="AM12" s="2382"/>
    </row>
    <row r="13" spans="1:40" ht="12.95" customHeight="1">
      <c r="B13" s="435"/>
      <c r="C13" s="2391" t="s">
        <v>498</v>
      </c>
      <c r="D13" s="2391"/>
      <c r="E13" s="2391"/>
      <c r="F13" s="2391"/>
      <c r="G13" s="2391"/>
      <c r="H13" s="2391"/>
      <c r="I13" s="2391"/>
      <c r="J13" s="2391"/>
      <c r="K13" s="2391"/>
      <c r="L13" s="2391"/>
      <c r="M13" s="2391"/>
      <c r="N13" s="2391"/>
      <c r="O13" s="2391"/>
      <c r="P13" s="2391"/>
      <c r="Q13" s="2391"/>
      <c r="R13" s="2391"/>
      <c r="S13" s="2392"/>
      <c r="T13" s="2383">
        <v>0</v>
      </c>
      <c r="U13" s="2384"/>
      <c r="V13" s="2384"/>
      <c r="W13" s="2384"/>
      <c r="X13" s="2384"/>
      <c r="Y13" s="2383"/>
      <c r="Z13" s="2384"/>
      <c r="AA13" s="2384"/>
      <c r="AB13" s="2384"/>
      <c r="AC13" s="2384"/>
      <c r="AD13" s="2384"/>
      <c r="AE13" s="2384"/>
      <c r="AF13" s="2384"/>
      <c r="AG13" s="2384"/>
      <c r="AH13" s="2384"/>
      <c r="AI13" s="2384"/>
      <c r="AJ13" s="2384"/>
      <c r="AK13" s="2384"/>
      <c r="AL13" s="2384"/>
      <c r="AM13" s="2384"/>
    </row>
    <row r="14" spans="1:40" ht="12.95" customHeight="1">
      <c r="B14" s="435"/>
      <c r="C14" s="2391" t="s">
        <v>499</v>
      </c>
      <c r="D14" s="2391"/>
      <c r="E14" s="2391"/>
      <c r="F14" s="2391"/>
      <c r="G14" s="2391"/>
      <c r="H14" s="2391"/>
      <c r="I14" s="2391"/>
      <c r="J14" s="2391"/>
      <c r="K14" s="2391"/>
      <c r="L14" s="2391"/>
      <c r="M14" s="2391"/>
      <c r="N14" s="2391"/>
      <c r="O14" s="2391"/>
      <c r="P14" s="2391"/>
      <c r="Q14" s="2391"/>
      <c r="R14" s="2391"/>
      <c r="S14" s="2392"/>
      <c r="T14" s="2373">
        <v>0</v>
      </c>
      <c r="U14" s="2374"/>
      <c r="V14" s="2374"/>
      <c r="W14" s="2374"/>
      <c r="X14" s="2374"/>
      <c r="Y14" s="2373"/>
      <c r="Z14" s="2374"/>
      <c r="AA14" s="2374"/>
      <c r="AB14" s="2374"/>
      <c r="AC14" s="2374"/>
      <c r="AD14" s="2374"/>
      <c r="AE14" s="2374"/>
      <c r="AF14" s="2374"/>
      <c r="AG14" s="2374"/>
      <c r="AH14" s="2374"/>
      <c r="AI14" s="2374"/>
      <c r="AJ14" s="2374"/>
      <c r="AK14" s="2374"/>
      <c r="AL14" s="2374"/>
      <c r="AM14" s="2374"/>
    </row>
    <row r="15" spans="1:40" ht="12.95" customHeight="1">
      <c r="B15" s="435"/>
      <c r="C15" s="2391" t="s">
        <v>500</v>
      </c>
      <c r="D15" s="2391"/>
      <c r="E15" s="2391"/>
      <c r="F15" s="2391"/>
      <c r="G15" s="2391"/>
      <c r="H15" s="2391"/>
      <c r="I15" s="2391"/>
      <c r="J15" s="2391"/>
      <c r="K15" s="2391"/>
      <c r="L15" s="2391"/>
      <c r="M15" s="2391"/>
      <c r="N15" s="2391"/>
      <c r="O15" s="2391"/>
      <c r="P15" s="2391"/>
      <c r="Q15" s="2391"/>
      <c r="R15" s="2391"/>
      <c r="S15" s="2392"/>
      <c r="T15" s="2373">
        <v>0</v>
      </c>
      <c r="U15" s="2374"/>
      <c r="V15" s="2374"/>
      <c r="W15" s="2374"/>
      <c r="X15" s="2374"/>
      <c r="Y15" s="2373"/>
      <c r="Z15" s="2374"/>
      <c r="AA15" s="2374"/>
      <c r="AB15" s="2374"/>
      <c r="AC15" s="2374"/>
      <c r="AD15" s="2374"/>
      <c r="AE15" s="2374"/>
      <c r="AF15" s="2374"/>
      <c r="AG15" s="2374"/>
      <c r="AH15" s="2374"/>
      <c r="AI15" s="2374"/>
      <c r="AJ15" s="2374"/>
      <c r="AK15" s="2374"/>
      <c r="AL15" s="2374"/>
      <c r="AM15" s="2374"/>
    </row>
    <row r="16" spans="1:40" ht="12.95" customHeight="1">
      <c r="B16" s="435"/>
      <c r="C16" s="2391" t="s">
        <v>805</v>
      </c>
      <c r="D16" s="2391"/>
      <c r="E16" s="2391"/>
      <c r="F16" s="2391"/>
      <c r="G16" s="2391"/>
      <c r="H16" s="2391"/>
      <c r="I16" s="2391"/>
      <c r="J16" s="2391"/>
      <c r="K16" s="2391"/>
      <c r="L16" s="2391"/>
      <c r="M16" s="2391"/>
      <c r="N16" s="2391"/>
      <c r="O16" s="2391"/>
      <c r="P16" s="2391"/>
      <c r="Q16" s="2391"/>
      <c r="R16" s="2391"/>
      <c r="S16" s="2392"/>
      <c r="T16" s="2373">
        <v>0</v>
      </c>
      <c r="U16" s="2374"/>
      <c r="V16" s="2374"/>
      <c r="W16" s="2374"/>
      <c r="X16" s="2374"/>
      <c r="Y16" s="2373"/>
      <c r="Z16" s="2374"/>
      <c r="AA16" s="2374"/>
      <c r="AB16" s="2374"/>
      <c r="AC16" s="2374"/>
      <c r="AD16" s="2374"/>
      <c r="AE16" s="2374"/>
      <c r="AF16" s="2374"/>
      <c r="AG16" s="2374"/>
      <c r="AH16" s="2374"/>
      <c r="AI16" s="2374"/>
      <c r="AJ16" s="2374"/>
      <c r="AK16" s="2374"/>
      <c r="AL16" s="2374"/>
      <c r="AM16" s="2374"/>
    </row>
    <row r="17" spans="1:40" ht="12.95" customHeight="1">
      <c r="B17" s="435"/>
      <c r="C17" s="2391" t="s">
        <v>501</v>
      </c>
      <c r="D17" s="2391"/>
      <c r="E17" s="2391"/>
      <c r="F17" s="2391"/>
      <c r="G17" s="2391"/>
      <c r="H17" s="2391"/>
      <c r="I17" s="2391"/>
      <c r="J17" s="2391"/>
      <c r="K17" s="2391"/>
      <c r="L17" s="2391"/>
      <c r="M17" s="2391"/>
      <c r="N17" s="2391"/>
      <c r="O17" s="2391"/>
      <c r="P17" s="2391"/>
      <c r="Q17" s="2391"/>
      <c r="R17" s="2391"/>
      <c r="S17" s="2392"/>
      <c r="T17" s="2373">
        <v>0</v>
      </c>
      <c r="U17" s="2374"/>
      <c r="V17" s="2374"/>
      <c r="W17" s="2374"/>
      <c r="X17" s="2374"/>
      <c r="Y17" s="2373"/>
      <c r="Z17" s="2374"/>
      <c r="AA17" s="2374"/>
      <c r="AB17" s="2374"/>
      <c r="AC17" s="2374"/>
      <c r="AD17" s="2374"/>
      <c r="AE17" s="2374"/>
      <c r="AF17" s="2374"/>
      <c r="AG17" s="2374"/>
      <c r="AH17" s="2374"/>
      <c r="AI17" s="2374"/>
      <c r="AJ17" s="2374"/>
      <c r="AK17" s="2374"/>
      <c r="AL17" s="2374"/>
      <c r="AM17" s="2374"/>
    </row>
    <row r="18" spans="1:40" ht="12.95" customHeight="1">
      <c r="A18"/>
      <c r="B18" s="1150"/>
      <c r="C18" s="1569" t="s">
        <v>960</v>
      </c>
      <c r="D18" s="1569"/>
      <c r="E18" s="1569"/>
      <c r="F18" s="1569"/>
      <c r="G18" s="1569"/>
      <c r="H18" s="1569"/>
      <c r="I18" s="1569"/>
      <c r="J18" s="1569"/>
      <c r="K18" s="1569"/>
      <c r="L18" s="1569"/>
      <c r="M18" s="1569"/>
      <c r="N18" s="1569"/>
      <c r="O18" s="1569"/>
      <c r="P18" s="1569"/>
      <c r="Q18" s="1569"/>
      <c r="R18" s="1569"/>
      <c r="S18" s="1570"/>
      <c r="T18" s="2373">
        <v>0</v>
      </c>
      <c r="U18" s="2374"/>
      <c r="V18" s="2374"/>
      <c r="W18" s="2374"/>
      <c r="X18" s="2374"/>
      <c r="Y18" s="2373"/>
      <c r="Z18" s="2374"/>
      <c r="AA18" s="2374"/>
      <c r="AB18" s="2374"/>
      <c r="AC18" s="2374"/>
      <c r="AD18" s="2374"/>
      <c r="AE18" s="2374"/>
      <c r="AF18" s="2374"/>
      <c r="AG18" s="2374"/>
      <c r="AH18" s="2374"/>
      <c r="AI18" s="2374"/>
      <c r="AJ18" s="2374"/>
      <c r="AK18" s="2374"/>
      <c r="AL18" s="2374"/>
      <c r="AM18" s="2374"/>
    </row>
    <row r="19" spans="1:40" ht="12.95" customHeight="1">
      <c r="B19" s="1150"/>
      <c r="C19" s="1569" t="s">
        <v>960</v>
      </c>
      <c r="D19" s="1569"/>
      <c r="E19" s="1569"/>
      <c r="F19" s="1569"/>
      <c r="G19" s="1569"/>
      <c r="H19" s="1569"/>
      <c r="I19" s="1569"/>
      <c r="J19" s="1569"/>
      <c r="K19" s="1569"/>
      <c r="L19" s="1569"/>
      <c r="M19" s="1569"/>
      <c r="N19" s="1569"/>
      <c r="O19" s="1569"/>
      <c r="P19" s="1569"/>
      <c r="Q19" s="1569"/>
      <c r="R19" s="1569"/>
      <c r="S19" s="1570"/>
      <c r="T19" s="2373">
        <v>0</v>
      </c>
      <c r="U19" s="2374"/>
      <c r="V19" s="2374"/>
      <c r="W19" s="2374"/>
      <c r="X19" s="2374"/>
      <c r="Y19" s="2373"/>
      <c r="Z19" s="2374"/>
      <c r="AA19" s="2374"/>
      <c r="AB19" s="2374"/>
      <c r="AC19" s="2374"/>
      <c r="AD19" s="2374"/>
      <c r="AE19" s="2374"/>
      <c r="AF19" s="2374"/>
      <c r="AG19" s="2374"/>
      <c r="AH19" s="2374"/>
      <c r="AI19" s="2374"/>
      <c r="AJ19" s="2374"/>
      <c r="AK19" s="2374"/>
      <c r="AL19" s="2374"/>
      <c r="AM19" s="2374"/>
    </row>
    <row r="20" spans="1:40" ht="12.95" customHeight="1">
      <c r="B20" s="2351" t="s">
        <v>502</v>
      </c>
      <c r="C20" s="2352"/>
      <c r="D20" s="2352"/>
      <c r="E20" s="2352"/>
      <c r="F20" s="2352"/>
      <c r="G20" s="2352"/>
      <c r="H20" s="2352"/>
      <c r="I20" s="2352"/>
      <c r="J20" s="2352"/>
      <c r="K20" s="2352"/>
      <c r="L20" s="2352"/>
      <c r="M20" s="2352"/>
      <c r="N20" s="2352"/>
      <c r="O20" s="2352"/>
      <c r="P20" s="2352"/>
      <c r="Q20" s="2352"/>
      <c r="R20" s="2352"/>
      <c r="S20" s="2353"/>
      <c r="T20" s="2364">
        <f>SUM(T13:X19)</f>
        <v>0</v>
      </c>
      <c r="U20" s="2345"/>
      <c r="V20" s="2345"/>
      <c r="W20" s="2345"/>
      <c r="X20" s="2345"/>
      <c r="Y20" s="2364">
        <f>SUM(Y13:AC19)</f>
        <v>0</v>
      </c>
      <c r="Z20" s="2345"/>
      <c r="AA20" s="2345"/>
      <c r="AB20" s="2345"/>
      <c r="AC20" s="2345"/>
      <c r="AD20" s="2355">
        <f>SUM(AD13:AH19)</f>
        <v>0</v>
      </c>
      <c r="AE20" s="2363"/>
      <c r="AF20" s="2363"/>
      <c r="AG20" s="2363"/>
      <c r="AH20" s="2364"/>
      <c r="AI20" s="2355">
        <f>SUM(AI13:AM19)</f>
        <v>0</v>
      </c>
      <c r="AJ20" s="2363"/>
      <c r="AK20" s="2363"/>
      <c r="AL20" s="2363"/>
      <c r="AM20" s="2364"/>
    </row>
    <row r="21" spans="1:40" ht="12.95" customHeight="1">
      <c r="B21" s="2351" t="s">
        <v>1263</v>
      </c>
      <c r="C21" s="2352"/>
      <c r="D21" s="2352"/>
      <c r="E21" s="2352"/>
      <c r="F21" s="2352"/>
      <c r="G21" s="2352"/>
      <c r="H21" s="2352"/>
      <c r="I21" s="2352"/>
      <c r="J21" s="2352"/>
      <c r="K21" s="2352"/>
      <c r="L21" s="2352"/>
      <c r="M21" s="2352"/>
      <c r="N21" s="2352"/>
      <c r="O21" s="2352"/>
      <c r="P21" s="2352"/>
      <c r="Q21" s="2352"/>
      <c r="R21" s="2352"/>
      <c r="S21" s="2353"/>
      <c r="T21" s="2373">
        <v>0</v>
      </c>
      <c r="U21" s="2374"/>
      <c r="V21" s="2374"/>
      <c r="W21" s="2374"/>
      <c r="X21" s="2374"/>
      <c r="Y21" s="2373"/>
      <c r="Z21" s="2374"/>
      <c r="AA21" s="2374"/>
      <c r="AB21" s="2374"/>
      <c r="AC21" s="2374"/>
      <c r="AD21" s="2380"/>
      <c r="AE21" s="2381"/>
      <c r="AF21" s="2381"/>
      <c r="AG21" s="2381"/>
      <c r="AH21" s="2382"/>
      <c r="AI21" s="2380"/>
      <c r="AJ21" s="2381"/>
      <c r="AK21" s="2381"/>
      <c r="AL21" s="2381"/>
      <c r="AM21" s="2382"/>
    </row>
    <row r="22" spans="1:40" ht="12.95" customHeight="1">
      <c r="B22" s="2351" t="s">
        <v>503</v>
      </c>
      <c r="C22" s="2352"/>
      <c r="D22" s="2352"/>
      <c r="E22" s="2352"/>
      <c r="F22" s="2352"/>
      <c r="G22" s="2352"/>
      <c r="H22" s="2352"/>
      <c r="I22" s="2352"/>
      <c r="J22" s="2352"/>
      <c r="K22" s="2352"/>
      <c r="L22" s="2352"/>
      <c r="M22" s="2352"/>
      <c r="N22" s="2352"/>
      <c r="O22" s="2352"/>
      <c r="P22" s="2352"/>
      <c r="Q22" s="2352"/>
      <c r="R22" s="2352"/>
      <c r="S22" s="2353"/>
      <c r="T22" s="2369">
        <f>(ABS(T20)+ABS(T21))*-1</f>
        <v>0</v>
      </c>
      <c r="U22" s="2370"/>
      <c r="V22" s="2370"/>
      <c r="W22" s="2370"/>
      <c r="X22" s="2370"/>
      <c r="Y22" s="2369">
        <f>(Y20+Y21)*-1</f>
        <v>0</v>
      </c>
      <c r="Z22" s="2370"/>
      <c r="AA22" s="2370"/>
      <c r="AB22" s="2370"/>
      <c r="AC22" s="2370"/>
      <c r="AD22" s="2371">
        <f>(AD20)*-1</f>
        <v>0</v>
      </c>
      <c r="AE22" s="2372"/>
      <c r="AF22" s="2372"/>
      <c r="AG22" s="2372"/>
      <c r="AH22" s="2369"/>
      <c r="AI22" s="2371">
        <f>(AI20)*-1</f>
        <v>0</v>
      </c>
      <c r="AJ22" s="2372"/>
      <c r="AK22" s="2372"/>
      <c r="AL22" s="2372"/>
      <c r="AM22" s="2369"/>
    </row>
    <row r="23" spans="1:40" ht="12.95" customHeight="1">
      <c r="B23" s="2351" t="s">
        <v>504</v>
      </c>
      <c r="C23" s="2352"/>
      <c r="D23" s="2352"/>
      <c r="E23" s="2352"/>
      <c r="F23" s="2352"/>
      <c r="G23" s="2352"/>
      <c r="H23" s="2352"/>
      <c r="I23" s="2352"/>
      <c r="J23" s="2352"/>
      <c r="K23" s="2352"/>
      <c r="L23" s="2352"/>
      <c r="M23" s="2352"/>
      <c r="N23" s="2352"/>
      <c r="O23" s="2352"/>
      <c r="P23" s="2352"/>
      <c r="Q23" s="2352"/>
      <c r="R23" s="2352"/>
      <c r="S23" s="2353"/>
      <c r="T23" s="2364">
        <f>T11+T22</f>
        <v>142459472</v>
      </c>
      <c r="U23" s="2345"/>
      <c r="V23" s="2345"/>
      <c r="W23" s="2345"/>
      <c r="X23" s="2345"/>
      <c r="Y23" s="2364">
        <f>Y11+Y22</f>
        <v>0</v>
      </c>
      <c r="Z23" s="2345"/>
      <c r="AA23" s="2345"/>
      <c r="AB23" s="2345"/>
      <c r="AC23" s="2345"/>
      <c r="AD23" s="2364">
        <f>AD11+AD22</f>
        <v>0</v>
      </c>
      <c r="AE23" s="2345"/>
      <c r="AF23" s="2345"/>
      <c r="AG23" s="2345"/>
      <c r="AH23" s="2345"/>
      <c r="AI23" s="2364">
        <f>AI11+AI22</f>
        <v>0</v>
      </c>
      <c r="AJ23" s="2345"/>
      <c r="AK23" s="2345"/>
      <c r="AL23" s="2345"/>
      <c r="AM23" s="2345"/>
    </row>
    <row r="24" spans="1:40" ht="12.95" customHeight="1">
      <c r="B24" s="2351" t="s">
        <v>961</v>
      </c>
      <c r="C24" s="2352"/>
      <c r="D24" s="2352"/>
      <c r="E24" s="2352"/>
      <c r="F24" s="2352"/>
      <c r="G24" s="2352"/>
      <c r="H24" s="2352"/>
      <c r="I24" s="2352"/>
      <c r="J24" s="2352"/>
      <c r="K24" s="2352"/>
      <c r="L24" s="2352"/>
      <c r="M24" s="2352"/>
      <c r="N24" s="2352"/>
      <c r="O24" s="2352"/>
      <c r="P24" s="2352"/>
      <c r="Q24" s="2352"/>
      <c r="R24" s="2352"/>
      <c r="S24" s="2353"/>
      <c r="T24" s="2355">
        <f>Application!AJ1053</f>
        <v>354667244.60000002</v>
      </c>
      <c r="U24" s="2363"/>
      <c r="V24" s="2363"/>
      <c r="W24" s="2363"/>
      <c r="X24" s="2363"/>
      <c r="Y24" s="2363"/>
      <c r="Z24" s="2363"/>
      <c r="AA24" s="2363"/>
      <c r="AB24" s="2363"/>
      <c r="AC24" s="2363"/>
      <c r="AD24" s="2363"/>
      <c r="AE24" s="2363"/>
      <c r="AF24" s="2363"/>
      <c r="AG24" s="2363"/>
      <c r="AH24" s="2363"/>
      <c r="AI24" s="2363"/>
      <c r="AJ24" s="2363"/>
      <c r="AK24" s="2363"/>
      <c r="AL24" s="2363"/>
      <c r="AM24" s="2364"/>
    </row>
    <row r="25" spans="1:40" ht="12.95" customHeight="1">
      <c r="B25" s="2395" t="s">
        <v>1264</v>
      </c>
      <c r="C25" s="2396"/>
      <c r="D25" s="2396"/>
      <c r="E25" s="2396"/>
      <c r="F25" s="2396"/>
      <c r="G25" s="2396"/>
      <c r="H25" s="2396"/>
      <c r="I25" s="2396"/>
      <c r="J25" s="2396"/>
      <c r="K25" s="2396"/>
      <c r="L25" s="2396"/>
      <c r="M25" s="2396"/>
      <c r="N25" s="2396"/>
      <c r="O25" s="2396"/>
      <c r="P25" s="2396"/>
      <c r="Q25" s="2396"/>
      <c r="R25" s="2396"/>
      <c r="S25" s="2397"/>
      <c r="T25" s="2377">
        <f>IF(OR(Application!T196="yes",Application!T195="yes"),1.3,1)</f>
        <v>1</v>
      </c>
      <c r="U25" s="2378"/>
      <c r="V25" s="2378"/>
      <c r="W25" s="2378"/>
      <c r="X25" s="2378"/>
      <c r="Y25" s="2377">
        <v>1</v>
      </c>
      <c r="Z25" s="2378"/>
      <c r="AA25" s="2378"/>
      <c r="AB25" s="2378"/>
      <c r="AC25" s="2378"/>
      <c r="AD25" s="2377">
        <v>1</v>
      </c>
      <c r="AE25" s="2378"/>
      <c r="AF25" s="2378"/>
      <c r="AG25" s="2378"/>
      <c r="AH25" s="2379"/>
      <c r="AI25" s="2377">
        <v>1</v>
      </c>
      <c r="AJ25" s="2378"/>
      <c r="AK25" s="2378"/>
      <c r="AL25" s="2378"/>
      <c r="AM25" s="2379"/>
    </row>
    <row r="26" spans="1:40" ht="12.95" customHeight="1">
      <c r="B26" s="2351" t="s">
        <v>505</v>
      </c>
      <c r="C26" s="2352"/>
      <c r="D26" s="2352"/>
      <c r="E26" s="2352"/>
      <c r="F26" s="2352"/>
      <c r="G26" s="2352"/>
      <c r="H26" s="2352"/>
      <c r="I26" s="2352"/>
      <c r="J26" s="2352"/>
      <c r="K26" s="2352"/>
      <c r="L26" s="2352"/>
      <c r="M26" s="2352"/>
      <c r="N26" s="2352"/>
      <c r="O26" s="2352"/>
      <c r="P26" s="2352"/>
      <c r="Q26" s="2352"/>
      <c r="R26" s="2352"/>
      <c r="S26" s="2353"/>
      <c r="T26" s="2364">
        <f>T23*T25</f>
        <v>142459472</v>
      </c>
      <c r="U26" s="2345"/>
      <c r="V26" s="2345"/>
      <c r="W26" s="2345"/>
      <c r="X26" s="2345"/>
      <c r="Y26" s="2364">
        <f>Y23*Y25</f>
        <v>0</v>
      </c>
      <c r="Z26" s="2345"/>
      <c r="AA26" s="2345"/>
      <c r="AB26" s="2345"/>
      <c r="AC26" s="2345"/>
      <c r="AD26" s="2364">
        <f>AD23*AD25</f>
        <v>0</v>
      </c>
      <c r="AE26" s="2345"/>
      <c r="AF26" s="2345"/>
      <c r="AG26" s="2345"/>
      <c r="AH26" s="2345"/>
      <c r="AI26" s="2364">
        <f>AI23*AI25</f>
        <v>0</v>
      </c>
      <c r="AJ26" s="2345"/>
      <c r="AK26" s="2345"/>
      <c r="AL26" s="2345"/>
      <c r="AM26" s="2345"/>
    </row>
    <row r="27" spans="1:40" ht="12.95" customHeight="1">
      <c r="A27" s="410"/>
      <c r="B27" s="2398" t="s">
        <v>426</v>
      </c>
      <c r="C27" s="2399"/>
      <c r="D27" s="2399"/>
      <c r="E27" s="2399"/>
      <c r="F27" s="2399"/>
      <c r="G27" s="2399"/>
      <c r="H27" s="2399"/>
      <c r="I27" s="2399"/>
      <c r="J27" s="2399"/>
      <c r="K27" s="2399"/>
      <c r="L27" s="2399"/>
      <c r="M27" s="2399"/>
      <c r="N27" s="2399"/>
      <c r="O27" s="2399"/>
      <c r="P27" s="2399"/>
      <c r="Q27" s="2399"/>
      <c r="R27" s="2399"/>
      <c r="S27" s="2400"/>
      <c r="T27" s="2375">
        <f>Application!$AG$445</f>
        <v>1</v>
      </c>
      <c r="U27" s="2376"/>
      <c r="V27" s="2376"/>
      <c r="W27" s="2376"/>
      <c r="X27" s="2376"/>
      <c r="Y27" s="2375">
        <f>Application!$AG$445</f>
        <v>1</v>
      </c>
      <c r="Z27" s="2376"/>
      <c r="AA27" s="2376"/>
      <c r="AB27" s="2376"/>
      <c r="AC27" s="2376"/>
      <c r="AD27" s="2375">
        <f>Application!$AG$445</f>
        <v>1</v>
      </c>
      <c r="AE27" s="2376"/>
      <c r="AF27" s="2376"/>
      <c r="AG27" s="2376"/>
      <c r="AH27" s="2376"/>
      <c r="AI27" s="2375">
        <f>Application!$AG$445</f>
        <v>1</v>
      </c>
      <c r="AJ27" s="2376"/>
      <c r="AK27" s="2376"/>
      <c r="AL27" s="2376"/>
      <c r="AM27" s="2376"/>
    </row>
    <row r="28" spans="1:40" ht="12.95" customHeight="1">
      <c r="A28" s="404"/>
      <c r="B28" s="2351" t="s">
        <v>506</v>
      </c>
      <c r="C28" s="2352"/>
      <c r="D28" s="2352"/>
      <c r="E28" s="2352"/>
      <c r="F28" s="2352"/>
      <c r="G28" s="2352"/>
      <c r="H28" s="2352"/>
      <c r="I28" s="2352"/>
      <c r="J28" s="2352"/>
      <c r="K28" s="2352"/>
      <c r="L28" s="2352"/>
      <c r="M28" s="2352"/>
      <c r="N28" s="2352"/>
      <c r="O28" s="2352"/>
      <c r="P28" s="2352"/>
      <c r="Q28" s="2352"/>
      <c r="R28" s="2352"/>
      <c r="S28" s="2353"/>
      <c r="T28" s="2364">
        <f>IF(ISERROR((T26*T27)),0,(T26*T27))</f>
        <v>142459472</v>
      </c>
      <c r="U28" s="2345"/>
      <c r="V28" s="2345"/>
      <c r="W28" s="2345"/>
      <c r="X28" s="2345"/>
      <c r="Y28" s="2364">
        <f>IF(ISERROR((Y26*Y27)),0,(Y26*Y27))</f>
        <v>0</v>
      </c>
      <c r="Z28" s="2345"/>
      <c r="AA28" s="2345"/>
      <c r="AB28" s="2345"/>
      <c r="AC28" s="2345"/>
      <c r="AD28" s="2364">
        <f>IF(ISERROR((AD26*AD27)),0,(AD26*AD27))</f>
        <v>0</v>
      </c>
      <c r="AE28" s="2345"/>
      <c r="AF28" s="2345"/>
      <c r="AG28" s="2345"/>
      <c r="AH28" s="2345"/>
      <c r="AI28" s="2364">
        <f>IF(ISERROR((AI26*AI27)),0,(AI26*AI27))</f>
        <v>0</v>
      </c>
      <c r="AJ28" s="2345"/>
      <c r="AK28" s="2345"/>
      <c r="AL28" s="2345"/>
      <c r="AM28" s="2345"/>
    </row>
    <row r="29" spans="1:40" ht="12.95" customHeight="1">
      <c r="B29" s="2351" t="s">
        <v>523</v>
      </c>
      <c r="C29" s="2352"/>
      <c r="D29" s="2352"/>
      <c r="E29" s="2352"/>
      <c r="F29" s="2352"/>
      <c r="G29" s="2352"/>
      <c r="H29" s="2352"/>
      <c r="I29" s="2352"/>
      <c r="J29" s="2352"/>
      <c r="K29" s="2352"/>
      <c r="L29" s="2352"/>
      <c r="M29" s="2352"/>
      <c r="N29" s="2352"/>
      <c r="O29" s="2352"/>
      <c r="P29" s="2352"/>
      <c r="Q29" s="2352"/>
      <c r="R29" s="2352"/>
      <c r="S29" s="2353"/>
      <c r="T29" s="2355">
        <f>T28+Y28+AD28+AI28</f>
        <v>142459472</v>
      </c>
      <c r="U29" s="2363"/>
      <c r="V29" s="2363"/>
      <c r="W29" s="2363"/>
      <c r="X29" s="2363"/>
      <c r="Y29" s="2363"/>
      <c r="Z29" s="2363"/>
      <c r="AA29" s="2363"/>
      <c r="AB29" s="2363"/>
      <c r="AC29" s="2363"/>
      <c r="AD29" s="2363"/>
      <c r="AE29" s="2363"/>
      <c r="AF29" s="2363"/>
      <c r="AG29" s="2363"/>
      <c r="AH29" s="2363"/>
      <c r="AI29" s="2363"/>
      <c r="AJ29" s="2363"/>
      <c r="AK29" s="2363"/>
      <c r="AL29" s="2363"/>
      <c r="AM29" s="2364"/>
    </row>
    <row r="30" spans="1:40" ht="12.95" customHeight="1">
      <c r="B30" s="2368" t="s">
        <v>1266</v>
      </c>
      <c r="C30" s="2368"/>
      <c r="D30" s="2368"/>
      <c r="E30" s="2368"/>
      <c r="F30" s="2368"/>
      <c r="G30" s="2368"/>
      <c r="H30" s="2368"/>
      <c r="I30" s="2368"/>
      <c r="J30" s="2368"/>
      <c r="K30" s="2368"/>
      <c r="L30" s="2368"/>
      <c r="M30" s="2368"/>
      <c r="N30" s="2368"/>
      <c r="O30" s="2368"/>
      <c r="P30" s="2368"/>
      <c r="Q30" s="2368"/>
      <c r="R30" s="2368"/>
      <c r="S30" s="2368"/>
      <c r="T30" s="2368"/>
      <c r="U30" s="2368"/>
      <c r="V30" s="2368"/>
      <c r="W30" s="2368"/>
      <c r="X30" s="2368"/>
      <c r="Y30" s="2368"/>
      <c r="Z30" s="2368"/>
      <c r="AA30" s="2368"/>
      <c r="AB30" s="2368"/>
      <c r="AC30" s="2368"/>
      <c r="AD30" s="2368"/>
      <c r="AE30" s="2368"/>
      <c r="AF30" s="2368"/>
      <c r="AG30" s="2368"/>
      <c r="AH30" s="2368"/>
      <c r="AI30" s="2368"/>
      <c r="AJ30" s="2368"/>
      <c r="AK30" s="2368"/>
      <c r="AL30" s="2368"/>
      <c r="AM30" s="2368"/>
    </row>
    <row r="31" spans="1:40" ht="12.95" customHeight="1">
      <c r="B31" s="2368" t="s">
        <v>1265</v>
      </c>
      <c r="C31" s="2368"/>
      <c r="D31" s="2368"/>
      <c r="E31" s="2368"/>
      <c r="F31" s="2368"/>
      <c r="G31" s="2368"/>
      <c r="H31" s="2368"/>
      <c r="I31" s="2368"/>
      <c r="J31" s="2368"/>
      <c r="K31" s="2368"/>
      <c r="L31" s="2368"/>
      <c r="M31" s="2368"/>
      <c r="N31" s="2368"/>
      <c r="O31" s="2368"/>
      <c r="P31" s="2368"/>
      <c r="Q31" s="2368"/>
      <c r="R31" s="2368"/>
      <c r="S31" s="2368"/>
      <c r="T31" s="2368"/>
      <c r="U31" s="2368"/>
      <c r="V31" s="2368"/>
      <c r="W31" s="2368"/>
      <c r="X31" s="2368"/>
      <c r="Y31" s="2368"/>
      <c r="Z31" s="2368"/>
      <c r="AA31" s="2368"/>
      <c r="AB31" s="2368"/>
      <c r="AC31" s="2368"/>
      <c r="AD31" s="2368"/>
      <c r="AE31" s="2368"/>
      <c r="AF31" s="2368"/>
      <c r="AG31" s="2368"/>
      <c r="AH31" s="2368"/>
      <c r="AI31" s="2368"/>
      <c r="AJ31" s="2368"/>
      <c r="AK31" s="2368"/>
      <c r="AL31" s="2368"/>
      <c r="AM31" s="2368"/>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5" t="s">
        <v>1154</v>
      </c>
      <c r="Z35" s="2365"/>
      <c r="AA35" s="2365"/>
      <c r="AB35" s="2365"/>
      <c r="AC35" s="2365"/>
      <c r="AD35" s="2366" t="s">
        <v>369</v>
      </c>
      <c r="AE35" s="2366"/>
      <c r="AF35" s="2366"/>
      <c r="AG35" s="2366"/>
      <c r="AH35" s="2366"/>
    </row>
    <row r="36" spans="1:76" ht="12.95" customHeight="1">
      <c r="B36" s="407"/>
      <c r="X36" s="412"/>
      <c r="Y36" s="2365"/>
      <c r="Z36" s="2365"/>
      <c r="AA36" s="2365"/>
      <c r="AB36" s="2365"/>
      <c r="AC36" s="2365"/>
      <c r="AD36" s="2366"/>
      <c r="AE36" s="2366"/>
      <c r="AF36" s="2366"/>
      <c r="AG36" s="2366"/>
      <c r="AH36" s="2366"/>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5"/>
      <c r="Z37" s="2365"/>
      <c r="AA37" s="2365"/>
      <c r="AB37" s="2365"/>
      <c r="AC37" s="2365"/>
      <c r="AD37" s="2366"/>
      <c r="AE37" s="2366"/>
      <c r="AF37" s="2366"/>
      <c r="AG37" s="2366"/>
      <c r="AH37" s="2366"/>
    </row>
    <row r="38" spans="1:76" ht="12.95" customHeight="1">
      <c r="A38" s="404"/>
      <c r="B38" s="2351" t="s">
        <v>506</v>
      </c>
      <c r="C38" s="2352"/>
      <c r="D38" s="2352"/>
      <c r="E38" s="2352"/>
      <c r="F38" s="2352"/>
      <c r="G38" s="2352"/>
      <c r="H38" s="2352"/>
      <c r="I38" s="2352"/>
      <c r="J38" s="2352"/>
      <c r="K38" s="2352"/>
      <c r="L38" s="2352"/>
      <c r="M38" s="2352"/>
      <c r="N38" s="2352"/>
      <c r="O38" s="2352"/>
      <c r="P38" s="2352"/>
      <c r="Q38" s="2352"/>
      <c r="R38" s="2352"/>
      <c r="S38" s="2352"/>
      <c r="T38" s="2352"/>
      <c r="U38" s="2352"/>
      <c r="V38" s="2352"/>
      <c r="W38" s="2352"/>
      <c r="X38" s="2353"/>
      <c r="Y38" s="2345">
        <f>IF(T24&gt;=(T23+Y23+AD23+AI23),T28+Y28,0)</f>
        <v>142459472</v>
      </c>
      <c r="Z38" s="2345"/>
      <c r="AA38" s="2345"/>
      <c r="AB38" s="2345"/>
      <c r="AC38" s="2345"/>
      <c r="AD38" s="2345">
        <f>IF(T24&gt;=(T23+Y23+AD23+AI23),AD28+AI28,0)</f>
        <v>0</v>
      </c>
      <c r="AE38" s="2345"/>
      <c r="AF38" s="2345"/>
      <c r="AG38" s="2345"/>
      <c r="AH38" s="2345"/>
    </row>
    <row r="39" spans="1:76" ht="12.95" customHeight="1">
      <c r="B39" s="2351" t="s">
        <v>1691</v>
      </c>
      <c r="C39" s="2352"/>
      <c r="D39" s="2352"/>
      <c r="E39" s="2352"/>
      <c r="F39" s="2352"/>
      <c r="G39" s="2352"/>
      <c r="H39" s="2352"/>
      <c r="I39" s="2352"/>
      <c r="J39" s="2352"/>
      <c r="K39" s="2352"/>
      <c r="L39" s="2352"/>
      <c r="M39" s="2352"/>
      <c r="N39" s="2352"/>
      <c r="O39" s="2352"/>
      <c r="P39" s="2352"/>
      <c r="Q39" s="2352"/>
      <c r="R39" s="2352"/>
      <c r="S39" s="2352"/>
      <c r="T39" s="2352"/>
      <c r="U39" s="2352"/>
      <c r="V39" s="2352"/>
      <c r="W39" s="2352"/>
      <c r="X39" s="2353"/>
      <c r="Y39" s="2367">
        <v>0.04</v>
      </c>
      <c r="Z39" s="2367"/>
      <c r="AA39" s="2367"/>
      <c r="AB39" s="2367"/>
      <c r="AC39" s="2367"/>
      <c r="AD39" s="2367">
        <v>0.04</v>
      </c>
      <c r="AE39" s="2367"/>
      <c r="AF39" s="2367"/>
      <c r="AG39" s="2367"/>
      <c r="AH39" s="2367"/>
    </row>
    <row r="40" spans="1:76" ht="12.95" customHeight="1">
      <c r="A40" s="404"/>
      <c r="B40" s="2351" t="s">
        <v>642</v>
      </c>
      <c r="C40" s="2352"/>
      <c r="D40" s="2352"/>
      <c r="E40" s="2352"/>
      <c r="F40" s="2352"/>
      <c r="G40" s="2352"/>
      <c r="H40" s="2352"/>
      <c r="I40" s="2352"/>
      <c r="J40" s="2352"/>
      <c r="K40" s="2352"/>
      <c r="L40" s="2352"/>
      <c r="M40" s="2352"/>
      <c r="N40" s="2352"/>
      <c r="O40" s="2352"/>
      <c r="P40" s="2352"/>
      <c r="Q40" s="2352"/>
      <c r="R40" s="2352"/>
      <c r="S40" s="2352"/>
      <c r="T40" s="2352"/>
      <c r="U40" s="2352"/>
      <c r="V40" s="2352"/>
      <c r="W40" s="2352"/>
      <c r="X40" s="2353"/>
      <c r="Y40" s="2345">
        <f>ROUND(Y38*Y39,0)</f>
        <v>5698379</v>
      </c>
      <c r="Z40" s="2345"/>
      <c r="AA40" s="2345"/>
      <c r="AB40" s="2345"/>
      <c r="AC40" s="2345"/>
      <c r="AD40" s="2364">
        <f>ROUND(AD38*AD39,0)</f>
        <v>0</v>
      </c>
      <c r="AE40" s="2345"/>
      <c r="AF40" s="2345"/>
      <c r="AG40" s="2345"/>
      <c r="AH40" s="2345"/>
    </row>
    <row r="41" spans="1:76" ht="12.95" customHeight="1">
      <c r="B41" s="2351" t="s">
        <v>643</v>
      </c>
      <c r="C41" s="2352"/>
      <c r="D41" s="2352"/>
      <c r="E41" s="2352"/>
      <c r="F41" s="2352"/>
      <c r="G41" s="2352"/>
      <c r="H41" s="2352"/>
      <c r="I41" s="2352"/>
      <c r="J41" s="2352"/>
      <c r="K41" s="2352"/>
      <c r="L41" s="2352"/>
      <c r="M41" s="2352"/>
      <c r="N41" s="2352"/>
      <c r="O41" s="2352"/>
      <c r="P41" s="2352"/>
      <c r="Q41" s="2352"/>
      <c r="R41" s="2352"/>
      <c r="S41" s="2352"/>
      <c r="T41" s="2352"/>
      <c r="U41" s="2352"/>
      <c r="V41" s="2352"/>
      <c r="W41" s="2352"/>
      <c r="X41" s="2353"/>
      <c r="Y41" s="2355">
        <f>Y40+AD40</f>
        <v>5698379</v>
      </c>
      <c r="Z41" s="2363"/>
      <c r="AA41" s="2363"/>
      <c r="AB41" s="2363"/>
      <c r="AC41" s="2363"/>
      <c r="AD41" s="2363"/>
      <c r="AE41" s="2363"/>
      <c r="AF41" s="2363"/>
      <c r="AG41" s="2363"/>
      <c r="AH41" s="2364"/>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62" t="s">
        <v>1276</v>
      </c>
      <c r="B44" s="2362"/>
      <c r="C44" s="2362"/>
      <c r="D44" s="2362"/>
      <c r="E44" s="2362"/>
      <c r="F44" s="2362"/>
      <c r="G44" s="2362"/>
      <c r="H44" s="2362"/>
      <c r="I44" s="2362"/>
      <c r="J44" s="2362"/>
      <c r="K44" s="2362"/>
      <c r="L44" s="2362"/>
      <c r="M44" s="2362"/>
      <c r="N44" s="2362"/>
      <c r="O44" s="2362"/>
      <c r="P44" s="2362"/>
      <c r="Q44" s="2362"/>
      <c r="R44" s="2362"/>
      <c r="S44" s="2362"/>
      <c r="T44" s="2362"/>
      <c r="U44" s="2362"/>
      <c r="V44" s="2362"/>
      <c r="W44" s="2362"/>
      <c r="X44" s="2362"/>
      <c r="Y44" s="2362"/>
      <c r="Z44" s="2362"/>
      <c r="AA44" s="2362"/>
      <c r="AB44" s="2362"/>
      <c r="AC44" s="2362"/>
      <c r="AD44" s="2362"/>
      <c r="AE44" s="2362"/>
      <c r="AF44" s="2362"/>
      <c r="AG44" s="2362"/>
      <c r="AH44" s="2362"/>
      <c r="AI44" s="2362"/>
      <c r="AJ44" s="2362"/>
      <c r="AK44" s="2362"/>
      <c r="AL44" s="2362"/>
      <c r="AM44" s="2362"/>
      <c r="AN44" s="2362"/>
      <c r="AO44" s="2362"/>
      <c r="AP44" s="2362"/>
      <c r="AQ44" s="2362"/>
      <c r="AR44" s="2362"/>
      <c r="AS44" s="2362"/>
      <c r="AT44" s="2362"/>
      <c r="AU44" s="2362"/>
      <c r="AV44" s="2362"/>
      <c r="AW44" s="2362"/>
      <c r="AX44" s="2362"/>
      <c r="AY44" s="2362"/>
      <c r="AZ44" s="2362"/>
      <c r="BA44" s="2362"/>
      <c r="BB44" s="2362"/>
      <c r="BC44" s="2362"/>
      <c r="BD44" s="2362"/>
      <c r="BE44" s="2362"/>
      <c r="BF44" s="2362"/>
      <c r="BG44" s="2362"/>
      <c r="BH44" s="2362"/>
      <c r="BI44" s="2362"/>
      <c r="BJ44" s="2362"/>
      <c r="BK44" s="2362"/>
      <c r="BL44" s="2362"/>
      <c r="BM44" s="2362"/>
      <c r="BN44" s="2362"/>
      <c r="BO44" s="2362"/>
      <c r="BP44" s="2362"/>
      <c r="BQ44" s="2362"/>
      <c r="BR44" s="2362"/>
      <c r="BS44" s="2362"/>
      <c r="BT44" s="2362"/>
      <c r="BU44" s="2362"/>
      <c r="BV44" s="2362"/>
      <c r="BW44" s="2362"/>
      <c r="BX44" s="2362"/>
    </row>
    <row r="45" spans="1:76" s="204" customFormat="1" ht="12.95" customHeight="1" thickTop="1"/>
    <row r="46" spans="1:76" ht="12.95" customHeight="1">
      <c r="A46" s="404" t="s">
        <v>586</v>
      </c>
      <c r="C46" s="404" t="s">
        <v>282</v>
      </c>
    </row>
    <row r="47" spans="1:76" ht="12.95" customHeight="1">
      <c r="D47" s="404" t="s">
        <v>283</v>
      </c>
      <c r="AB47" s="2359">
        <f>'Sources and Uses Budget'!B105-MAX(IF('Sources and Uses Budget'!B15="",0,'Sources and Uses Budget'!B15),IF(Application!AG394="",0,Application!AG394))</f>
        <v>162592874</v>
      </c>
      <c r="AC47" s="2360"/>
      <c r="AD47" s="2360"/>
      <c r="AE47" s="2360"/>
      <c r="AF47" s="2361"/>
    </row>
    <row r="48" spans="1:76" ht="12.95" customHeight="1">
      <c r="D48" s="404" t="s">
        <v>21</v>
      </c>
      <c r="AB48" s="2359">
        <f>Application!AO639-MAX(IF('Sources and Uses Budget'!B15="",0,'Sources and Uses Budget'!B15),IF(Application!AG394="",0,Application!AG394))</f>
        <v>111820203</v>
      </c>
      <c r="AC48" s="2360"/>
      <c r="AD48" s="2360"/>
      <c r="AE48" s="2360"/>
      <c r="AF48" s="2361"/>
    </row>
    <row r="49" spans="1:76" ht="12.95" customHeight="1">
      <c r="D49" s="404" t="s">
        <v>91</v>
      </c>
      <c r="AB49" s="2359">
        <f>AB47-AB48</f>
        <v>50772671</v>
      </c>
      <c r="AC49" s="2360"/>
      <c r="AD49" s="2360"/>
      <c r="AE49" s="2360"/>
      <c r="AF49" s="2361"/>
    </row>
    <row r="50" spans="1:76" ht="12.95" customHeight="1">
      <c r="D50" s="404" t="s">
        <v>681</v>
      </c>
      <c r="AA50" s="415"/>
      <c r="AB50" s="2347">
        <v>0.89100199999999996</v>
      </c>
      <c r="AC50" s="2348"/>
      <c r="AD50" s="2348"/>
      <c r="AE50" s="2348"/>
      <c r="AF50" s="2349"/>
    </row>
    <row r="51" spans="1:76" s="417" customFormat="1" ht="12.95" customHeight="1">
      <c r="A51" s="402"/>
      <c r="B51" s="402"/>
      <c r="C51" s="402"/>
      <c r="D51" s="402"/>
      <c r="E51" s="2358" t="s">
        <v>1850</v>
      </c>
      <c r="F51" s="2358"/>
      <c r="G51" s="2358"/>
      <c r="H51" s="2358"/>
      <c r="I51" s="2358"/>
      <c r="J51" s="2358"/>
      <c r="K51" s="2358"/>
      <c r="L51" s="2358"/>
      <c r="M51" s="2358"/>
      <c r="N51" s="2358"/>
      <c r="O51" s="2358"/>
      <c r="P51" s="2358"/>
      <c r="Q51" s="2358"/>
      <c r="R51" s="2358"/>
      <c r="S51" s="2358"/>
      <c r="T51" s="2358"/>
      <c r="U51" s="2358"/>
      <c r="V51" s="2358"/>
      <c r="W51" s="2358"/>
      <c r="X51" s="2358"/>
      <c r="Y51" s="2358"/>
      <c r="Z51" s="2358"/>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8"/>
      <c r="F52" s="2358"/>
      <c r="G52" s="2358"/>
      <c r="H52" s="2358"/>
      <c r="I52" s="2358"/>
      <c r="J52" s="2358"/>
      <c r="K52" s="2358"/>
      <c r="L52" s="2358"/>
      <c r="M52" s="2358"/>
      <c r="N52" s="2358"/>
      <c r="O52" s="2358"/>
      <c r="P52" s="2358"/>
      <c r="Q52" s="2358"/>
      <c r="R52" s="2358"/>
      <c r="S52" s="2358"/>
      <c r="T52" s="2358"/>
      <c r="U52" s="2358"/>
      <c r="V52" s="2358"/>
      <c r="W52" s="2358"/>
      <c r="X52" s="2358"/>
      <c r="Y52" s="2358"/>
      <c r="Z52" s="2358"/>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9">
        <f>ROUND(IF(ISERROR((AB49/AB50)),0,(AB49/AB50)),0)</f>
        <v>56983790</v>
      </c>
      <c r="AC54" s="2360"/>
      <c r="AD54" s="2360"/>
      <c r="AE54" s="2360"/>
      <c r="AF54" s="2361"/>
    </row>
    <row r="55" spans="1:76" ht="12.95" customHeight="1">
      <c r="D55" s="404" t="s">
        <v>333</v>
      </c>
      <c r="AB55" s="2359">
        <f>(AB54/10)</f>
        <v>5698379</v>
      </c>
      <c r="AC55" s="2360"/>
      <c r="AD55" s="2360"/>
      <c r="AE55" s="2360"/>
      <c r="AF55" s="2361"/>
    </row>
    <row r="56" spans="1:76" ht="12.95" customHeight="1">
      <c r="D56" s="404" t="s">
        <v>756</v>
      </c>
      <c r="AB56" s="2359">
        <f>ROUND((IF((Y41&lt;AB55),Y41,AB55)),0)</f>
        <v>5698379</v>
      </c>
      <c r="AC56" s="2360"/>
      <c r="AD56" s="2360"/>
      <c r="AE56" s="2360"/>
      <c r="AF56" s="2361"/>
    </row>
    <row r="57" spans="1:76" ht="12.95" customHeight="1">
      <c r="D57" s="404" t="s">
        <v>755</v>
      </c>
      <c r="AB57" s="2359">
        <f>ROUND((10*AB56*AB50),0)</f>
        <v>50772671</v>
      </c>
      <c r="AC57" s="2360"/>
      <c r="AD57" s="2360"/>
      <c r="AE57" s="2360"/>
      <c r="AF57" s="2361"/>
    </row>
    <row r="58" spans="1:76" ht="12.95" customHeight="1">
      <c r="D58" s="404"/>
      <c r="AB58" s="423"/>
      <c r="AC58" s="423"/>
      <c r="AD58" s="423"/>
      <c r="AE58" s="423"/>
      <c r="AF58" s="423"/>
    </row>
    <row r="59" spans="1:76" ht="12.95" customHeight="1">
      <c r="D59" s="404" t="s">
        <v>754</v>
      </c>
      <c r="AB59" s="2343">
        <f>AB49-AB57</f>
        <v>0</v>
      </c>
      <c r="AC59" s="2343"/>
      <c r="AD59" s="2343"/>
      <c r="AE59" s="2343"/>
      <c r="AF59" s="2343"/>
    </row>
    <row r="60" spans="1:76" ht="12.95" customHeight="1">
      <c r="D60" s="404"/>
      <c r="AB60" s="423"/>
      <c r="AC60" s="423"/>
      <c r="AD60" s="423"/>
      <c r="AE60" s="423"/>
      <c r="AF60" s="423"/>
    </row>
    <row r="61" spans="1:76" s="204" customFormat="1" ht="12.95" customHeight="1" thickBot="1">
      <c r="A61" s="2362" t="str">
        <f>IF(Application!AP205="yes","Farmworker State Credit", "State Credit" )</f>
        <v>State Credit</v>
      </c>
      <c r="B61" s="2362"/>
      <c r="C61" s="2362"/>
      <c r="D61" s="2362"/>
      <c r="E61" s="2362"/>
      <c r="F61" s="2362"/>
      <c r="G61" s="2362"/>
      <c r="H61" s="2362"/>
      <c r="I61" s="2362"/>
      <c r="J61" s="2362"/>
      <c r="K61" s="2362"/>
      <c r="L61" s="2362"/>
      <c r="M61" s="2362"/>
      <c r="N61" s="2362"/>
      <c r="O61" s="2362"/>
      <c r="P61" s="2362"/>
      <c r="Q61" s="2362"/>
      <c r="R61" s="2362"/>
      <c r="S61" s="2362"/>
      <c r="T61" s="2362"/>
      <c r="U61" s="2362"/>
      <c r="V61" s="2362"/>
      <c r="W61" s="2362"/>
      <c r="X61" s="2362"/>
      <c r="Y61" s="2362"/>
      <c r="Z61" s="2362"/>
      <c r="AA61" s="2362"/>
      <c r="AB61" s="2362"/>
      <c r="AC61" s="2362"/>
      <c r="AD61" s="2362"/>
      <c r="AE61" s="2362"/>
      <c r="AF61" s="2362"/>
      <c r="AG61" s="2362"/>
      <c r="AH61" s="2362"/>
      <c r="AI61" s="2362"/>
      <c r="AJ61" s="2362"/>
      <c r="AK61" s="2362"/>
      <c r="AL61" s="2362"/>
      <c r="AM61" s="2362"/>
      <c r="AN61" s="2362"/>
      <c r="AO61" s="2362"/>
      <c r="AP61" s="2362"/>
      <c r="AQ61" s="2362"/>
      <c r="AR61" s="2362"/>
      <c r="AS61" s="2362"/>
      <c r="AT61" s="2362"/>
      <c r="AU61" s="2362"/>
      <c r="AV61" s="2362"/>
      <c r="AW61" s="2362"/>
      <c r="AX61" s="2362"/>
      <c r="AY61" s="2362"/>
      <c r="AZ61" s="2362"/>
      <c r="BA61" s="2362"/>
      <c r="BB61" s="2362"/>
      <c r="BC61" s="2362"/>
      <c r="BD61" s="2362"/>
      <c r="BE61" s="2362"/>
      <c r="BF61" s="2362"/>
      <c r="BG61" s="2362"/>
      <c r="BH61" s="2362"/>
      <c r="BI61" s="2362"/>
      <c r="BJ61" s="2362"/>
      <c r="BK61" s="2362"/>
      <c r="BL61" s="2362"/>
      <c r="BM61" s="2362"/>
      <c r="BN61" s="2362"/>
      <c r="BO61" s="2362"/>
      <c r="BP61" s="2362"/>
      <c r="BQ61" s="2362"/>
      <c r="BR61" s="2362"/>
      <c r="BS61" s="2362"/>
      <c r="BT61" s="2362"/>
      <c r="BU61" s="2362"/>
      <c r="BV61" s="2362"/>
      <c r="BW61" s="2362"/>
      <c r="BX61" s="2362"/>
    </row>
    <row r="62" spans="1:76" s="204" customFormat="1" ht="12.95" customHeight="1" thickTop="1"/>
    <row r="63" spans="1:76" ht="12.95" customHeight="1">
      <c r="A63" s="404" t="s">
        <v>589</v>
      </c>
      <c r="C63" s="205" t="s">
        <v>1248</v>
      </c>
      <c r="Y63" s="2354" t="s">
        <v>984</v>
      </c>
      <c r="Z63" s="2354"/>
      <c r="AA63" s="2354"/>
      <c r="AB63" s="2354"/>
      <c r="AC63" s="2354"/>
      <c r="AD63" s="2354" t="s">
        <v>369</v>
      </c>
      <c r="AE63" s="2354"/>
      <c r="AF63" s="2354"/>
      <c r="AG63" s="2354"/>
      <c r="AH63" s="2354"/>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55">
        <f>IF(Application!$Z$205="(select)",0,((T23*T27)+Y28))</f>
        <v>0</v>
      </c>
      <c r="Z64" s="2356"/>
      <c r="AA64" s="2356"/>
      <c r="AB64" s="2356"/>
      <c r="AC64" s="2357"/>
      <c r="AD64" s="2355">
        <f>IF(AND(OR(Application!D211="At-Risk",Application!D211="At-Risk and Special Needs"),Application!M358="yes"),AD28+AI28,0)</f>
        <v>0</v>
      </c>
      <c r="AE64" s="2356"/>
      <c r="AF64" s="2356"/>
      <c r="AG64" s="2356"/>
      <c r="AH64" s="2357"/>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44" cm="1">
        <f t="array" ref="Y67">_xlfn.IFS(OR(Application!Z205="State Farmworker Credit",Application!Z205="$500M (Farmworker Housing)"),0.75,Application!Z205="15% set-aside",0.13,Application!Z205="15% set-aside with qualifying low value rehab",0.95,Application!Z205="$500M",0.3,TRUE,0)</f>
        <v>0</v>
      </c>
      <c r="Z67" s="2344"/>
      <c r="AA67" s="2344"/>
      <c r="AB67" s="2344"/>
      <c r="AC67" s="2344"/>
      <c r="AD67" s="2344" cm="1">
        <f t="array" ref="AD67">_xlfn.IFS(Application!Z205="15% set-aside with qualifying low value rehab", 0.95,OR(Application!D211="At-Risk",'Points System'!B13="Yes"),0.13,TRUE,0)</f>
        <v>0</v>
      </c>
      <c r="AE67" s="2344"/>
      <c r="AF67" s="2344"/>
      <c r="AG67" s="2344"/>
      <c r="AH67" s="2344"/>
    </row>
    <row r="68" spans="1:36" ht="12.95" customHeight="1">
      <c r="C68" s="404"/>
      <c r="D68" s="205" t="s">
        <v>2226</v>
      </c>
      <c r="Y68" s="2345">
        <f>ROUND(Y64*Y67,0)</f>
        <v>0</v>
      </c>
      <c r="Z68" s="2346"/>
      <c r="AA68" s="2346"/>
      <c r="AB68" s="2346"/>
      <c r="AC68" s="2346"/>
      <c r="AD68" s="2345">
        <f>ROUND(AD64*AD67,0)</f>
        <v>0</v>
      </c>
      <c r="AE68" s="2346"/>
      <c r="AF68" s="2346"/>
      <c r="AG68" s="2346"/>
      <c r="AH68" s="2346"/>
    </row>
    <row r="69" spans="1:36" ht="12.95" customHeight="1">
      <c r="C69" s="404"/>
      <c r="D69" s="205" t="s">
        <v>2227</v>
      </c>
      <c r="Y69" s="2345">
        <f>IF(OR(Application!Z205="State Farmworker Credit",Application!Z205="$500M (Farmworker Housing)"),Y68+AD68,MIN(Y68+AD68,200000*(Application!G753+Application!O777)))</f>
        <v>0</v>
      </c>
      <c r="Z69" s="2345"/>
      <c r="AA69" s="2345"/>
      <c r="AB69" s="2345"/>
      <c r="AC69" s="2345"/>
      <c r="AD69" s="2345"/>
      <c r="AE69" s="2345"/>
      <c r="AF69" s="2345"/>
      <c r="AG69" s="2345"/>
      <c r="AH69" s="2345"/>
    </row>
    <row r="70" spans="1:36" ht="12.95" customHeight="1">
      <c r="C70" s="404"/>
      <c r="E70" s="404"/>
      <c r="AB70" s="422"/>
      <c r="AC70" s="422"/>
      <c r="AD70" s="422"/>
      <c r="AE70" s="422"/>
      <c r="AF70" s="422"/>
    </row>
    <row r="71" spans="1:36" ht="12.95" customHeight="1">
      <c r="A71" s="404" t="s">
        <v>590</v>
      </c>
      <c r="C71" s="205" t="s">
        <v>284</v>
      </c>
    </row>
    <row r="72" spans="1:36" ht="12.95" customHeight="1">
      <c r="A72" s="404"/>
      <c r="C72" s="404"/>
      <c r="D72" s="205" t="s">
        <v>1250</v>
      </c>
      <c r="AB72" s="2347"/>
      <c r="AC72" s="2348"/>
      <c r="AD72" s="2348"/>
      <c r="AE72" s="2348"/>
      <c r="AF72" s="2349"/>
    </row>
    <row r="73" spans="1:36" ht="12.95" customHeight="1">
      <c r="A73" s="404"/>
      <c r="C73" s="404"/>
      <c r="D73" s="404"/>
      <c r="E73" s="2350" t="s">
        <v>1251</v>
      </c>
      <c r="F73" s="2350"/>
      <c r="G73" s="2350"/>
      <c r="H73" s="2350"/>
      <c r="I73" s="2350"/>
      <c r="J73" s="2350"/>
      <c r="K73" s="2350"/>
      <c r="L73" s="2350"/>
      <c r="M73" s="2350"/>
      <c r="N73" s="2350"/>
      <c r="O73" s="2350"/>
      <c r="P73" s="2350"/>
      <c r="Q73" s="2350"/>
      <c r="R73" s="2350"/>
      <c r="S73" s="2350"/>
      <c r="T73" s="2350"/>
      <c r="U73" s="2350"/>
      <c r="V73" s="2350"/>
      <c r="W73" s="2350"/>
      <c r="X73" s="2350"/>
      <c r="Y73" s="2350"/>
      <c r="Z73" s="2350"/>
      <c r="AA73" s="2350"/>
      <c r="AB73" s="438"/>
      <c r="AC73" s="438"/>
    </row>
    <row r="74" spans="1:36" ht="12.95" customHeight="1">
      <c r="A74" s="404"/>
      <c r="C74" s="404"/>
      <c r="D74" s="404"/>
      <c r="E74" s="2350"/>
      <c r="F74" s="2350"/>
      <c r="G74" s="2350"/>
      <c r="H74" s="2350"/>
      <c r="I74" s="2350"/>
      <c r="J74" s="2350"/>
      <c r="K74" s="2350"/>
      <c r="L74" s="2350"/>
      <c r="M74" s="2350"/>
      <c r="N74" s="2350"/>
      <c r="O74" s="2350"/>
      <c r="P74" s="2350"/>
      <c r="Q74" s="2350"/>
      <c r="R74" s="2350"/>
      <c r="S74" s="2350"/>
      <c r="T74" s="2350"/>
      <c r="U74" s="2350"/>
      <c r="V74" s="2350"/>
      <c r="W74" s="2350"/>
      <c r="X74" s="2350"/>
      <c r="Y74" s="2350"/>
      <c r="Z74" s="2350"/>
      <c r="AA74" s="2350"/>
      <c r="AB74" s="438"/>
      <c r="AC74" s="438"/>
    </row>
    <row r="75" spans="1:36" ht="12.95" customHeight="1">
      <c r="A75" s="404"/>
      <c r="C75" s="404"/>
      <c r="D75" s="404"/>
      <c r="E75" s="2350"/>
      <c r="F75" s="2350"/>
      <c r="G75" s="2350"/>
      <c r="H75" s="2350"/>
      <c r="I75" s="2350"/>
      <c r="J75" s="2350"/>
      <c r="K75" s="2350"/>
      <c r="L75" s="2350"/>
      <c r="M75" s="2350"/>
      <c r="N75" s="2350"/>
      <c r="O75" s="2350"/>
      <c r="P75" s="2350"/>
      <c r="Q75" s="2350"/>
      <c r="R75" s="2350"/>
      <c r="S75" s="2350"/>
      <c r="T75" s="2350"/>
      <c r="U75" s="2350"/>
      <c r="V75" s="2350"/>
      <c r="W75" s="2350"/>
      <c r="X75" s="2350"/>
      <c r="Y75" s="2350"/>
      <c r="Z75" s="2350"/>
      <c r="AA75" s="2350"/>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38">
        <f>ROUND(IF(ISERROR((AB59/AB72)),0,(AB59/AB72)),0)</f>
        <v>0</v>
      </c>
      <c r="AC77" s="2338"/>
      <c r="AD77" s="2338"/>
      <c r="AE77" s="2338"/>
      <c r="AF77" s="2338"/>
    </row>
    <row r="78" spans="1:36" ht="12.95" customHeight="1">
      <c r="C78" s="404"/>
      <c r="D78" s="205" t="s">
        <v>1253</v>
      </c>
      <c r="AB78" s="2339">
        <f>ROUNDUP(MIN(Y69,AB77),0)</f>
        <v>0</v>
      </c>
      <c r="AC78" s="2340"/>
      <c r="AD78" s="2340"/>
      <c r="AE78" s="2340"/>
      <c r="AF78" s="2341"/>
    </row>
    <row r="79" spans="1:36" ht="12.95" customHeight="1">
      <c r="C79" s="404"/>
      <c r="D79" s="205" t="s">
        <v>1254</v>
      </c>
      <c r="AB79" s="2342">
        <f>AB78*AB72</f>
        <v>0</v>
      </c>
      <c r="AC79" s="2342"/>
      <c r="AD79" s="2342"/>
      <c r="AE79" s="2342"/>
      <c r="AF79" s="2342"/>
    </row>
    <row r="80" spans="1:36" ht="12.95" customHeight="1">
      <c r="C80" s="404"/>
      <c r="D80" s="404"/>
      <c r="AB80" s="425"/>
      <c r="AC80" s="425"/>
      <c r="AD80" s="425"/>
      <c r="AE80" s="425"/>
      <c r="AF80" s="425"/>
    </row>
    <row r="81" spans="1:78" ht="12.95" customHeight="1">
      <c r="D81" s="404" t="s">
        <v>754</v>
      </c>
      <c r="AB81" s="2343">
        <f>AB49-(AB57+AB79)</f>
        <v>0</v>
      </c>
      <c r="AC81" s="2343"/>
      <c r="AD81" s="2343"/>
      <c r="AE81" s="2343"/>
      <c r="AF81" s="2343"/>
    </row>
    <row r="82" spans="1:78" ht="12.95" customHeight="1">
      <c r="F82" s="522"/>
      <c r="J82" s="522" t="str">
        <f>IF(AB81&gt;0,"FUNDING GAP MUST NOT EXCEED ZERO","")</f>
        <v/>
      </c>
    </row>
    <row r="83" spans="1:78" ht="12.95" customHeight="1">
      <c r="D83" s="523"/>
    </row>
    <row r="84" spans="1:78" ht="12.95" customHeight="1" thickBot="1">
      <c r="A84" s="2362"/>
      <c r="B84" s="2362"/>
      <c r="C84" s="2362"/>
      <c r="D84" s="2362"/>
      <c r="E84" s="2362"/>
      <c r="F84" s="2362"/>
      <c r="G84" s="2362"/>
      <c r="H84" s="2362"/>
      <c r="I84" s="2362"/>
      <c r="J84" s="2362"/>
      <c r="K84" s="2362"/>
      <c r="L84" s="2362"/>
      <c r="M84" s="2362"/>
      <c r="N84" s="2362"/>
      <c r="O84" s="2362"/>
      <c r="P84" s="2362"/>
      <c r="Q84" s="2362"/>
      <c r="R84" s="2362"/>
      <c r="S84" s="2362"/>
      <c r="T84" s="2362"/>
      <c r="U84" s="2362"/>
      <c r="V84" s="2362"/>
      <c r="W84" s="2362"/>
      <c r="X84" s="2362"/>
      <c r="Y84" s="2362"/>
      <c r="Z84" s="2362"/>
      <c r="AA84" s="2362"/>
      <c r="AB84" s="2362"/>
      <c r="AC84" s="2362"/>
      <c r="AD84" s="2362"/>
      <c r="AE84" s="2362"/>
      <c r="AF84" s="2362"/>
      <c r="AG84" s="2362"/>
      <c r="AH84" s="2362"/>
      <c r="AI84" s="2362"/>
      <c r="AJ84" s="2362"/>
      <c r="AK84" s="2362"/>
      <c r="AL84" s="2362"/>
      <c r="AM84" s="2362"/>
      <c r="AN84" s="2362"/>
      <c r="AO84" s="2362"/>
      <c r="AP84" s="2362"/>
      <c r="AQ84" s="2362"/>
      <c r="AR84" s="2362"/>
      <c r="AS84" s="2362"/>
      <c r="AT84" s="2362"/>
      <c r="AU84" s="2362"/>
      <c r="AV84" s="2362"/>
      <c r="AW84" s="2362"/>
      <c r="AX84" s="2362"/>
      <c r="AY84" s="2362"/>
      <c r="AZ84" s="2362"/>
      <c r="BA84" s="2362"/>
      <c r="BB84" s="2362"/>
      <c r="BC84" s="2362"/>
      <c r="BD84" s="2362"/>
      <c r="BE84" s="2362"/>
      <c r="BF84" s="2362"/>
      <c r="BG84" s="2362"/>
      <c r="BH84" s="2362"/>
      <c r="BI84" s="2362"/>
      <c r="BJ84" s="2362"/>
      <c r="BK84" s="2362"/>
      <c r="BL84" s="2362"/>
      <c r="BM84" s="2362"/>
      <c r="BN84" s="2362"/>
      <c r="BO84" s="2362"/>
      <c r="BP84" s="2362"/>
      <c r="BQ84" s="2362"/>
      <c r="BR84" s="2362"/>
      <c r="BS84" s="2362"/>
      <c r="BT84" s="2362"/>
      <c r="BU84" s="2362"/>
      <c r="BV84" s="2362"/>
      <c r="BW84" s="2362"/>
      <c r="BX84" s="2362"/>
    </row>
    <row r="85" spans="1:78" ht="12.95" customHeight="1" thickTop="1"/>
    <row r="86" spans="1:78" ht="12.95" customHeight="1">
      <c r="A86" s="404"/>
      <c r="C86" s="205"/>
    </row>
    <row r="87" spans="1:78" ht="12.95" customHeight="1">
      <c r="D87" s="205"/>
      <c r="AB87" s="2394"/>
      <c r="AC87" s="2394"/>
      <c r="AD87" s="2394"/>
      <c r="AE87" s="2394"/>
      <c r="AF87" s="2394"/>
    </row>
    <row r="88" spans="1:78" ht="12.95" customHeight="1" thickBot="1">
      <c r="D88" s="205"/>
      <c r="AB88" s="2393"/>
      <c r="AC88" s="2393"/>
      <c r="AD88" s="2393"/>
      <c r="AE88" s="2393"/>
      <c r="AF88" s="2393"/>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616" workbookViewId="0">
      <selection activeCell="E625" sqref="E625:AD63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36" t="s">
        <v>1300</v>
      </c>
      <c r="B1" s="2436"/>
      <c r="C1" s="2436"/>
      <c r="D1" s="2436"/>
      <c r="E1" s="2436"/>
      <c r="F1" s="2436"/>
      <c r="G1" s="2436"/>
      <c r="H1" s="2436"/>
      <c r="I1" s="2436"/>
      <c r="J1" s="2436"/>
      <c r="K1" s="2436"/>
      <c r="L1" s="2436"/>
      <c r="M1" s="2436"/>
      <c r="N1" s="2436"/>
      <c r="O1" s="2436"/>
      <c r="P1" s="2436"/>
      <c r="Q1" s="2436"/>
      <c r="R1" s="2436"/>
      <c r="S1" s="2436"/>
      <c r="T1" s="2436"/>
      <c r="U1" s="2436"/>
      <c r="V1" s="2436"/>
      <c r="W1" s="2436"/>
      <c r="X1" s="2436"/>
      <c r="Y1" s="2436"/>
      <c r="Z1" s="2436"/>
      <c r="AA1" s="2436"/>
      <c r="AB1" s="2436"/>
      <c r="AC1" s="2436"/>
      <c r="AD1" s="2436"/>
      <c r="AE1" s="2436"/>
      <c r="AF1" s="2436"/>
      <c r="AG1" s="2436"/>
      <c r="AH1" s="2436"/>
      <c r="AI1" s="2436"/>
      <c r="AJ1" s="2436"/>
      <c r="AK1" s="2436"/>
      <c r="AL1" s="2436"/>
      <c r="AM1" s="2436"/>
    </row>
    <row r="2" spans="1:42" s="536" customFormat="1" ht="12.75" customHeight="1" thickBot="1">
      <c r="A2" s="2437"/>
      <c r="B2" s="2437"/>
      <c r="C2" s="2437"/>
      <c r="D2" s="2437"/>
      <c r="E2" s="2437"/>
      <c r="F2" s="2437"/>
      <c r="G2" s="2437"/>
      <c r="H2" s="2437"/>
      <c r="I2" s="2437"/>
      <c r="J2" s="2437"/>
      <c r="K2" s="2437"/>
      <c r="L2" s="2437"/>
      <c r="M2" s="2437"/>
      <c r="N2" s="2437"/>
      <c r="O2" s="2437"/>
      <c r="P2" s="2437"/>
      <c r="Q2" s="2437"/>
      <c r="R2" s="2437"/>
      <c r="S2" s="2437"/>
      <c r="T2" s="2437"/>
      <c r="U2" s="2437"/>
      <c r="V2" s="2437"/>
      <c r="W2" s="2437"/>
      <c r="X2" s="2437"/>
      <c r="Y2" s="2437"/>
      <c r="Z2" s="2437"/>
      <c r="AA2" s="2437"/>
      <c r="AB2" s="2437"/>
      <c r="AC2" s="2437"/>
      <c r="AD2" s="2437"/>
      <c r="AE2" s="2437"/>
      <c r="AF2" s="2437"/>
      <c r="AG2" s="2437"/>
      <c r="AH2" s="2437"/>
      <c r="AI2" s="2437"/>
      <c r="AJ2" s="2437"/>
      <c r="AK2" s="2437"/>
      <c r="AL2" s="2437"/>
      <c r="AM2" s="2437"/>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7" t="s">
        <v>1305</v>
      </c>
      <c r="AF7" s="2417"/>
      <c r="AG7" s="2417"/>
      <c r="AH7" s="2417"/>
      <c r="AI7" s="2417"/>
      <c r="AJ7" s="2417"/>
      <c r="AK7" s="2417"/>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7" t="s">
        <v>591</v>
      </c>
      <c r="C13" s="2407"/>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8"/>
      <c r="AH13" s="2438"/>
      <c r="AI13" s="2438"/>
      <c r="AJ13" s="2439"/>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7" t="s">
        <v>591</v>
      </c>
      <c r="C16" s="2407"/>
      <c r="D16" s="547"/>
      <c r="E16" s="2418" t="s">
        <v>1307</v>
      </c>
      <c r="F16" s="2419"/>
      <c r="G16" s="2419"/>
      <c r="H16" s="2419"/>
      <c r="I16" s="2419"/>
      <c r="J16" s="2419"/>
      <c r="K16" s="2419"/>
      <c r="L16" s="2419"/>
      <c r="M16" s="2419"/>
      <c r="N16" s="2419"/>
      <c r="O16" s="2419"/>
      <c r="P16" s="2419"/>
      <c r="Q16" s="2419"/>
      <c r="R16" s="2419"/>
      <c r="S16" s="2419"/>
      <c r="T16" s="2419"/>
      <c r="U16" s="2419"/>
      <c r="V16" s="2419"/>
      <c r="W16" s="2419"/>
      <c r="X16" s="2419"/>
      <c r="Y16" s="2419"/>
      <c r="Z16" s="2419"/>
      <c r="AA16" s="2419"/>
      <c r="AB16" s="2419"/>
      <c r="AC16" s="2419"/>
      <c r="AD16" s="2419"/>
      <c r="AE16" s="2419"/>
      <c r="AF16" s="2419"/>
      <c r="AG16" s="2419"/>
      <c r="AH16" s="2419"/>
      <c r="AI16" s="2419"/>
      <c r="AJ16" s="2420"/>
      <c r="AK16" s="540"/>
      <c r="AL16" s="540"/>
      <c r="AM16" s="540"/>
      <c r="AN16" s="535"/>
      <c r="AO16" s="550">
        <f>IF($B25="yes",20,0)</f>
        <v>0</v>
      </c>
      <c r="AP16" s="14"/>
    </row>
    <row r="17" spans="1:42" s="536" customFormat="1" ht="12.75" customHeight="1">
      <c r="A17" s="540"/>
      <c r="B17" s="540"/>
      <c r="C17" s="540"/>
      <c r="D17" s="551"/>
      <c r="E17" s="2421"/>
      <c r="F17" s="2422"/>
      <c r="G17" s="2422"/>
      <c r="H17" s="2422"/>
      <c r="I17" s="2422"/>
      <c r="J17" s="2422"/>
      <c r="K17" s="2422"/>
      <c r="L17" s="2422"/>
      <c r="M17" s="2422"/>
      <c r="N17" s="2422"/>
      <c r="O17" s="2422"/>
      <c r="P17" s="2422"/>
      <c r="Q17" s="2422"/>
      <c r="R17" s="2422"/>
      <c r="S17" s="2422"/>
      <c r="T17" s="2422"/>
      <c r="U17" s="2422"/>
      <c r="V17" s="2422"/>
      <c r="W17" s="2422"/>
      <c r="X17" s="2422"/>
      <c r="Y17" s="2422"/>
      <c r="Z17" s="2422"/>
      <c r="AA17" s="2422"/>
      <c r="AB17" s="2422"/>
      <c r="AC17" s="2422"/>
      <c r="AD17" s="2422"/>
      <c r="AE17" s="2422"/>
      <c r="AF17" s="2422"/>
      <c r="AG17" s="2422"/>
      <c r="AH17" s="2422"/>
      <c r="AI17" s="2422"/>
      <c r="AJ17" s="2423"/>
      <c r="AK17" s="540"/>
      <c r="AL17" s="540"/>
      <c r="AM17" s="540"/>
      <c r="AN17" s="535"/>
      <c r="AO17" s="550">
        <f>IF($B28="yes",20,0)</f>
        <v>0</v>
      </c>
    </row>
    <row r="18" spans="1:42" s="536" customFormat="1" ht="12.75" customHeight="1">
      <c r="A18" s="540"/>
      <c r="B18" s="540"/>
      <c r="C18" s="540"/>
      <c r="D18" s="551"/>
      <c r="E18" s="2421"/>
      <c r="F18" s="2422"/>
      <c r="G18" s="2422"/>
      <c r="H18" s="2422"/>
      <c r="I18" s="2422"/>
      <c r="J18" s="2422"/>
      <c r="K18" s="2422"/>
      <c r="L18" s="2422"/>
      <c r="M18" s="2422"/>
      <c r="N18" s="2422"/>
      <c r="O18" s="2422"/>
      <c r="P18" s="2422"/>
      <c r="Q18" s="2422"/>
      <c r="R18" s="2422"/>
      <c r="S18" s="2422"/>
      <c r="T18" s="2422"/>
      <c r="U18" s="2422"/>
      <c r="V18" s="2422"/>
      <c r="W18" s="2422"/>
      <c r="X18" s="2422"/>
      <c r="Y18" s="2422"/>
      <c r="Z18" s="2422"/>
      <c r="AA18" s="2422"/>
      <c r="AB18" s="2422"/>
      <c r="AC18" s="2422"/>
      <c r="AD18" s="2422"/>
      <c r="AE18" s="2422"/>
      <c r="AF18" s="2422"/>
      <c r="AG18" s="2422"/>
      <c r="AH18" s="2422"/>
      <c r="AI18" s="2422"/>
      <c r="AJ18" s="2423"/>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9"/>
      <c r="F20" s="2450"/>
      <c r="G20" s="2450"/>
      <c r="H20" s="2450"/>
      <c r="I20" s="2450"/>
      <c r="J20" s="2450"/>
      <c r="K20" s="2450"/>
      <c r="L20" s="2450"/>
      <c r="M20" s="2450"/>
      <c r="N20" s="2450"/>
      <c r="O20" s="2450"/>
      <c r="P20" s="2450"/>
      <c r="Q20" s="2450"/>
      <c r="R20" s="2450"/>
      <c r="S20" s="2450"/>
      <c r="T20" s="2450"/>
      <c r="U20" s="2450"/>
      <c r="V20" s="2450"/>
      <c r="W20" s="2450"/>
      <c r="X20" s="2450"/>
      <c r="Y20" s="2450"/>
      <c r="Z20" s="2450"/>
      <c r="AA20" s="2450"/>
      <c r="AB20" s="2450"/>
      <c r="AC20" s="2450"/>
      <c r="AD20" s="2450"/>
      <c r="AE20" s="2450"/>
      <c r="AF20" s="2450"/>
      <c r="AG20" s="2450"/>
      <c r="AH20" s="2450"/>
      <c r="AI20" s="2450"/>
      <c r="AJ20" s="2451"/>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7" t="s">
        <v>591</v>
      </c>
      <c r="C22" s="2407"/>
      <c r="D22" s="547"/>
      <c r="E22" s="2443" t="s">
        <v>1310</v>
      </c>
      <c r="F22" s="2444"/>
      <c r="G22" s="2444"/>
      <c r="H22" s="2444"/>
      <c r="I22" s="2444"/>
      <c r="J22" s="2444"/>
      <c r="K22" s="2444"/>
      <c r="L22" s="2444"/>
      <c r="M22" s="2444"/>
      <c r="N22" s="2444"/>
      <c r="O22" s="2444"/>
      <c r="P22" s="2444"/>
      <c r="Q22" s="2444"/>
      <c r="R22" s="2444"/>
      <c r="S22" s="2444"/>
      <c r="T22" s="2444"/>
      <c r="U22" s="2444"/>
      <c r="V22" s="2444"/>
      <c r="W22" s="2444"/>
      <c r="X22" s="2444"/>
      <c r="Y22" s="2444"/>
      <c r="Z22" s="2444"/>
      <c r="AA22" s="2444"/>
      <c r="AB22" s="2444"/>
      <c r="AC22" s="2444"/>
      <c r="AD22" s="2444"/>
      <c r="AE22" s="2444"/>
      <c r="AF22" s="2444"/>
      <c r="AG22" s="2444"/>
      <c r="AH22" s="2444"/>
      <c r="AI22" s="2444"/>
      <c r="AJ22" s="2445"/>
      <c r="AK22" s="540"/>
      <c r="AL22" s="540"/>
      <c r="AM22" s="540"/>
      <c r="AN22" s="535"/>
      <c r="AO22" s="550">
        <f>IF($B40="yes",14,0)</f>
        <v>0</v>
      </c>
    </row>
    <row r="23" spans="1:42" s="536" customFormat="1" ht="12.75" customHeight="1">
      <c r="A23" s="540"/>
      <c r="B23" s="540"/>
      <c r="C23" s="540"/>
      <c r="D23" s="550"/>
      <c r="E23" s="2446"/>
      <c r="F23" s="2447"/>
      <c r="G23" s="2447"/>
      <c r="H23" s="2447"/>
      <c r="I23" s="2447"/>
      <c r="J23" s="2447"/>
      <c r="K23" s="2447"/>
      <c r="L23" s="2447"/>
      <c r="M23" s="2447"/>
      <c r="N23" s="2447"/>
      <c r="O23" s="2447"/>
      <c r="P23" s="2447"/>
      <c r="Q23" s="2447"/>
      <c r="R23" s="2447"/>
      <c r="S23" s="2447"/>
      <c r="T23" s="2447"/>
      <c r="U23" s="2447"/>
      <c r="V23" s="2447"/>
      <c r="W23" s="2447"/>
      <c r="X23" s="2447"/>
      <c r="Y23" s="2447"/>
      <c r="Z23" s="2447"/>
      <c r="AA23" s="2447"/>
      <c r="AB23" s="2447"/>
      <c r="AC23" s="2447"/>
      <c r="AD23" s="2447"/>
      <c r="AE23" s="2447"/>
      <c r="AF23" s="2447"/>
      <c r="AG23" s="2447"/>
      <c r="AH23" s="2447"/>
      <c r="AI23" s="2447"/>
      <c r="AJ23" s="2448"/>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7" t="s">
        <v>591</v>
      </c>
      <c r="C25" s="2407"/>
      <c r="D25" s="547"/>
      <c r="E25" s="2408" t="s">
        <v>2034</v>
      </c>
      <c r="F25" s="2409"/>
      <c r="G25" s="2409"/>
      <c r="H25" s="2409"/>
      <c r="I25" s="2409"/>
      <c r="J25" s="2409"/>
      <c r="K25" s="2409"/>
      <c r="L25" s="2409"/>
      <c r="M25" s="2409"/>
      <c r="N25" s="2409"/>
      <c r="O25" s="2409"/>
      <c r="P25" s="2409"/>
      <c r="Q25" s="2409"/>
      <c r="R25" s="2409"/>
      <c r="S25" s="2409"/>
      <c r="T25" s="2409"/>
      <c r="U25" s="2409"/>
      <c r="V25" s="2409"/>
      <c r="W25" s="2409"/>
      <c r="X25" s="2409"/>
      <c r="Y25" s="2409"/>
      <c r="Z25" s="2409"/>
      <c r="AA25" s="2409"/>
      <c r="AB25" s="2409"/>
      <c r="AC25" s="2409"/>
      <c r="AD25" s="2409"/>
      <c r="AE25" s="2409"/>
      <c r="AF25" s="2409"/>
      <c r="AG25" s="2409"/>
      <c r="AH25" s="2409"/>
      <c r="AI25" s="2409"/>
      <c r="AJ25" s="2410"/>
      <c r="AK25" s="540"/>
      <c r="AL25" s="540"/>
      <c r="AM25" s="540"/>
      <c r="AN25" s="535"/>
      <c r="AO25" s="550">
        <f>IF($B45="yes",6,0)</f>
        <v>0</v>
      </c>
    </row>
    <row r="26" spans="1:42" s="536" customFormat="1" ht="12.75" customHeight="1">
      <c r="A26" s="540"/>
      <c r="B26" s="540"/>
      <c r="C26" s="540"/>
      <c r="D26" s="550"/>
      <c r="E26" s="2411"/>
      <c r="F26" s="2412"/>
      <c r="G26" s="2412"/>
      <c r="H26" s="2412"/>
      <c r="I26" s="2412"/>
      <c r="J26" s="2412"/>
      <c r="K26" s="2412"/>
      <c r="L26" s="2412"/>
      <c r="M26" s="2412"/>
      <c r="N26" s="2412"/>
      <c r="O26" s="2412"/>
      <c r="P26" s="2412"/>
      <c r="Q26" s="2412"/>
      <c r="R26" s="2412"/>
      <c r="S26" s="2412"/>
      <c r="T26" s="2412"/>
      <c r="U26" s="2412"/>
      <c r="V26" s="2412"/>
      <c r="W26" s="2412"/>
      <c r="X26" s="2412"/>
      <c r="Y26" s="2412"/>
      <c r="Z26" s="2412"/>
      <c r="AA26" s="2412"/>
      <c r="AB26" s="2412"/>
      <c r="AC26" s="2412"/>
      <c r="AD26" s="2412"/>
      <c r="AE26" s="2412"/>
      <c r="AF26" s="2412"/>
      <c r="AG26" s="2412"/>
      <c r="AH26" s="2412"/>
      <c r="AI26" s="2412"/>
      <c r="AJ26" s="2413"/>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7" t="s">
        <v>591</v>
      </c>
      <c r="C28" s="2407"/>
      <c r="D28" s="547"/>
      <c r="E28" s="2431" t="s">
        <v>2250</v>
      </c>
      <c r="F28" s="2432"/>
      <c r="G28" s="2432"/>
      <c r="H28" s="2432"/>
      <c r="I28" s="2432"/>
      <c r="J28" s="2432"/>
      <c r="K28" s="2432"/>
      <c r="L28" s="2432"/>
      <c r="M28" s="2432"/>
      <c r="N28" s="2432"/>
      <c r="O28" s="2432"/>
      <c r="P28" s="2432"/>
      <c r="Q28" s="2432"/>
      <c r="R28" s="2432"/>
      <c r="S28" s="2432"/>
      <c r="T28" s="2432"/>
      <c r="U28" s="2432"/>
      <c r="V28" s="2432"/>
      <c r="W28" s="2432"/>
      <c r="X28" s="2432"/>
      <c r="Y28" s="2432"/>
      <c r="Z28" s="2432"/>
      <c r="AA28" s="2432"/>
      <c r="AB28" s="2432"/>
      <c r="AC28" s="2432"/>
      <c r="AD28" s="2432"/>
      <c r="AE28" s="2432"/>
      <c r="AF28" s="2432"/>
      <c r="AG28" s="2432"/>
      <c r="AH28" s="2432"/>
      <c r="AI28" s="2432"/>
      <c r="AJ28" s="243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407" t="s">
        <v>591</v>
      </c>
      <c r="C33" s="2407"/>
      <c r="D33" s="547"/>
      <c r="E33" s="2443" t="s">
        <v>2252</v>
      </c>
      <c r="F33" s="2444"/>
      <c r="G33" s="2444"/>
      <c r="H33" s="2444"/>
      <c r="I33" s="2444"/>
      <c r="J33" s="2444"/>
      <c r="K33" s="2444"/>
      <c r="L33" s="2444"/>
      <c r="M33" s="2444"/>
      <c r="N33" s="2444"/>
      <c r="O33" s="2444"/>
      <c r="P33" s="2444"/>
      <c r="Q33" s="2444"/>
      <c r="R33" s="2444"/>
      <c r="S33" s="2444"/>
      <c r="T33" s="2444"/>
      <c r="U33" s="2444"/>
      <c r="V33" s="2444"/>
      <c r="W33" s="2444"/>
      <c r="X33" s="2444"/>
      <c r="Y33" s="2444"/>
      <c r="Z33" s="2444"/>
      <c r="AA33" s="2444"/>
      <c r="AB33" s="2444"/>
      <c r="AC33" s="2444"/>
      <c r="AD33" s="2444"/>
      <c r="AE33" s="2444"/>
      <c r="AF33" s="2444"/>
      <c r="AG33" s="2444"/>
      <c r="AH33" s="2444"/>
      <c r="AI33" s="2444"/>
      <c r="AJ33" s="2445"/>
      <c r="AK33" s="540"/>
      <c r="AL33" s="540"/>
      <c r="AM33" s="540"/>
      <c r="AN33" s="535"/>
      <c r="AO33" s="550"/>
    </row>
    <row r="34" spans="1:41" s="536" customFormat="1" ht="12.75" customHeight="1">
      <c r="A34" s="540"/>
      <c r="B34" s="540"/>
      <c r="C34" s="540"/>
      <c r="E34" s="2446"/>
      <c r="F34" s="2447"/>
      <c r="G34" s="2447"/>
      <c r="H34" s="2447"/>
      <c r="I34" s="2447"/>
      <c r="J34" s="2447"/>
      <c r="K34" s="2447"/>
      <c r="L34" s="2447"/>
      <c r="M34" s="2447"/>
      <c r="N34" s="2447"/>
      <c r="O34" s="2447"/>
      <c r="P34" s="2447"/>
      <c r="Q34" s="2447"/>
      <c r="R34" s="2447"/>
      <c r="S34" s="2447"/>
      <c r="T34" s="2447"/>
      <c r="U34" s="2447"/>
      <c r="V34" s="2447"/>
      <c r="W34" s="2447"/>
      <c r="X34" s="2447"/>
      <c r="Y34" s="2447"/>
      <c r="Z34" s="2447"/>
      <c r="AA34" s="2447"/>
      <c r="AB34" s="2447"/>
      <c r="AC34" s="2447"/>
      <c r="AD34" s="2447"/>
      <c r="AE34" s="2447"/>
      <c r="AF34" s="2447"/>
      <c r="AG34" s="2447"/>
      <c r="AH34" s="2447"/>
      <c r="AI34" s="2447"/>
      <c r="AJ34" s="2448"/>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7" t="s">
        <v>591</v>
      </c>
      <c r="C36" s="2407"/>
      <c r="D36" s="547"/>
      <c r="E36" s="2408" t="s">
        <v>2253</v>
      </c>
      <c r="F36" s="2409"/>
      <c r="G36" s="2409"/>
      <c r="H36" s="2409"/>
      <c r="I36" s="2409"/>
      <c r="J36" s="2409"/>
      <c r="K36" s="2409"/>
      <c r="L36" s="2409"/>
      <c r="M36" s="2409"/>
      <c r="N36" s="2409"/>
      <c r="O36" s="2409"/>
      <c r="P36" s="2409"/>
      <c r="Q36" s="2409"/>
      <c r="R36" s="2409"/>
      <c r="S36" s="2409"/>
      <c r="T36" s="2409"/>
      <c r="U36" s="2409"/>
      <c r="V36" s="2409"/>
      <c r="W36" s="2409"/>
      <c r="X36" s="2409"/>
      <c r="Y36" s="2409"/>
      <c r="Z36" s="2409"/>
      <c r="AA36" s="2409"/>
      <c r="AB36" s="2409"/>
      <c r="AC36" s="2409"/>
      <c r="AD36" s="2409"/>
      <c r="AE36" s="2409"/>
      <c r="AF36" s="2409"/>
      <c r="AG36" s="2409"/>
      <c r="AH36" s="2409"/>
      <c r="AI36" s="2409"/>
      <c r="AJ36" s="2410"/>
      <c r="AK36" s="540"/>
      <c r="AL36" s="540"/>
      <c r="AM36" s="540"/>
      <c r="AN36" s="535"/>
    </row>
    <row r="37" spans="1:41" s="536" customFormat="1" ht="12.75" customHeight="1">
      <c r="A37" s="540"/>
      <c r="B37" s="540"/>
      <c r="C37" s="540"/>
      <c r="E37" s="2414"/>
      <c r="F37" s="2415"/>
      <c r="G37" s="2415"/>
      <c r="H37" s="2415"/>
      <c r="I37" s="2415"/>
      <c r="J37" s="2415"/>
      <c r="K37" s="2415"/>
      <c r="L37" s="2415"/>
      <c r="M37" s="2415"/>
      <c r="N37" s="2415"/>
      <c r="O37" s="2415"/>
      <c r="P37" s="2415"/>
      <c r="Q37" s="2415"/>
      <c r="R37" s="2415"/>
      <c r="S37" s="2415"/>
      <c r="T37" s="2415"/>
      <c r="U37" s="2415"/>
      <c r="V37" s="2415"/>
      <c r="W37" s="2415"/>
      <c r="X37" s="2415"/>
      <c r="Y37" s="2415"/>
      <c r="Z37" s="2415"/>
      <c r="AA37" s="2415"/>
      <c r="AB37" s="2415"/>
      <c r="AC37" s="2415"/>
      <c r="AD37" s="2415"/>
      <c r="AE37" s="2415"/>
      <c r="AF37" s="2415"/>
      <c r="AG37" s="2415"/>
      <c r="AH37" s="2415"/>
      <c r="AI37" s="2415"/>
      <c r="AJ37" s="2416"/>
      <c r="AK37" s="540"/>
      <c r="AL37" s="540"/>
      <c r="AM37" s="540"/>
      <c r="AN37" s="535"/>
    </row>
    <row r="38" spans="1:41" s="536" customFormat="1" ht="12.75" customHeight="1">
      <c r="A38" s="540"/>
      <c r="B38" s="540"/>
      <c r="C38" s="540"/>
      <c r="E38" s="2411"/>
      <c r="F38" s="2412"/>
      <c r="G38" s="2412"/>
      <c r="H38" s="2412"/>
      <c r="I38" s="2412"/>
      <c r="J38" s="2412"/>
      <c r="K38" s="2412"/>
      <c r="L38" s="2412"/>
      <c r="M38" s="2412"/>
      <c r="N38" s="2412"/>
      <c r="O38" s="2412"/>
      <c r="P38" s="2412"/>
      <c r="Q38" s="2412"/>
      <c r="R38" s="2412"/>
      <c r="S38" s="2412"/>
      <c r="T38" s="2412"/>
      <c r="U38" s="2412"/>
      <c r="V38" s="2412"/>
      <c r="W38" s="2412"/>
      <c r="X38" s="2412"/>
      <c r="Y38" s="2412"/>
      <c r="Z38" s="2412"/>
      <c r="AA38" s="2412"/>
      <c r="AB38" s="2412"/>
      <c r="AC38" s="2412"/>
      <c r="AD38" s="2412"/>
      <c r="AE38" s="2412"/>
      <c r="AF38" s="2412"/>
      <c r="AG38" s="2412"/>
      <c r="AH38" s="2412"/>
      <c r="AI38" s="2412"/>
      <c r="AJ38" s="2413"/>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7" t="s">
        <v>591</v>
      </c>
      <c r="C40" s="2407"/>
      <c r="D40" s="547"/>
      <c r="E40" s="2408" t="s">
        <v>2251</v>
      </c>
      <c r="F40" s="2409"/>
      <c r="G40" s="2409"/>
      <c r="H40" s="2409"/>
      <c r="I40" s="2409"/>
      <c r="J40" s="2409"/>
      <c r="K40" s="2409"/>
      <c r="L40" s="2409"/>
      <c r="M40" s="2409"/>
      <c r="N40" s="2409"/>
      <c r="O40" s="2409"/>
      <c r="P40" s="2409"/>
      <c r="Q40" s="2409"/>
      <c r="R40" s="2409"/>
      <c r="S40" s="2409"/>
      <c r="T40" s="2409"/>
      <c r="U40" s="2409"/>
      <c r="V40" s="2409"/>
      <c r="W40" s="2409"/>
      <c r="X40" s="2409"/>
      <c r="Y40" s="2409"/>
      <c r="Z40" s="2409"/>
      <c r="AA40" s="2409"/>
      <c r="AB40" s="2409"/>
      <c r="AC40" s="2409"/>
      <c r="AD40" s="2409"/>
      <c r="AE40" s="2409"/>
      <c r="AF40" s="2409"/>
      <c r="AG40" s="2409"/>
      <c r="AH40" s="2409"/>
      <c r="AI40" s="2409"/>
      <c r="AJ40" s="2410"/>
      <c r="AK40" s="540"/>
      <c r="AL40" s="540"/>
      <c r="AM40" s="540"/>
      <c r="AN40" s="535"/>
    </row>
    <row r="41" spans="1:41" s="536" customFormat="1" ht="12.75" customHeight="1">
      <c r="A41" s="540"/>
      <c r="B41" s="540"/>
      <c r="C41" s="540"/>
      <c r="E41" s="2411"/>
      <c r="F41" s="2412"/>
      <c r="G41" s="2412"/>
      <c r="H41" s="2412"/>
      <c r="I41" s="2412"/>
      <c r="J41" s="2412"/>
      <c r="K41" s="2412"/>
      <c r="L41" s="2412"/>
      <c r="M41" s="2412"/>
      <c r="N41" s="2412"/>
      <c r="O41" s="2412"/>
      <c r="P41" s="2412"/>
      <c r="Q41" s="2412"/>
      <c r="R41" s="2412"/>
      <c r="S41" s="2412"/>
      <c r="T41" s="2412"/>
      <c r="U41" s="2412"/>
      <c r="V41" s="2412"/>
      <c r="W41" s="2412"/>
      <c r="X41" s="2412"/>
      <c r="Y41" s="2412"/>
      <c r="Z41" s="2412"/>
      <c r="AA41" s="2412"/>
      <c r="AB41" s="2412"/>
      <c r="AC41" s="2412"/>
      <c r="AD41" s="2412"/>
      <c r="AE41" s="2412"/>
      <c r="AF41" s="2412"/>
      <c r="AG41" s="2412"/>
      <c r="AH41" s="2412"/>
      <c r="AI41" s="2412"/>
      <c r="AJ41" s="2413"/>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7" t="s">
        <v>591</v>
      </c>
      <c r="C45" s="2407"/>
      <c r="D45" s="1142"/>
      <c r="E45" s="2408" t="s">
        <v>2009</v>
      </c>
      <c r="F45" s="2409"/>
      <c r="G45" s="2409"/>
      <c r="H45" s="2409"/>
      <c r="I45" s="2409"/>
      <c r="J45" s="2409"/>
      <c r="K45" s="2409"/>
      <c r="L45" s="2409"/>
      <c r="M45" s="2409"/>
      <c r="N45" s="2409"/>
      <c r="O45" s="2409"/>
      <c r="P45" s="2409"/>
      <c r="Q45" s="2409"/>
      <c r="R45" s="2409"/>
      <c r="S45" s="2409"/>
      <c r="T45" s="2409"/>
      <c r="U45" s="2409"/>
      <c r="V45" s="2409"/>
      <c r="W45" s="2409"/>
      <c r="X45" s="2409"/>
      <c r="Y45" s="2409"/>
      <c r="Z45" s="2409"/>
      <c r="AA45" s="2409"/>
      <c r="AB45" s="2409"/>
      <c r="AC45" s="2409"/>
      <c r="AD45" s="2409"/>
      <c r="AE45" s="2409"/>
      <c r="AF45" s="2409"/>
      <c r="AG45" s="2409"/>
      <c r="AH45" s="2409"/>
      <c r="AI45" s="2409"/>
      <c r="AJ45" s="2410"/>
      <c r="AK45" s="1142"/>
      <c r="AL45" s="540"/>
      <c r="AM45" s="540"/>
      <c r="AN45" s="535"/>
    </row>
    <row r="46" spans="1:41" s="536" customFormat="1" ht="12.75" customHeight="1">
      <c r="A46" s="540"/>
      <c r="B46" s="540"/>
      <c r="C46" s="540"/>
      <c r="E46" s="2414"/>
      <c r="F46" s="2415"/>
      <c r="G46" s="2415"/>
      <c r="H46" s="2415"/>
      <c r="I46" s="2415"/>
      <c r="J46" s="2415"/>
      <c r="K46" s="2415"/>
      <c r="L46" s="2415"/>
      <c r="M46" s="2415"/>
      <c r="N46" s="2415"/>
      <c r="O46" s="2415"/>
      <c r="P46" s="2415"/>
      <c r="Q46" s="2415"/>
      <c r="R46" s="2415"/>
      <c r="S46" s="2415"/>
      <c r="T46" s="2415"/>
      <c r="U46" s="2415"/>
      <c r="V46" s="2415"/>
      <c r="W46" s="2415"/>
      <c r="X46" s="2415"/>
      <c r="Y46" s="2415"/>
      <c r="Z46" s="2415"/>
      <c r="AA46" s="2415"/>
      <c r="AB46" s="2415"/>
      <c r="AC46" s="2415"/>
      <c r="AD46" s="2415"/>
      <c r="AE46" s="2415"/>
      <c r="AF46" s="2415"/>
      <c r="AG46" s="2415"/>
      <c r="AH46" s="2415"/>
      <c r="AI46" s="2415"/>
      <c r="AJ46" s="2416"/>
      <c r="AK46" s="540"/>
      <c r="AL46" s="540"/>
      <c r="AM46" s="540"/>
      <c r="AN46" s="535"/>
    </row>
    <row r="47" spans="1:41" s="536" customFormat="1" ht="12.75" customHeight="1">
      <c r="A47" s="540"/>
      <c r="D47" s="547"/>
      <c r="E47" s="2411"/>
      <c r="F47" s="2412"/>
      <c r="G47" s="2412"/>
      <c r="H47" s="2412"/>
      <c r="I47" s="2412"/>
      <c r="J47" s="2412"/>
      <c r="K47" s="2412"/>
      <c r="L47" s="2412"/>
      <c r="M47" s="2412"/>
      <c r="N47" s="2412"/>
      <c r="O47" s="2412"/>
      <c r="P47" s="2412"/>
      <c r="Q47" s="2412"/>
      <c r="R47" s="2412"/>
      <c r="S47" s="2412"/>
      <c r="T47" s="2412"/>
      <c r="U47" s="2412"/>
      <c r="V47" s="2412"/>
      <c r="W47" s="2412"/>
      <c r="X47" s="2412"/>
      <c r="Y47" s="2412"/>
      <c r="Z47" s="2412"/>
      <c r="AA47" s="2412"/>
      <c r="AB47" s="2412"/>
      <c r="AC47" s="2412"/>
      <c r="AD47" s="2412"/>
      <c r="AE47" s="2412"/>
      <c r="AF47" s="2412"/>
      <c r="AG47" s="2412"/>
      <c r="AH47" s="2412"/>
      <c r="AI47" s="2412"/>
      <c r="AJ47" s="2413"/>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7" t="s">
        <v>591</v>
      </c>
      <c r="C52" s="2407"/>
      <c r="D52" s="540"/>
      <c r="E52" s="2408" t="s">
        <v>2014</v>
      </c>
      <c r="F52" s="2409"/>
      <c r="G52" s="2409"/>
      <c r="H52" s="2409"/>
      <c r="I52" s="2409"/>
      <c r="J52" s="2409"/>
      <c r="K52" s="2409"/>
      <c r="L52" s="2409"/>
      <c r="M52" s="2409"/>
      <c r="N52" s="2409"/>
      <c r="O52" s="2409"/>
      <c r="P52" s="2409"/>
      <c r="Q52" s="2409"/>
      <c r="R52" s="2409"/>
      <c r="S52" s="2409"/>
      <c r="T52" s="2409"/>
      <c r="U52" s="2409"/>
      <c r="V52" s="2409"/>
      <c r="W52" s="2409"/>
      <c r="X52" s="2409"/>
      <c r="Y52" s="2409"/>
      <c r="Z52" s="2409"/>
      <c r="AA52" s="2409"/>
      <c r="AB52" s="2409"/>
      <c r="AC52" s="2409"/>
      <c r="AD52" s="2409"/>
      <c r="AE52" s="2409"/>
      <c r="AF52" s="2409"/>
      <c r="AG52" s="2409"/>
      <c r="AH52" s="2409"/>
      <c r="AI52" s="2409"/>
      <c r="AJ52" s="2410"/>
      <c r="AK52" s="540"/>
      <c r="AL52" s="540"/>
      <c r="AM52" s="540"/>
      <c r="AN52" s="535"/>
      <c r="AO52" s="559"/>
    </row>
    <row r="53" spans="1:50" s="536" customFormat="1" ht="12.75" customHeight="1">
      <c r="A53" s="540"/>
      <c r="D53" s="547"/>
      <c r="E53" s="2414"/>
      <c r="F53" s="2415"/>
      <c r="G53" s="2415"/>
      <c r="H53" s="2415"/>
      <c r="I53" s="2415"/>
      <c r="J53" s="2415"/>
      <c r="K53" s="2415"/>
      <c r="L53" s="2415"/>
      <c r="M53" s="2415"/>
      <c r="N53" s="2415"/>
      <c r="O53" s="2415"/>
      <c r="P53" s="2415"/>
      <c r="Q53" s="2415"/>
      <c r="R53" s="2415"/>
      <c r="S53" s="2415"/>
      <c r="T53" s="2415"/>
      <c r="U53" s="2415"/>
      <c r="V53" s="2415"/>
      <c r="W53" s="2415"/>
      <c r="X53" s="2415"/>
      <c r="Y53" s="2415"/>
      <c r="Z53" s="2415"/>
      <c r="AA53" s="2415"/>
      <c r="AB53" s="2415"/>
      <c r="AC53" s="2415"/>
      <c r="AD53" s="2415"/>
      <c r="AE53" s="2415"/>
      <c r="AF53" s="2415"/>
      <c r="AG53" s="2415"/>
      <c r="AH53" s="2415"/>
      <c r="AI53" s="2415"/>
      <c r="AJ53" s="2416"/>
      <c r="AK53" s="540"/>
      <c r="AL53" s="540"/>
      <c r="AM53" s="540"/>
      <c r="AN53" s="535"/>
      <c r="AO53" s="559"/>
    </row>
    <row r="54" spans="1:50" s="536" customFormat="1" ht="12.75" customHeight="1">
      <c r="A54" s="540"/>
      <c r="D54" s="540"/>
      <c r="E54" s="2411"/>
      <c r="F54" s="2412"/>
      <c r="G54" s="2412"/>
      <c r="H54" s="2412"/>
      <c r="I54" s="2412"/>
      <c r="J54" s="2412"/>
      <c r="K54" s="2412"/>
      <c r="L54" s="2412"/>
      <c r="M54" s="2412"/>
      <c r="N54" s="2412"/>
      <c r="O54" s="2412"/>
      <c r="P54" s="2412"/>
      <c r="Q54" s="2412"/>
      <c r="R54" s="2412"/>
      <c r="S54" s="2412"/>
      <c r="T54" s="2412"/>
      <c r="U54" s="2412"/>
      <c r="V54" s="2412"/>
      <c r="W54" s="2412"/>
      <c r="X54" s="2412"/>
      <c r="Y54" s="2412"/>
      <c r="Z54" s="2412"/>
      <c r="AA54" s="2412"/>
      <c r="AB54" s="2412"/>
      <c r="AC54" s="2412"/>
      <c r="AD54" s="2412"/>
      <c r="AE54" s="2412"/>
      <c r="AF54" s="2412"/>
      <c r="AG54" s="2412"/>
      <c r="AH54" s="2412"/>
      <c r="AI54" s="2412"/>
      <c r="AJ54" s="2413"/>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7" t="s">
        <v>591</v>
      </c>
      <c r="C56" s="2407"/>
      <c r="D56" s="540"/>
      <c r="E56" s="2428" t="s">
        <v>2015</v>
      </c>
      <c r="F56" s="2429"/>
      <c r="G56" s="2429"/>
      <c r="H56" s="2429"/>
      <c r="I56" s="2429"/>
      <c r="J56" s="2429"/>
      <c r="K56" s="2429"/>
      <c r="L56" s="2429"/>
      <c r="M56" s="2429"/>
      <c r="N56" s="2429"/>
      <c r="O56" s="2429"/>
      <c r="P56" s="2429"/>
      <c r="Q56" s="2429"/>
      <c r="R56" s="2429"/>
      <c r="S56" s="2429"/>
      <c r="T56" s="2429"/>
      <c r="U56" s="2429"/>
      <c r="V56" s="2429"/>
      <c r="W56" s="2429"/>
      <c r="X56" s="2429"/>
      <c r="Y56" s="2429"/>
      <c r="Z56" s="2429"/>
      <c r="AA56" s="2429"/>
      <c r="AB56" s="2429"/>
      <c r="AC56" s="2429"/>
      <c r="AD56" s="2429"/>
      <c r="AE56" s="2429"/>
      <c r="AF56" s="2429"/>
      <c r="AG56" s="2429"/>
      <c r="AH56" s="2429"/>
      <c r="AI56" s="2429"/>
      <c r="AJ56" s="243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7" t="s">
        <v>591</v>
      </c>
      <c r="C58" s="2407"/>
      <c r="D58" s="540"/>
      <c r="E58" s="2408" t="s">
        <v>2016</v>
      </c>
      <c r="F58" s="2409"/>
      <c r="G58" s="2409"/>
      <c r="H58" s="2409"/>
      <c r="I58" s="2409"/>
      <c r="J58" s="2409"/>
      <c r="K58" s="2409"/>
      <c r="L58" s="2409"/>
      <c r="M58" s="2409"/>
      <c r="N58" s="2409"/>
      <c r="O58" s="2409"/>
      <c r="P58" s="2409"/>
      <c r="Q58" s="2409"/>
      <c r="R58" s="2409"/>
      <c r="S58" s="2409"/>
      <c r="T58" s="2409"/>
      <c r="U58" s="2409"/>
      <c r="V58" s="2409"/>
      <c r="W58" s="2409"/>
      <c r="X58" s="2409"/>
      <c r="Y58" s="2409"/>
      <c r="Z58" s="2409"/>
      <c r="AA58" s="2409"/>
      <c r="AB58" s="2409"/>
      <c r="AC58" s="2409"/>
      <c r="AD58" s="2409"/>
      <c r="AE58" s="2409"/>
      <c r="AF58" s="2409"/>
      <c r="AG58" s="2409"/>
      <c r="AH58" s="2409"/>
      <c r="AI58" s="2409"/>
      <c r="AJ58" s="2410"/>
      <c r="AK58" s="540"/>
      <c r="AL58" s="540"/>
      <c r="AM58" s="540"/>
      <c r="AN58" s="535"/>
    </row>
    <row r="59" spans="1:50" s="536" customFormat="1" ht="12.75" customHeight="1">
      <c r="A59" s="540"/>
      <c r="B59" s="547"/>
      <c r="C59" s="547"/>
      <c r="D59" s="547"/>
      <c r="E59" s="2411"/>
      <c r="F59" s="2412"/>
      <c r="G59" s="2412"/>
      <c r="H59" s="2412"/>
      <c r="I59" s="2412"/>
      <c r="J59" s="2412"/>
      <c r="K59" s="2412"/>
      <c r="L59" s="2412"/>
      <c r="M59" s="2412"/>
      <c r="N59" s="2412"/>
      <c r="O59" s="2412"/>
      <c r="P59" s="2412"/>
      <c r="Q59" s="2412"/>
      <c r="R59" s="2412"/>
      <c r="S59" s="2412"/>
      <c r="T59" s="2412"/>
      <c r="U59" s="2412"/>
      <c r="V59" s="2412"/>
      <c r="W59" s="2412"/>
      <c r="X59" s="2412"/>
      <c r="Y59" s="2412"/>
      <c r="Z59" s="2412"/>
      <c r="AA59" s="2412"/>
      <c r="AB59" s="2412"/>
      <c r="AC59" s="2412"/>
      <c r="AD59" s="2412"/>
      <c r="AE59" s="2412"/>
      <c r="AF59" s="2412"/>
      <c r="AG59" s="2412"/>
      <c r="AH59" s="2412"/>
      <c r="AI59" s="2412"/>
      <c r="AJ59" s="2413"/>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40">
        <f>AO39</f>
        <v>0</v>
      </c>
      <c r="AL62" s="2441"/>
      <c r="AM62" s="2442"/>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7" t="s">
        <v>1314</v>
      </c>
      <c r="AF65" s="2417"/>
      <c r="AG65" s="2417"/>
      <c r="AH65" s="2417"/>
      <c r="AI65" s="2417"/>
      <c r="AJ65" s="2417"/>
      <c r="AK65" s="2417"/>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7" t="s">
        <v>591</v>
      </c>
      <c r="C68" s="2407"/>
      <c r="D68" s="547" t="s">
        <v>1315</v>
      </c>
      <c r="E68" s="2418" t="s">
        <v>2017</v>
      </c>
      <c r="F68" s="2419"/>
      <c r="G68" s="2419"/>
      <c r="H68" s="2419"/>
      <c r="I68" s="2419"/>
      <c r="J68" s="2419"/>
      <c r="K68" s="2419"/>
      <c r="L68" s="2419"/>
      <c r="M68" s="2419"/>
      <c r="N68" s="2419"/>
      <c r="O68" s="2419"/>
      <c r="P68" s="2419"/>
      <c r="Q68" s="2419"/>
      <c r="R68" s="2419"/>
      <c r="S68" s="2419"/>
      <c r="T68" s="2419"/>
      <c r="U68" s="2419"/>
      <c r="V68" s="2419"/>
      <c r="W68" s="2419"/>
      <c r="X68" s="2419"/>
      <c r="Y68" s="2419"/>
      <c r="Z68" s="2419"/>
      <c r="AA68" s="2419"/>
      <c r="AB68" s="2419"/>
      <c r="AC68" s="2419"/>
      <c r="AD68" s="2419"/>
      <c r="AE68" s="2419"/>
      <c r="AF68" s="2419"/>
      <c r="AG68" s="2419"/>
      <c r="AH68" s="2419"/>
      <c r="AI68" s="2419"/>
      <c r="AJ68" s="2420"/>
      <c r="AK68" s="543"/>
      <c r="AL68" s="540"/>
      <c r="AM68" s="540"/>
      <c r="AN68" s="535"/>
      <c r="AO68" s="550">
        <f>IF($B68="yes",10,0)</f>
        <v>0</v>
      </c>
    </row>
    <row r="69" spans="1:42" s="536" customFormat="1" ht="12.75" customHeight="1">
      <c r="A69" s="538"/>
      <c r="B69" s="540"/>
      <c r="C69" s="540"/>
      <c r="D69" s="551"/>
      <c r="E69" s="2421"/>
      <c r="F69" s="2422"/>
      <c r="G69" s="2422"/>
      <c r="H69" s="2422"/>
      <c r="I69" s="2422"/>
      <c r="J69" s="2422"/>
      <c r="K69" s="2422"/>
      <c r="L69" s="2422"/>
      <c r="M69" s="2422"/>
      <c r="N69" s="2422"/>
      <c r="O69" s="2422"/>
      <c r="P69" s="2422"/>
      <c r="Q69" s="2422"/>
      <c r="R69" s="2422"/>
      <c r="S69" s="2422"/>
      <c r="T69" s="2422"/>
      <c r="U69" s="2422"/>
      <c r="V69" s="2422"/>
      <c r="W69" s="2422"/>
      <c r="X69" s="2422"/>
      <c r="Y69" s="2422"/>
      <c r="Z69" s="2422"/>
      <c r="AA69" s="2422"/>
      <c r="AB69" s="2422"/>
      <c r="AC69" s="2422"/>
      <c r="AD69" s="2422"/>
      <c r="AE69" s="2422"/>
      <c r="AF69" s="2422"/>
      <c r="AG69" s="2422"/>
      <c r="AH69" s="2422"/>
      <c r="AI69" s="2422"/>
      <c r="AJ69" s="2423"/>
      <c r="AK69" s="543"/>
      <c r="AL69" s="540"/>
      <c r="AM69" s="540"/>
      <c r="AN69" s="535"/>
      <c r="AO69" s="550">
        <f>IF($B74="yes",10,0)</f>
        <v>10</v>
      </c>
    </row>
    <row r="70" spans="1:42" s="536" customFormat="1" ht="12.75" customHeight="1">
      <c r="A70" s="538"/>
      <c r="B70" s="540"/>
      <c r="C70" s="540"/>
      <c r="D70" s="551"/>
      <c r="E70" s="2421"/>
      <c r="F70" s="2422"/>
      <c r="G70" s="2422"/>
      <c r="H70" s="2422"/>
      <c r="I70" s="2422"/>
      <c r="J70" s="2422"/>
      <c r="K70" s="2422"/>
      <c r="L70" s="2422"/>
      <c r="M70" s="2422"/>
      <c r="N70" s="2422"/>
      <c r="O70" s="2422"/>
      <c r="P70" s="2422"/>
      <c r="Q70" s="2422"/>
      <c r="R70" s="2422"/>
      <c r="S70" s="2422"/>
      <c r="T70" s="2422"/>
      <c r="U70" s="2422"/>
      <c r="V70" s="2422"/>
      <c r="W70" s="2422"/>
      <c r="X70" s="2422"/>
      <c r="Y70" s="2422"/>
      <c r="Z70" s="2422"/>
      <c r="AA70" s="2422"/>
      <c r="AB70" s="2422"/>
      <c r="AC70" s="2422"/>
      <c r="AD70" s="2422"/>
      <c r="AE70" s="2422"/>
      <c r="AF70" s="2422"/>
      <c r="AG70" s="2422"/>
      <c r="AH70" s="2422"/>
      <c r="AI70" s="2422"/>
      <c r="AJ70" s="2423"/>
      <c r="AK70" s="543"/>
      <c r="AL70" s="540"/>
      <c r="AM70" s="540"/>
      <c r="AN70" s="535"/>
      <c r="AO70" s="550">
        <f>IF($B81="yes",10,0)</f>
        <v>0</v>
      </c>
    </row>
    <row r="71" spans="1:42" s="536" customFormat="1" ht="12.75" customHeight="1">
      <c r="A71" s="538"/>
      <c r="B71" s="540"/>
      <c r="C71" s="540"/>
      <c r="D71" s="551"/>
      <c r="E71" s="2421"/>
      <c r="F71" s="2422"/>
      <c r="G71" s="2422"/>
      <c r="H71" s="2422"/>
      <c r="I71" s="2422"/>
      <c r="J71" s="2422"/>
      <c r="K71" s="2422"/>
      <c r="L71" s="2422"/>
      <c r="M71" s="2422"/>
      <c r="N71" s="2422"/>
      <c r="O71" s="2422"/>
      <c r="P71" s="2422"/>
      <c r="Q71" s="2422"/>
      <c r="R71" s="2422"/>
      <c r="S71" s="2422"/>
      <c r="T71" s="2422"/>
      <c r="U71" s="2422"/>
      <c r="V71" s="2422"/>
      <c r="W71" s="2422"/>
      <c r="X71" s="2422"/>
      <c r="Y71" s="2422"/>
      <c r="Z71" s="2422"/>
      <c r="AA71" s="2422"/>
      <c r="AB71" s="2422"/>
      <c r="AC71" s="2422"/>
      <c r="AD71" s="2422"/>
      <c r="AE71" s="2422"/>
      <c r="AF71" s="2422"/>
      <c r="AG71" s="2422"/>
      <c r="AH71" s="2422"/>
      <c r="AI71" s="2422"/>
      <c r="AJ71" s="2423"/>
      <c r="AK71" s="543"/>
      <c r="AL71" s="540"/>
      <c r="AM71" s="540"/>
      <c r="AN71" s="535"/>
      <c r="AO71" s="536">
        <f>IF(SUM(AO68:AO70)&gt;10,10,(SUM(AO68:AO70)))</f>
        <v>10</v>
      </c>
      <c r="AP71" s="574" t="s">
        <v>1316</v>
      </c>
    </row>
    <row r="72" spans="1:42" s="536" customFormat="1" ht="12.75" customHeight="1">
      <c r="A72" s="538"/>
      <c r="B72" s="540"/>
      <c r="C72" s="540"/>
      <c r="D72" s="551"/>
      <c r="E72" s="2424"/>
      <c r="F72" s="2425"/>
      <c r="G72" s="2425"/>
      <c r="H72" s="2425"/>
      <c r="I72" s="2425"/>
      <c r="J72" s="2425"/>
      <c r="K72" s="2425"/>
      <c r="L72" s="2425"/>
      <c r="M72" s="2425"/>
      <c r="N72" s="2425"/>
      <c r="O72" s="2425"/>
      <c r="P72" s="2425"/>
      <c r="Q72" s="2425"/>
      <c r="R72" s="2425"/>
      <c r="S72" s="2425"/>
      <c r="T72" s="2425"/>
      <c r="U72" s="2425"/>
      <c r="V72" s="2425"/>
      <c r="W72" s="2425"/>
      <c r="X72" s="2425"/>
      <c r="Y72" s="2425"/>
      <c r="Z72" s="2425"/>
      <c r="AA72" s="2425"/>
      <c r="AB72" s="2425"/>
      <c r="AC72" s="2425"/>
      <c r="AD72" s="2425"/>
      <c r="AE72" s="2425"/>
      <c r="AF72" s="2425"/>
      <c r="AG72" s="2425"/>
      <c r="AH72" s="2425"/>
      <c r="AI72" s="2425"/>
      <c r="AJ72" s="242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7" t="s">
        <v>545</v>
      </c>
      <c r="C74" s="2407"/>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7" t="s">
        <v>545</v>
      </c>
      <c r="F75" s="2407"/>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405" t="s">
        <v>591</v>
      </c>
      <c r="F76" s="2406"/>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405" t="s">
        <v>591</v>
      </c>
      <c r="F77" s="2406"/>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7" t="s">
        <v>591</v>
      </c>
      <c r="F79" s="2407"/>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7" t="s">
        <v>591</v>
      </c>
      <c r="C81" s="2407"/>
      <c r="D81" s="547" t="s">
        <v>1320</v>
      </c>
      <c r="E81" s="2408" t="s">
        <v>1740</v>
      </c>
      <c r="F81" s="2409"/>
      <c r="G81" s="2409"/>
      <c r="H81" s="2409"/>
      <c r="I81" s="2409"/>
      <c r="J81" s="2409"/>
      <c r="K81" s="2409"/>
      <c r="L81" s="2409"/>
      <c r="M81" s="2409"/>
      <c r="N81" s="2409"/>
      <c r="O81" s="2409"/>
      <c r="P81" s="2409"/>
      <c r="Q81" s="2409"/>
      <c r="R81" s="2409"/>
      <c r="S81" s="2409"/>
      <c r="T81" s="2409"/>
      <c r="U81" s="2409"/>
      <c r="V81" s="2409"/>
      <c r="W81" s="2409"/>
      <c r="X81" s="2409"/>
      <c r="Y81" s="2409"/>
      <c r="Z81" s="2409"/>
      <c r="AA81" s="2409"/>
      <c r="AB81" s="2409"/>
      <c r="AC81" s="2409"/>
      <c r="AD81" s="2409"/>
      <c r="AE81" s="2409"/>
      <c r="AF81" s="2409"/>
      <c r="AG81" s="2409"/>
      <c r="AH81" s="2409"/>
      <c r="AI81" s="2409"/>
      <c r="AJ81" s="2410"/>
      <c r="AK81" s="543"/>
      <c r="AL81" s="540"/>
      <c r="AM81" s="540"/>
      <c r="AN81" s="535"/>
    </row>
    <row r="82" spans="1:43" s="536" customFormat="1" ht="12.75" customHeight="1">
      <c r="A82" s="538"/>
      <c r="B82" s="540"/>
      <c r="C82" s="540"/>
      <c r="D82" s="550"/>
      <c r="E82" s="2411"/>
      <c r="F82" s="2412"/>
      <c r="G82" s="2412"/>
      <c r="H82" s="2412"/>
      <c r="I82" s="2412"/>
      <c r="J82" s="2412"/>
      <c r="K82" s="2412"/>
      <c r="L82" s="2412"/>
      <c r="M82" s="2412"/>
      <c r="N82" s="2412"/>
      <c r="O82" s="2412"/>
      <c r="P82" s="2412"/>
      <c r="Q82" s="2412"/>
      <c r="R82" s="2412"/>
      <c r="S82" s="2412"/>
      <c r="T82" s="2412"/>
      <c r="U82" s="2412"/>
      <c r="V82" s="2412"/>
      <c r="W82" s="2412"/>
      <c r="X82" s="2412"/>
      <c r="Y82" s="2412"/>
      <c r="Z82" s="2412"/>
      <c r="AA82" s="2412"/>
      <c r="AB82" s="2412"/>
      <c r="AC82" s="2412"/>
      <c r="AD82" s="2412"/>
      <c r="AE82" s="2412"/>
      <c r="AF82" s="2412"/>
      <c r="AG82" s="2412"/>
      <c r="AH82" s="2412"/>
      <c r="AI82" s="2412"/>
      <c r="AJ82" s="2413"/>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40">
        <f>IF(AK62&gt;0,0,AO71)</f>
        <v>10</v>
      </c>
      <c r="AL84" s="2441"/>
      <c r="AM84" s="2442"/>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7" t="s">
        <v>1305</v>
      </c>
      <c r="AF87" s="2417"/>
      <c r="AG87" s="2417"/>
      <c r="AH87" s="2417"/>
      <c r="AI87" s="2417"/>
      <c r="AJ87" s="2417"/>
      <c r="AK87" s="2417"/>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7" t="s">
        <v>545</v>
      </c>
      <c r="C90" s="2407"/>
      <c r="D90" s="547" t="s">
        <v>1315</v>
      </c>
      <c r="E90" s="2418" t="s">
        <v>1325</v>
      </c>
      <c r="F90" s="2419"/>
      <c r="G90" s="2419"/>
      <c r="H90" s="2419"/>
      <c r="I90" s="2419"/>
      <c r="J90" s="2419"/>
      <c r="K90" s="2419"/>
      <c r="L90" s="2419"/>
      <c r="M90" s="2419"/>
      <c r="N90" s="2419"/>
      <c r="O90" s="2419"/>
      <c r="P90" s="2419"/>
      <c r="Q90" s="2419"/>
      <c r="R90" s="2419"/>
      <c r="S90" s="2419"/>
      <c r="T90" s="2419"/>
      <c r="U90" s="2419"/>
      <c r="V90" s="2419"/>
      <c r="W90" s="2419"/>
      <c r="X90" s="2419"/>
      <c r="Y90" s="2419"/>
      <c r="Z90" s="2419"/>
      <c r="AA90" s="2419"/>
      <c r="AB90" s="2419"/>
      <c r="AC90" s="2419"/>
      <c r="AD90" s="2419"/>
      <c r="AE90" s="2419"/>
      <c r="AF90" s="2419"/>
      <c r="AG90" s="2419"/>
      <c r="AH90" s="2419"/>
      <c r="AI90" s="2419"/>
      <c r="AJ90" s="2420"/>
      <c r="AK90" s="543"/>
      <c r="AL90" s="540"/>
      <c r="AM90" s="540"/>
      <c r="AN90" s="535"/>
    </row>
    <row r="91" spans="1:43" s="536" customFormat="1" ht="12.75" customHeight="1">
      <c r="A91" s="538"/>
      <c r="B91" s="539"/>
      <c r="C91" s="539"/>
      <c r="D91" s="539"/>
      <c r="E91" s="2421"/>
      <c r="F91" s="2422"/>
      <c r="G91" s="2422"/>
      <c r="H91" s="2422"/>
      <c r="I91" s="2422"/>
      <c r="J91" s="2422"/>
      <c r="K91" s="2422"/>
      <c r="L91" s="2422"/>
      <c r="M91" s="2422"/>
      <c r="N91" s="2422"/>
      <c r="O91" s="2422"/>
      <c r="P91" s="2422"/>
      <c r="Q91" s="2422"/>
      <c r="R91" s="2422"/>
      <c r="S91" s="2422"/>
      <c r="T91" s="2422"/>
      <c r="U91" s="2422"/>
      <c r="V91" s="2422"/>
      <c r="W91" s="2422"/>
      <c r="X91" s="2422"/>
      <c r="Y91" s="2422"/>
      <c r="Z91" s="2422"/>
      <c r="AA91" s="2422"/>
      <c r="AB91" s="2422"/>
      <c r="AC91" s="2422"/>
      <c r="AD91" s="2422"/>
      <c r="AE91" s="2422"/>
      <c r="AF91" s="2422"/>
      <c r="AG91" s="2422"/>
      <c r="AH91" s="2422"/>
      <c r="AI91" s="2422"/>
      <c r="AJ91" s="2423"/>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401">
        <f>Application!AC753</f>
        <v>0.4746113989637305</v>
      </c>
      <c r="F93" s="2402"/>
      <c r="G93" s="2402"/>
      <c r="H93" s="2402"/>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403">
        <f>0.6-ROUNDUP(E93,2)</f>
        <v>0.12</v>
      </c>
      <c r="F94" s="2404"/>
      <c r="G94" s="2404"/>
      <c r="H94" s="2404"/>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34">
        <f>IF(E94*200&gt;20,20,E94*200)</f>
        <v>20</v>
      </c>
      <c r="F95" s="2435"/>
      <c r="G95" s="2435"/>
      <c r="H95" s="2435"/>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7" t="s">
        <v>545</v>
      </c>
      <c r="C98" s="2407"/>
      <c r="D98" s="547" t="s">
        <v>1317</v>
      </c>
      <c r="E98" s="2418" t="s">
        <v>1725</v>
      </c>
      <c r="F98" s="2419"/>
      <c r="G98" s="2419"/>
      <c r="H98" s="2419"/>
      <c r="I98" s="2419"/>
      <c r="J98" s="2419"/>
      <c r="K98" s="2419"/>
      <c r="L98" s="2419"/>
      <c r="M98" s="2419"/>
      <c r="N98" s="2419"/>
      <c r="O98" s="2419"/>
      <c r="P98" s="2419"/>
      <c r="Q98" s="2419"/>
      <c r="R98" s="2419"/>
      <c r="S98" s="2419"/>
      <c r="T98" s="2419"/>
      <c r="U98" s="2419"/>
      <c r="V98" s="2419"/>
      <c r="W98" s="2419"/>
      <c r="X98" s="2419"/>
      <c r="Y98" s="2419"/>
      <c r="Z98" s="2419"/>
      <c r="AA98" s="2419"/>
      <c r="AB98" s="2419"/>
      <c r="AC98" s="2419"/>
      <c r="AD98" s="2419"/>
      <c r="AE98" s="2419"/>
      <c r="AF98" s="2419"/>
      <c r="AG98" s="2419"/>
      <c r="AH98" s="2419"/>
      <c r="AI98" s="2419"/>
      <c r="AJ98" s="2420"/>
      <c r="AK98" s="543"/>
      <c r="AL98" s="540"/>
      <c r="AM98" s="540"/>
      <c r="AN98" s="535"/>
    </row>
    <row r="99" spans="1:47" s="536" customFormat="1" ht="12.75" customHeight="1">
      <c r="A99" s="538"/>
      <c r="B99" s="539"/>
      <c r="C99" s="539"/>
      <c r="D99" s="539"/>
      <c r="E99" s="2421"/>
      <c r="F99" s="2422"/>
      <c r="G99" s="2422"/>
      <c r="H99" s="2422"/>
      <c r="I99" s="2422"/>
      <c r="J99" s="2422"/>
      <c r="K99" s="2422"/>
      <c r="L99" s="2422"/>
      <c r="M99" s="2422"/>
      <c r="N99" s="2422"/>
      <c r="O99" s="2422"/>
      <c r="P99" s="2422"/>
      <c r="Q99" s="2422"/>
      <c r="R99" s="2422"/>
      <c r="S99" s="2422"/>
      <c r="T99" s="2422"/>
      <c r="U99" s="2422"/>
      <c r="V99" s="2422"/>
      <c r="W99" s="2422"/>
      <c r="X99" s="2422"/>
      <c r="Y99" s="2422"/>
      <c r="Z99" s="2422"/>
      <c r="AA99" s="2422"/>
      <c r="AB99" s="2422"/>
      <c r="AC99" s="2422"/>
      <c r="AD99" s="2422"/>
      <c r="AE99" s="2422"/>
      <c r="AF99" s="2422"/>
      <c r="AG99" s="2422"/>
      <c r="AH99" s="2422"/>
      <c r="AI99" s="2422"/>
      <c r="AJ99" s="2423"/>
      <c r="AK99" s="543"/>
      <c r="AL99" s="540"/>
      <c r="AM99" s="540"/>
      <c r="AN99" s="535"/>
    </row>
    <row r="100" spans="1:47" s="536" customFormat="1" ht="12.75" customHeight="1">
      <c r="A100" s="538"/>
      <c r="B100" s="539"/>
      <c r="C100" s="539"/>
      <c r="D100" s="539"/>
      <c r="E100" s="2421"/>
      <c r="F100" s="2422"/>
      <c r="G100" s="2422"/>
      <c r="H100" s="2422"/>
      <c r="I100" s="2422"/>
      <c r="J100" s="2422"/>
      <c r="K100" s="2422"/>
      <c r="L100" s="2422"/>
      <c r="M100" s="2422"/>
      <c r="N100" s="2422"/>
      <c r="O100" s="2422"/>
      <c r="P100" s="2422"/>
      <c r="Q100" s="2422"/>
      <c r="R100" s="2422"/>
      <c r="S100" s="2422"/>
      <c r="T100" s="2422"/>
      <c r="U100" s="2422"/>
      <c r="V100" s="2422"/>
      <c r="W100" s="2422"/>
      <c r="X100" s="2422"/>
      <c r="Y100" s="2422"/>
      <c r="Z100" s="2422"/>
      <c r="AA100" s="2422"/>
      <c r="AB100" s="2422"/>
      <c r="AC100" s="2422"/>
      <c r="AD100" s="2422"/>
      <c r="AE100" s="2422"/>
      <c r="AF100" s="2422"/>
      <c r="AG100" s="2422"/>
      <c r="AH100" s="2422"/>
      <c r="AI100" s="2422"/>
      <c r="AJ100" s="2423"/>
      <c r="AK100" s="543"/>
      <c r="AL100" s="540"/>
      <c r="AM100" s="540"/>
      <c r="AN100" s="535"/>
    </row>
    <row r="101" spans="1:47" s="536" customFormat="1" ht="12.75" customHeight="1">
      <c r="A101" s="538"/>
      <c r="B101" s="539"/>
      <c r="C101" s="539"/>
      <c r="D101" s="539"/>
      <c r="E101" s="2421"/>
      <c r="F101" s="2422"/>
      <c r="G101" s="2422"/>
      <c r="H101" s="2422"/>
      <c r="I101" s="2422"/>
      <c r="J101" s="2422"/>
      <c r="K101" s="2422"/>
      <c r="L101" s="2422"/>
      <c r="M101" s="2422"/>
      <c r="N101" s="2422"/>
      <c r="O101" s="2422"/>
      <c r="P101" s="2422"/>
      <c r="Q101" s="2422"/>
      <c r="R101" s="2422"/>
      <c r="S101" s="2422"/>
      <c r="T101" s="2422"/>
      <c r="U101" s="2422"/>
      <c r="V101" s="2422"/>
      <c r="W101" s="2422"/>
      <c r="X101" s="2422"/>
      <c r="Y101" s="2422"/>
      <c r="Z101" s="2422"/>
      <c r="AA101" s="2422"/>
      <c r="AB101" s="2422"/>
      <c r="AC101" s="2422"/>
      <c r="AD101" s="2422"/>
      <c r="AE101" s="2422"/>
      <c r="AF101" s="2422"/>
      <c r="AG101" s="2422"/>
      <c r="AH101" s="2422"/>
      <c r="AI101" s="2422"/>
      <c r="AJ101" s="2423"/>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401">
        <f>Application!AC753</f>
        <v>0.4746113989637305</v>
      </c>
      <c r="F103" s="2402"/>
      <c r="G103" s="2402"/>
      <c r="H103" s="2402"/>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401">
        <f ca="1">SUMIF(Application!AC718:AG752,0.2,Application!G718:J752)/Application!G753+SUMIF(Application!AC718:AG752,0.25,Application!G718:J752)/Application!G753+SUMIF(Application!AC718:AG752,0.3,Application!G718:J752)/Application!G753</f>
        <v>0.25906735751295334</v>
      </c>
      <c r="F104" s="2402"/>
      <c r="G104" s="2402"/>
      <c r="H104" s="2402"/>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401">
        <f ca="1">SUMIF(Application!AC718:AG752,0.35,Application!G718:J752)/Application!G753+SUMIF(Application!AC718:AG752,0.4,Application!G718:J752)/Application!G753+SUMIF(Application!AC718:AG752,0.45,Application!G718:J752)/Application!G753+SUMIF(Application!AC718:AG752,0.5,Application!G718:J752)/Application!G753</f>
        <v>0.47668393782383417</v>
      </c>
      <c r="F105" s="2402"/>
      <c r="G105" s="2402"/>
      <c r="H105" s="2402"/>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9">
        <f ca="1">IF(AND(E103&lt;=0.6,OR(AND(E104&gt;=0.1,E105&gt;=0.1),AND(E104&gt;0.1,(E104+E105)&gt;=0.2))),20,0)</f>
        <v>20</v>
      </c>
      <c r="F106" s="2460"/>
      <c r="G106" s="2460"/>
      <c r="H106" s="2460"/>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40">
        <f ca="1">MAX(AP95,AP106)</f>
        <v>20</v>
      </c>
      <c r="AL109" s="2441"/>
      <c r="AM109" s="2442"/>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7" t="s">
        <v>1314</v>
      </c>
      <c r="AF112" s="2417"/>
      <c r="AG112" s="2417"/>
      <c r="AH112" s="2417"/>
      <c r="AI112" s="2417"/>
      <c r="AJ112" s="2417"/>
      <c r="AK112" s="2417"/>
      <c r="AL112" s="540"/>
      <c r="AM112" s="540"/>
      <c r="AN112" s="535"/>
      <c r="AO112" s="536" t="str">
        <f>Application!B718</f>
        <v>SRO/Studio</v>
      </c>
      <c r="AQ112" s="536">
        <f>Application!O718</f>
        <v>1005</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1708</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f>Application!B720</f>
        <v>0</v>
      </c>
      <c r="AQ114" s="536">
        <f>Application!O720</f>
        <v>0</v>
      </c>
    </row>
    <row r="115" spans="1:52" s="536" customFormat="1" ht="12.75" customHeight="1">
      <c r="A115" s="540"/>
      <c r="B115" s="2407" t="s">
        <v>545</v>
      </c>
      <c r="C115" s="2407"/>
      <c r="D115" s="547" t="s">
        <v>1315</v>
      </c>
      <c r="E115" s="2418" t="s">
        <v>1858</v>
      </c>
      <c r="F115" s="2419"/>
      <c r="G115" s="2419"/>
      <c r="H115" s="2419"/>
      <c r="I115" s="2419"/>
      <c r="J115" s="2419"/>
      <c r="K115" s="2419"/>
      <c r="L115" s="2419"/>
      <c r="M115" s="2419"/>
      <c r="N115" s="2419"/>
      <c r="O115" s="2419"/>
      <c r="P115" s="2419"/>
      <c r="Q115" s="2419"/>
      <c r="R115" s="2419"/>
      <c r="S115" s="2419"/>
      <c r="T115" s="2419"/>
      <c r="U115" s="2419"/>
      <c r="V115" s="2419"/>
      <c r="W115" s="2419"/>
      <c r="X115" s="2419"/>
      <c r="Y115" s="2419"/>
      <c r="Z115" s="2419"/>
      <c r="AA115" s="2419"/>
      <c r="AB115" s="2419"/>
      <c r="AC115" s="2419"/>
      <c r="AD115" s="2419"/>
      <c r="AE115" s="2419"/>
      <c r="AF115" s="2419"/>
      <c r="AG115" s="2419"/>
      <c r="AH115" s="2419"/>
      <c r="AI115" s="2419"/>
      <c r="AJ115" s="2420"/>
      <c r="AK115" s="540"/>
      <c r="AL115" s="540"/>
      <c r="AM115" s="540"/>
      <c r="AN115" s="535"/>
      <c r="AO115" s="536" t="str">
        <f>Application!B721</f>
        <v>1 Bedroom</v>
      </c>
      <c r="AQ115" s="536">
        <f>Application!O721</f>
        <v>1071</v>
      </c>
      <c r="AU115" s="536" t="s">
        <v>1840</v>
      </c>
      <c r="AV115" s="595" t="s">
        <v>1841</v>
      </c>
      <c r="AW115" s="536" t="s">
        <v>1842</v>
      </c>
    </row>
    <row r="116" spans="1:52" s="536" customFormat="1" ht="12.75" customHeight="1">
      <c r="A116" s="540"/>
      <c r="B116" s="539"/>
      <c r="C116" s="539"/>
      <c r="D116" s="539"/>
      <c r="E116" s="2421"/>
      <c r="F116" s="2422"/>
      <c r="G116" s="2422"/>
      <c r="H116" s="2422"/>
      <c r="I116" s="2422"/>
      <c r="J116" s="2422"/>
      <c r="K116" s="2422"/>
      <c r="L116" s="2422"/>
      <c r="M116" s="2422"/>
      <c r="N116" s="2422"/>
      <c r="O116" s="2422"/>
      <c r="P116" s="2422"/>
      <c r="Q116" s="2422"/>
      <c r="R116" s="2422"/>
      <c r="S116" s="2422"/>
      <c r="T116" s="2422"/>
      <c r="U116" s="2422"/>
      <c r="V116" s="2422"/>
      <c r="W116" s="2422"/>
      <c r="X116" s="2422"/>
      <c r="Y116" s="2422"/>
      <c r="Z116" s="2422"/>
      <c r="AA116" s="2422"/>
      <c r="AB116" s="2422"/>
      <c r="AC116" s="2422"/>
      <c r="AD116" s="2422"/>
      <c r="AE116" s="2422"/>
      <c r="AF116" s="2422"/>
      <c r="AG116" s="2422"/>
      <c r="AH116" s="2422"/>
      <c r="AI116" s="2422"/>
      <c r="AJ116" s="2423"/>
      <c r="AK116" s="540"/>
      <c r="AL116" s="540"/>
      <c r="AM116" s="540"/>
      <c r="AN116" s="535"/>
      <c r="AO116" s="536">
        <f>Application!B722</f>
        <v>0</v>
      </c>
      <c r="AQ116" s="536">
        <f>Application!O722</f>
        <v>0</v>
      </c>
      <c r="AU116" s="856" t="str">
        <f>E124</f>
        <v>Studio/SRO</v>
      </c>
      <c r="AV116" s="536">
        <f t="array" ref="AV116">SUM(IF(Application!B718:F752="SRO/Studio",Application!G718:J752))</f>
        <v>63</v>
      </c>
      <c r="AW116" s="1011">
        <f>AV116/AV122</f>
        <v>0.32642487046632124</v>
      </c>
    </row>
    <row r="117" spans="1:52" s="536" customFormat="1" ht="12.75" customHeight="1">
      <c r="A117" s="540"/>
      <c r="B117" s="539"/>
      <c r="C117" s="539"/>
      <c r="D117" s="539"/>
      <c r="E117" s="2421"/>
      <c r="F117" s="2422"/>
      <c r="G117" s="2422"/>
      <c r="H117" s="2422"/>
      <c r="I117" s="2422"/>
      <c r="J117" s="2422"/>
      <c r="K117" s="2422"/>
      <c r="L117" s="2422"/>
      <c r="M117" s="2422"/>
      <c r="N117" s="2422"/>
      <c r="O117" s="2422"/>
      <c r="P117" s="2422"/>
      <c r="Q117" s="2422"/>
      <c r="R117" s="2422"/>
      <c r="S117" s="2422"/>
      <c r="T117" s="2422"/>
      <c r="U117" s="2422"/>
      <c r="V117" s="2422"/>
      <c r="W117" s="2422"/>
      <c r="X117" s="2422"/>
      <c r="Y117" s="2422"/>
      <c r="Z117" s="2422"/>
      <c r="AA117" s="2422"/>
      <c r="AB117" s="2422"/>
      <c r="AC117" s="2422"/>
      <c r="AD117" s="2422"/>
      <c r="AE117" s="2422"/>
      <c r="AF117" s="2422"/>
      <c r="AG117" s="2422"/>
      <c r="AH117" s="2422"/>
      <c r="AI117" s="2422"/>
      <c r="AJ117" s="2423"/>
      <c r="AK117" s="540"/>
      <c r="AL117" s="540"/>
      <c r="AM117" s="540"/>
      <c r="AN117" s="535"/>
      <c r="AO117" s="536" t="str">
        <f>Application!B723</f>
        <v>2 Bedrooms</v>
      </c>
      <c r="AQ117" s="536">
        <f>Application!O723</f>
        <v>1276</v>
      </c>
      <c r="AU117" s="856" t="str">
        <f>J124</f>
        <v>1-bedroom</v>
      </c>
      <c r="AV117" s="536">
        <f t="array" ref="AV117">SUM(IF(Application!B718:F752="1 Bedroom",Application!G718:J752))</f>
        <v>25</v>
      </c>
      <c r="AW117" s="1011">
        <f>AV117/AV122</f>
        <v>0.12953367875647667</v>
      </c>
    </row>
    <row r="118" spans="1:52" s="536" customFormat="1" ht="12.75" customHeight="1">
      <c r="A118" s="540"/>
      <c r="B118" s="539"/>
      <c r="C118" s="539"/>
      <c r="D118" s="539"/>
      <c r="E118" s="2421"/>
      <c r="F118" s="2422"/>
      <c r="G118" s="2422"/>
      <c r="H118" s="2422"/>
      <c r="I118" s="2422"/>
      <c r="J118" s="2422"/>
      <c r="K118" s="2422"/>
      <c r="L118" s="2422"/>
      <c r="M118" s="2422"/>
      <c r="N118" s="2422"/>
      <c r="O118" s="2422"/>
      <c r="P118" s="2422"/>
      <c r="Q118" s="2422"/>
      <c r="R118" s="2422"/>
      <c r="S118" s="2422"/>
      <c r="T118" s="2422"/>
      <c r="U118" s="2422"/>
      <c r="V118" s="2422"/>
      <c r="W118" s="2422"/>
      <c r="X118" s="2422"/>
      <c r="Y118" s="2422"/>
      <c r="Z118" s="2422"/>
      <c r="AA118" s="2422"/>
      <c r="AB118" s="2422"/>
      <c r="AC118" s="2422"/>
      <c r="AD118" s="2422"/>
      <c r="AE118" s="2422"/>
      <c r="AF118" s="2422"/>
      <c r="AG118" s="2422"/>
      <c r="AH118" s="2422"/>
      <c r="AI118" s="2422"/>
      <c r="AJ118" s="2423"/>
      <c r="AK118" s="540"/>
      <c r="AL118" s="540"/>
      <c r="AM118" s="540"/>
      <c r="AN118" s="535"/>
      <c r="AO118" s="536" t="str">
        <f>Application!B724</f>
        <v>2 Bedrooms</v>
      </c>
      <c r="AQ118" s="536">
        <f>Application!O724</f>
        <v>2181</v>
      </c>
      <c r="AU118" s="856" t="str">
        <f>O124</f>
        <v>2-bedroom</v>
      </c>
      <c r="AV118" s="536">
        <f t="array" ref="AV118">SUM(IF(Application!B718:F752="2 Bedrooms",Application!G718:J752))</f>
        <v>53</v>
      </c>
      <c r="AW118" s="1011">
        <f>AV118/AV122</f>
        <v>0.27461139896373055</v>
      </c>
    </row>
    <row r="119" spans="1:52" s="536" customFormat="1" ht="12.75" customHeight="1">
      <c r="A119" s="540"/>
      <c r="B119" s="539"/>
      <c r="C119" s="539"/>
      <c r="D119" s="539"/>
      <c r="E119" s="2421"/>
      <c r="F119" s="2422"/>
      <c r="G119" s="2422"/>
      <c r="H119" s="2422"/>
      <c r="I119" s="2422"/>
      <c r="J119" s="2422"/>
      <c r="K119" s="2422"/>
      <c r="L119" s="2422"/>
      <c r="M119" s="2422"/>
      <c r="N119" s="2422"/>
      <c r="O119" s="2422"/>
      <c r="P119" s="2422"/>
      <c r="Q119" s="2422"/>
      <c r="R119" s="2422"/>
      <c r="S119" s="2422"/>
      <c r="T119" s="2422"/>
      <c r="U119" s="2422"/>
      <c r="V119" s="2422"/>
      <c r="W119" s="2422"/>
      <c r="X119" s="2422"/>
      <c r="Y119" s="2422"/>
      <c r="Z119" s="2422"/>
      <c r="AA119" s="2422"/>
      <c r="AB119" s="2422"/>
      <c r="AC119" s="2422"/>
      <c r="AD119" s="2422"/>
      <c r="AE119" s="2422"/>
      <c r="AF119" s="2422"/>
      <c r="AG119" s="2422"/>
      <c r="AH119" s="2422"/>
      <c r="AI119" s="2422"/>
      <c r="AJ119" s="2423"/>
      <c r="AK119" s="540"/>
      <c r="AL119" s="540"/>
      <c r="AM119" s="540"/>
      <c r="AN119" s="535"/>
      <c r="AO119" s="536" t="str">
        <f>Application!B725</f>
        <v>2 Bedrooms</v>
      </c>
      <c r="AQ119" s="536">
        <f>Application!O725</f>
        <v>2633</v>
      </c>
      <c r="AU119" s="856" t="str">
        <f>T124</f>
        <v>3-bedroom</v>
      </c>
      <c r="AV119" s="536">
        <f t="array" ref="AV119">SUM(IF(Application!B718:F752="3 Bedrooms",Application!G718:J752))</f>
        <v>52</v>
      </c>
      <c r="AW119" s="1011">
        <f>AV119/AV122</f>
        <v>0.26943005181347152</v>
      </c>
    </row>
    <row r="120" spans="1:52" s="536" customFormat="1" ht="12.75" customHeight="1">
      <c r="A120" s="540"/>
      <c r="B120" s="539"/>
      <c r="C120" s="539"/>
      <c r="D120" s="539"/>
      <c r="E120" s="2421"/>
      <c r="F120" s="2422"/>
      <c r="G120" s="2422"/>
      <c r="H120" s="2422"/>
      <c r="I120" s="2422"/>
      <c r="J120" s="2422"/>
      <c r="K120" s="2422"/>
      <c r="L120" s="2422"/>
      <c r="M120" s="2422"/>
      <c r="N120" s="2422"/>
      <c r="O120" s="2422"/>
      <c r="P120" s="2422"/>
      <c r="Q120" s="2422"/>
      <c r="R120" s="2422"/>
      <c r="S120" s="2422"/>
      <c r="T120" s="2422"/>
      <c r="U120" s="2422"/>
      <c r="V120" s="2422"/>
      <c r="W120" s="2422"/>
      <c r="X120" s="2422"/>
      <c r="Y120" s="2422"/>
      <c r="Z120" s="2422"/>
      <c r="AA120" s="2422"/>
      <c r="AB120" s="2422"/>
      <c r="AC120" s="2422"/>
      <c r="AD120" s="2422"/>
      <c r="AE120" s="2422"/>
      <c r="AF120" s="2422"/>
      <c r="AG120" s="2422"/>
      <c r="AH120" s="2422"/>
      <c r="AI120" s="2422"/>
      <c r="AJ120" s="2423"/>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21"/>
      <c r="F121" s="2422"/>
      <c r="G121" s="2422"/>
      <c r="H121" s="2422"/>
      <c r="I121" s="2422"/>
      <c r="J121" s="2422"/>
      <c r="K121" s="2422"/>
      <c r="L121" s="2422"/>
      <c r="M121" s="2422"/>
      <c r="N121" s="2422"/>
      <c r="O121" s="2422"/>
      <c r="P121" s="2422"/>
      <c r="Q121" s="2422"/>
      <c r="R121" s="2422"/>
      <c r="S121" s="2422"/>
      <c r="T121" s="2422"/>
      <c r="U121" s="2422"/>
      <c r="V121" s="2422"/>
      <c r="W121" s="2422"/>
      <c r="X121" s="2422"/>
      <c r="Y121" s="2422"/>
      <c r="Z121" s="2422"/>
      <c r="AA121" s="2422"/>
      <c r="AB121" s="2422"/>
      <c r="AC121" s="2422"/>
      <c r="AD121" s="2422"/>
      <c r="AE121" s="2422"/>
      <c r="AF121" s="2422"/>
      <c r="AG121" s="2422"/>
      <c r="AH121" s="2422"/>
      <c r="AI121" s="2422"/>
      <c r="AJ121" s="2423"/>
      <c r="AK121" s="540"/>
      <c r="AL121" s="540"/>
      <c r="AM121" s="540"/>
      <c r="AN121" s="535"/>
      <c r="AO121" s="536" t="str">
        <f>Application!B727</f>
        <v>3 Bedrooms</v>
      </c>
      <c r="AQ121" s="536">
        <f>Application!O727</f>
        <v>1464</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21"/>
      <c r="F122" s="2422"/>
      <c r="G122" s="2422"/>
      <c r="H122" s="2422"/>
      <c r="I122" s="2422"/>
      <c r="J122" s="2422"/>
      <c r="K122" s="2422"/>
      <c r="L122" s="2422"/>
      <c r="M122" s="2422"/>
      <c r="N122" s="2422"/>
      <c r="O122" s="2422"/>
      <c r="P122" s="2422"/>
      <c r="Q122" s="2422"/>
      <c r="R122" s="2422"/>
      <c r="S122" s="2422"/>
      <c r="T122" s="2422"/>
      <c r="U122" s="2422"/>
      <c r="V122" s="2422"/>
      <c r="W122" s="2422"/>
      <c r="X122" s="2422"/>
      <c r="Y122" s="2422"/>
      <c r="Z122" s="2422"/>
      <c r="AA122" s="2422"/>
      <c r="AB122" s="2422"/>
      <c r="AC122" s="2422"/>
      <c r="AD122" s="2422"/>
      <c r="AE122" s="2422"/>
      <c r="AF122" s="2422"/>
      <c r="AG122" s="2422"/>
      <c r="AH122" s="2422"/>
      <c r="AI122" s="2422"/>
      <c r="AJ122" s="2423"/>
      <c r="AK122" s="540"/>
      <c r="AL122" s="540"/>
      <c r="AM122" s="540"/>
      <c r="AN122" s="535"/>
      <c r="AO122" s="536" t="str">
        <f>Application!B728</f>
        <v>3 Bedrooms</v>
      </c>
      <c r="AQ122" s="536">
        <f>Application!O728</f>
        <v>2508</v>
      </c>
      <c r="AV122" s="536">
        <f>SUM(AV116:AV121)</f>
        <v>193</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3031</v>
      </c>
    </row>
    <row r="124" spans="1:52" s="536" customFormat="1" ht="12.75" customHeight="1">
      <c r="A124" s="540"/>
      <c r="B124" s="539"/>
      <c r="C124" s="540"/>
      <c r="D124" s="540"/>
      <c r="E124" s="2401" t="s">
        <v>1588</v>
      </c>
      <c r="F124" s="2402"/>
      <c r="G124" s="2402"/>
      <c r="H124" s="2402"/>
      <c r="I124" s="577"/>
      <c r="J124" s="2402" t="s">
        <v>1631</v>
      </c>
      <c r="K124" s="2402"/>
      <c r="L124" s="2402"/>
      <c r="M124" s="2402"/>
      <c r="N124" s="577"/>
      <c r="O124" s="2402" t="s">
        <v>1632</v>
      </c>
      <c r="P124" s="2402"/>
      <c r="Q124" s="2402"/>
      <c r="R124" s="2402"/>
      <c r="S124" s="577"/>
      <c r="T124" s="2402" t="s">
        <v>1334</v>
      </c>
      <c r="U124" s="2402"/>
      <c r="V124" s="2402"/>
      <c r="W124" s="2402"/>
      <c r="X124" s="577"/>
      <c r="Y124" s="2402" t="s">
        <v>1633</v>
      </c>
      <c r="Z124" s="2402"/>
      <c r="AA124" s="2402"/>
      <c r="AB124" s="2402"/>
      <c r="AC124" s="577"/>
      <c r="AD124" s="2402" t="s">
        <v>1634</v>
      </c>
      <c r="AE124" s="2402"/>
      <c r="AF124" s="2402"/>
      <c r="AG124" s="2402"/>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61">
        <v>2322</v>
      </c>
      <c r="F127" s="2462"/>
      <c r="G127" s="2462"/>
      <c r="H127" s="2462"/>
      <c r="I127" s="864"/>
      <c r="J127" s="2462">
        <v>3012</v>
      </c>
      <c r="K127" s="2462"/>
      <c r="L127" s="2462"/>
      <c r="M127" s="2462"/>
      <c r="N127" s="864"/>
      <c r="O127" s="2462">
        <v>3532</v>
      </c>
      <c r="P127" s="2462"/>
      <c r="Q127" s="2462"/>
      <c r="R127" s="2462"/>
      <c r="S127" s="864"/>
      <c r="T127" s="2462">
        <v>4123</v>
      </c>
      <c r="U127" s="2462"/>
      <c r="V127" s="2462"/>
      <c r="W127" s="2462"/>
      <c r="X127" s="864"/>
      <c r="Y127" s="2462"/>
      <c r="Z127" s="2462"/>
      <c r="AA127" s="2462"/>
      <c r="AB127" s="2462"/>
      <c r="AC127" s="864"/>
      <c r="AD127" s="2462"/>
      <c r="AE127" s="2462"/>
      <c r="AF127" s="2462"/>
      <c r="AG127" s="2462"/>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54">
        <f>Application!DX670</f>
        <v>1696.8412698412696</v>
      </c>
      <c r="F130" s="2455"/>
      <c r="G130" s="2455"/>
      <c r="H130" s="2455"/>
      <c r="I130" s="864"/>
      <c r="J130" s="2455">
        <f>Application!EC670</f>
        <v>1071</v>
      </c>
      <c r="K130" s="2455"/>
      <c r="L130" s="2455"/>
      <c r="M130" s="2455"/>
      <c r="N130" s="864"/>
      <c r="O130" s="2455">
        <f>Application!EH670</f>
        <v>2266.0188679245284</v>
      </c>
      <c r="P130" s="2455"/>
      <c r="Q130" s="2455"/>
      <c r="R130" s="2455"/>
      <c r="S130" s="868"/>
      <c r="T130" s="2455">
        <f>Application!EM670</f>
        <v>2437.9807692307691</v>
      </c>
      <c r="U130" s="2455"/>
      <c r="V130" s="2455"/>
      <c r="W130" s="2455"/>
      <c r="X130" s="868"/>
      <c r="Y130" s="2455">
        <f>Application!ER670</f>
        <v>0</v>
      </c>
      <c r="Z130" s="2455"/>
      <c r="AA130" s="2455"/>
      <c r="AB130" s="2455"/>
      <c r="AC130" s="868"/>
      <c r="AD130" s="2455">
        <f>Application!EW670</f>
        <v>0</v>
      </c>
      <c r="AE130" s="2455"/>
      <c r="AF130" s="2455"/>
      <c r="AG130" s="2455"/>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53">
        <f>(E127-E130)/E127</f>
        <v>0.26923287259204581</v>
      </c>
      <c r="F133" s="2404"/>
      <c r="G133" s="2404"/>
      <c r="H133" s="2654"/>
      <c r="I133" s="577"/>
      <c r="J133" s="2653">
        <f>(J127-J130)/J127</f>
        <v>0.64442231075697209</v>
      </c>
      <c r="K133" s="2404"/>
      <c r="L133" s="2404"/>
      <c r="M133" s="2654"/>
      <c r="N133" s="577"/>
      <c r="O133" s="2653">
        <f>(O127-O130)/O127</f>
        <v>0.35843180409837816</v>
      </c>
      <c r="P133" s="2404"/>
      <c r="Q133" s="2404"/>
      <c r="R133" s="2654"/>
      <c r="S133" s="577"/>
      <c r="T133" s="2653">
        <f>(T127-T130)/T127</f>
        <v>0.40868766208324786</v>
      </c>
      <c r="U133" s="2404"/>
      <c r="V133" s="2404"/>
      <c r="W133" s="2654"/>
      <c r="X133" s="577"/>
      <c r="Y133" s="2653" t="e">
        <f>(Y127-Y130)/Y127</f>
        <v>#DIV/0!</v>
      </c>
      <c r="Z133" s="2404"/>
      <c r="AA133" s="2404"/>
      <c r="AB133" s="2654"/>
      <c r="AC133" s="577"/>
      <c r="AD133" s="2653" t="e">
        <f>(AD127-AD130)/AD127</f>
        <v>#DIV/0!</v>
      </c>
      <c r="AE133" s="2404"/>
      <c r="AF133" s="2404"/>
      <c r="AG133" s="2654"/>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6">
        <f>IF(((E133-0.1)*AW116)&gt;0,((E133-0.1)*AW116),0)</f>
        <v>5.5241818514502002E-2</v>
      </c>
      <c r="F136" s="2457"/>
      <c r="G136" s="2457"/>
      <c r="H136" s="2458"/>
      <c r="I136" s="577"/>
      <c r="J136" s="2456">
        <f>IF(((J133-0.1)*AW117)&gt;0,((J133-0.1)*AW117),0)</f>
        <v>7.0521024709452346E-2</v>
      </c>
      <c r="K136" s="2457"/>
      <c r="L136" s="2457"/>
      <c r="M136" s="2458"/>
      <c r="N136" s="577"/>
      <c r="O136" s="2456">
        <f>IF(((O133-0.1)*AW118)&gt;0,((O133-0.1)*AW118),0)</f>
        <v>7.0968319260176382E-2</v>
      </c>
      <c r="P136" s="2457"/>
      <c r="Q136" s="2457"/>
      <c r="R136" s="2458"/>
      <c r="S136" s="577"/>
      <c r="T136" s="2456">
        <f>IF(((T133-0.1)*AW119)&gt;0,((T133-0.1)*AW119),0)</f>
        <v>8.3169732789268855E-2</v>
      </c>
      <c r="U136" s="2457"/>
      <c r="V136" s="2457"/>
      <c r="W136" s="2458"/>
      <c r="X136" s="577"/>
      <c r="Y136" s="2456" t="e">
        <f>IF(((Y133-0.1)*AW120)&gt;0,((Y133-0.1)*AW120),0)</f>
        <v>#DIV/0!</v>
      </c>
      <c r="Z136" s="2457"/>
      <c r="AA136" s="2457"/>
      <c r="AB136" s="2458"/>
      <c r="AC136" s="577"/>
      <c r="AD136" s="2456" t="e">
        <f>IF(((AD133-0.1)*AW121)&gt;0,((AD133-0.1)*AW121),0)</f>
        <v>#DIV/0!</v>
      </c>
      <c r="AE136" s="2457"/>
      <c r="AF136" s="2457"/>
      <c r="AG136" s="2458"/>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53">
        <f>ROUNDDOWN(SUMIF(E136:AG136,"&gt;0"),2)</f>
        <v>0.27</v>
      </c>
      <c r="F138" s="2404"/>
      <c r="G138" s="2404"/>
      <c r="H138" s="2654"/>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40">
        <f>IF((E138*100)&gt;10,10,E138*100)</f>
        <v>10</v>
      </c>
      <c r="F139" s="2441"/>
      <c r="G139" s="2441"/>
      <c r="H139" s="2442"/>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40">
        <f>E139</f>
        <v>10</v>
      </c>
      <c r="AL143" s="2441"/>
      <c r="AM143" s="2442"/>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17" t="s">
        <v>1314</v>
      </c>
      <c r="AF146" s="2417"/>
      <c r="AG146" s="2417"/>
      <c r="AH146" s="2417"/>
      <c r="AI146" s="2417"/>
      <c r="AJ146" s="2417"/>
      <c r="AK146" s="2417"/>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52" t="s">
        <v>1338</v>
      </c>
      <c r="AG148" s="2452"/>
      <c r="AH148" s="2452"/>
      <c r="AI148" s="2452"/>
      <c r="AJ148" s="2452"/>
      <c r="AK148" s="2452"/>
      <c r="AL148" s="2452"/>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53" t="s">
        <v>2733</v>
      </c>
      <c r="C150" s="2453"/>
      <c r="D150" s="2453"/>
      <c r="E150" s="2453"/>
      <c r="F150" s="2453"/>
      <c r="G150" s="2453"/>
      <c r="H150" s="2453"/>
      <c r="I150" s="2453"/>
      <c r="J150" s="2453"/>
      <c r="K150" s="2453"/>
      <c r="L150" s="2453"/>
      <c r="M150" s="2453"/>
      <c r="N150" s="2453"/>
      <c r="O150" s="2453"/>
      <c r="P150" s="2453"/>
      <c r="Q150" s="2453"/>
      <c r="R150" s="2453"/>
      <c r="S150" s="2453"/>
      <c r="T150" s="2453"/>
      <c r="U150" s="2453"/>
      <c r="V150" s="2453"/>
      <c r="W150" s="2453"/>
      <c r="X150" s="2453"/>
      <c r="Y150" s="2453"/>
      <c r="Z150" s="2453"/>
      <c r="AA150" s="2453"/>
      <c r="AB150" s="2453"/>
      <c r="AC150" s="2453"/>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9" t="s">
        <v>1341</v>
      </c>
      <c r="C153" s="2479"/>
      <c r="D153" s="2479"/>
      <c r="E153" s="2479"/>
      <c r="F153" s="2479"/>
      <c r="G153" s="2479"/>
      <c r="H153" s="2479"/>
      <c r="I153" s="2479"/>
      <c r="J153" s="2479"/>
      <c r="K153" s="2479"/>
      <c r="L153" s="2479"/>
      <c r="M153" s="2479"/>
      <c r="N153" s="2479"/>
      <c r="O153" s="2479"/>
      <c r="P153" s="2479"/>
      <c r="Q153" s="2479"/>
      <c r="R153" s="2479"/>
      <c r="S153" s="2479"/>
      <c r="T153" s="2479"/>
      <c r="U153" s="2479"/>
      <c r="V153" s="2479"/>
      <c r="W153" s="2479"/>
      <c r="X153" s="2479"/>
      <c r="Y153" s="2479"/>
      <c r="Z153" s="2479"/>
      <c r="AA153" s="2479"/>
      <c r="AB153" s="2479"/>
      <c r="AC153" s="2479"/>
      <c r="AD153" s="2479"/>
      <c r="AE153" s="2479"/>
      <c r="AF153" s="2479"/>
      <c r="AG153" s="2479"/>
      <c r="AH153" s="2479"/>
      <c r="AI153" s="2479"/>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80" t="s">
        <v>591</v>
      </c>
      <c r="AC155" s="2480"/>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9" t="s">
        <v>1343</v>
      </c>
      <c r="C158" s="2479"/>
      <c r="D158" s="2479"/>
      <c r="E158" s="2479"/>
      <c r="F158" s="2479"/>
      <c r="G158" s="2479"/>
      <c r="H158" s="2479"/>
      <c r="I158" s="2479"/>
      <c r="J158" s="2479"/>
      <c r="K158" s="2479"/>
      <c r="L158" s="2479"/>
      <c r="M158" s="2479"/>
      <c r="N158" s="2479"/>
      <c r="O158" s="2479"/>
      <c r="P158" s="2479"/>
      <c r="Q158" s="2479"/>
      <c r="R158" s="2479"/>
      <c r="S158" s="2479"/>
      <c r="T158" s="2479"/>
      <c r="U158" s="2479"/>
      <c r="V158" s="2479"/>
      <c r="W158" s="2479"/>
      <c r="X158" s="2479"/>
      <c r="Y158" s="2479"/>
      <c r="Z158" s="2479"/>
      <c r="AA158" s="2479"/>
      <c r="AB158" s="2479"/>
      <c r="AC158" s="2479"/>
      <c r="AD158" s="2479"/>
      <c r="AE158" s="2479"/>
      <c r="AF158" s="2479"/>
      <c r="AG158" s="2479"/>
      <c r="AH158" s="2479"/>
      <c r="AI158" s="2479"/>
      <c r="AJ158" s="2479"/>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40" t="s">
        <v>2477</v>
      </c>
      <c r="C161" s="2640"/>
      <c r="D161" s="2640"/>
      <c r="E161" s="2640"/>
      <c r="F161" s="2640"/>
      <c r="G161" s="2640"/>
      <c r="H161" s="2640"/>
      <c r="I161" s="2640"/>
      <c r="J161" s="2640"/>
      <c r="K161" s="2640"/>
      <c r="L161" s="2640"/>
      <c r="M161" s="2640"/>
      <c r="N161" s="2640"/>
      <c r="O161" s="2640"/>
      <c r="P161" s="2640"/>
      <c r="Q161" s="2640"/>
      <c r="R161" s="2640"/>
      <c r="S161" s="2640"/>
      <c r="T161" s="2640"/>
      <c r="U161" s="2640"/>
      <c r="V161" s="2640"/>
      <c r="W161" s="2640"/>
      <c r="X161" s="2640"/>
      <c r="Y161" s="2640"/>
      <c r="Z161" s="2640"/>
      <c r="AA161" s="2640"/>
      <c r="AB161" s="2640"/>
      <c r="AC161" s="2640"/>
      <c r="AD161" s="2640"/>
      <c r="AE161" s="2640"/>
      <c r="AF161" s="2640"/>
      <c r="AG161" s="2640"/>
      <c r="AH161" s="2640"/>
      <c r="AI161" s="2640"/>
      <c r="AJ161" s="2640"/>
      <c r="AK161" s="1180"/>
      <c r="AM161" s="539"/>
      <c r="AN161" s="535"/>
      <c r="AO161" s="476"/>
      <c r="AP161" s="489"/>
    </row>
    <row r="162" spans="1:42" s="536" customFormat="1" ht="12.75" customHeight="1">
      <c r="B162" s="2640"/>
      <c r="C162" s="2640"/>
      <c r="D162" s="2640"/>
      <c r="E162" s="2640"/>
      <c r="F162" s="2640"/>
      <c r="G162" s="2640"/>
      <c r="H162" s="2640"/>
      <c r="I162" s="2640"/>
      <c r="J162" s="2640"/>
      <c r="K162" s="2640"/>
      <c r="L162" s="2640"/>
      <c r="M162" s="2640"/>
      <c r="N162" s="2640"/>
      <c r="O162" s="2640"/>
      <c r="P162" s="2640"/>
      <c r="Q162" s="2640"/>
      <c r="R162" s="2640"/>
      <c r="S162" s="2640"/>
      <c r="T162" s="2640"/>
      <c r="U162" s="2640"/>
      <c r="V162" s="2640"/>
      <c r="W162" s="2640"/>
      <c r="X162" s="2640"/>
      <c r="Y162" s="2640"/>
      <c r="Z162" s="2640"/>
      <c r="AA162" s="2640"/>
      <c r="AB162" s="2640"/>
      <c r="AC162" s="2640"/>
      <c r="AD162" s="2640"/>
      <c r="AE162" s="2640"/>
      <c r="AF162" s="2640"/>
      <c r="AG162" s="2640"/>
      <c r="AH162" s="2640"/>
      <c r="AI162" s="2640"/>
      <c r="AJ162" s="2640"/>
      <c r="AK162" s="1180"/>
      <c r="AM162" s="539"/>
      <c r="AN162" s="535"/>
      <c r="AO162" s="476"/>
      <c r="AP162" s="489"/>
    </row>
    <row r="163" spans="1:42" s="536" customFormat="1" ht="12.75" customHeight="1">
      <c r="C163" s="2543" t="s">
        <v>2478</v>
      </c>
      <c r="D163" s="2543"/>
      <c r="E163" s="2543"/>
      <c r="F163" s="2543"/>
      <c r="G163" s="2543"/>
      <c r="H163" s="2543"/>
      <c r="I163" s="2543"/>
      <c r="J163" s="2543"/>
      <c r="K163" s="2543"/>
      <c r="L163" s="2543"/>
      <c r="M163" s="2543"/>
      <c r="N163" s="2543"/>
      <c r="O163" s="2543"/>
      <c r="P163" s="2543"/>
      <c r="Q163" s="2543"/>
      <c r="R163" s="2543"/>
      <c r="S163" s="2543"/>
      <c r="T163" s="2543"/>
      <c r="U163" s="2543"/>
      <c r="V163" s="2543"/>
      <c r="W163" s="2543"/>
      <c r="X163" s="2543"/>
      <c r="Y163" s="2543"/>
      <c r="Z163" s="2543"/>
      <c r="AA163" s="2543"/>
      <c r="AB163" s="2543"/>
      <c r="AC163" s="2543"/>
      <c r="AD163" s="2543"/>
      <c r="AE163" s="2543"/>
      <c r="AF163" s="2543"/>
      <c r="AG163" s="2543"/>
      <c r="AH163" s="2543"/>
      <c r="AI163" s="2543"/>
      <c r="AJ163" s="2543"/>
      <c r="AK163" s="1180"/>
      <c r="AM163" s="539"/>
      <c r="AN163" s="535"/>
      <c r="AO163" s="476"/>
      <c r="AP163" s="489"/>
    </row>
    <row r="164" spans="1:42" s="536" customFormat="1" ht="12.75" customHeight="1">
      <c r="B164" s="1180"/>
      <c r="C164" s="2478" t="s">
        <v>2476</v>
      </c>
      <c r="D164" s="2478"/>
      <c r="E164" s="2478"/>
      <c r="F164" s="2478"/>
      <c r="G164" s="2478"/>
      <c r="H164" s="2478"/>
      <c r="I164" s="2478"/>
      <c r="J164" s="2478"/>
      <c r="K164" s="2478"/>
      <c r="L164" s="2478"/>
      <c r="M164" s="2478"/>
      <c r="N164" s="2478"/>
      <c r="O164" s="2478"/>
      <c r="P164" s="2478"/>
      <c r="Q164" s="2478"/>
      <c r="R164" s="2478"/>
      <c r="S164" s="2478"/>
      <c r="T164" s="2478"/>
      <c r="U164" s="2478"/>
      <c r="V164" s="2478"/>
      <c r="W164" s="2478"/>
      <c r="X164" s="2478"/>
      <c r="Y164" s="2478"/>
      <c r="Z164" s="2478"/>
      <c r="AA164" s="1170"/>
      <c r="AB164" s="1170"/>
      <c r="AC164" s="1170"/>
      <c r="AD164" s="1170"/>
      <c r="AE164" s="1170"/>
      <c r="AF164" s="1170"/>
      <c r="AG164" s="1170"/>
      <c r="AH164" s="1170"/>
      <c r="AJ164" s="2480" t="s">
        <v>591</v>
      </c>
      <c r="AK164" s="2480"/>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83">
        <f>IF($AB$155="N/A",VLOOKUP($B$153,$AO$151:$AP$154,2,FALSE),VLOOKUP($B$158,$AO$156:$AP$158,2,FALSE))</f>
        <v>7</v>
      </c>
      <c r="AK166" s="2483"/>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52" t="s">
        <v>1352</v>
      </c>
      <c r="AG168" s="2452"/>
      <c r="AH168" s="2452"/>
      <c r="AI168" s="2452"/>
      <c r="AJ168" s="2452"/>
      <c r="AK168" s="2452"/>
      <c r="AL168" s="2452"/>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9" t="s">
        <v>1350</v>
      </c>
      <c r="D170" s="2479"/>
      <c r="E170" s="2479"/>
      <c r="F170" s="2479"/>
      <c r="G170" s="2479"/>
      <c r="H170" s="2479"/>
      <c r="I170" s="2479"/>
      <c r="J170" s="2479"/>
      <c r="K170" s="2479"/>
      <c r="L170" s="2479"/>
      <c r="M170" s="2479"/>
      <c r="N170" s="2479"/>
      <c r="O170" s="2479"/>
      <c r="P170" s="2479"/>
      <c r="Q170" s="2479"/>
      <c r="R170" s="2479"/>
      <c r="S170" s="2479"/>
      <c r="T170" s="2479"/>
      <c r="U170" s="2479"/>
      <c r="V170" s="2479"/>
      <c r="W170" s="2479"/>
      <c r="X170" s="2479"/>
      <c r="Y170" s="2479"/>
      <c r="Z170" s="2479"/>
      <c r="AA170" s="2479"/>
      <c r="AB170" s="2479"/>
      <c r="AC170" s="2479"/>
      <c r="AD170" s="2479"/>
      <c r="AE170" s="2479"/>
      <c r="AF170" s="2479"/>
      <c r="AG170" s="2479"/>
      <c r="AH170" s="2479"/>
      <c r="AI170" s="2479"/>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80" t="s">
        <v>591</v>
      </c>
      <c r="AG172" s="2480"/>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79" t="s">
        <v>1343</v>
      </c>
      <c r="D174" s="2479"/>
      <c r="E174" s="2479"/>
      <c r="F174" s="2479"/>
      <c r="G174" s="2479"/>
      <c r="H174" s="2479"/>
      <c r="I174" s="2479"/>
      <c r="J174" s="2479"/>
      <c r="K174" s="2479"/>
      <c r="L174" s="2479"/>
      <c r="M174" s="2479"/>
      <c r="N174" s="2479"/>
      <c r="O174" s="2479"/>
      <c r="P174" s="2479"/>
      <c r="Q174" s="2479"/>
      <c r="R174" s="2479"/>
      <c r="S174" s="2479"/>
      <c r="T174" s="2479"/>
      <c r="U174" s="2479"/>
      <c r="V174" s="2479"/>
      <c r="W174" s="2479"/>
      <c r="X174" s="2479"/>
      <c r="Y174" s="2479"/>
      <c r="Z174" s="2479"/>
      <c r="AA174" s="2479"/>
      <c r="AB174" s="2479"/>
      <c r="AC174" s="2479"/>
      <c r="AD174" s="2479"/>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81" t="str">
        <f>Application!AA335</f>
        <v>Solari Enterprises, Inc.</v>
      </c>
      <c r="D178" s="2481"/>
      <c r="E178" s="2481"/>
      <c r="F178" s="2481"/>
      <c r="G178" s="2481"/>
      <c r="H178" s="2481"/>
      <c r="I178" s="2481"/>
      <c r="J178" s="2481"/>
      <c r="K178" s="2481"/>
      <c r="L178" s="2481"/>
      <c r="M178" s="2481"/>
      <c r="N178" s="2481"/>
      <c r="O178" s="2481"/>
      <c r="P178" s="2481"/>
      <c r="Q178" s="2481"/>
      <c r="R178" s="2481"/>
      <c r="S178" s="2481"/>
      <c r="T178" s="2481"/>
      <c r="U178" s="2481"/>
      <c r="V178" s="2481"/>
      <c r="W178" s="2481"/>
      <c r="X178" s="2481"/>
      <c r="Y178" s="2481"/>
      <c r="Z178" s="2481"/>
      <c r="AA178" s="2481"/>
      <c r="AB178" s="2481"/>
      <c r="AC178" s="2481"/>
      <c r="AD178" s="2481"/>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82">
        <f>IF($AF$172="N/A",VLOOKUP($C$170,$AO$170:$AP$173,2,FALSE),VLOOKUP($C$174,$AO$177:$AP$179,2,FALSE))</f>
        <v>3</v>
      </c>
      <c r="AK180" s="2482"/>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40">
        <f>$AJ$166+$AJ$180</f>
        <v>10</v>
      </c>
      <c r="AL183" s="2441"/>
      <c r="AM183" s="2442"/>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7" t="s">
        <v>1314</v>
      </c>
      <c r="AF186" s="2417"/>
      <c r="AG186" s="2417"/>
      <c r="AH186" s="2417"/>
      <c r="AI186" s="2417"/>
      <c r="AJ186" s="2417"/>
      <c r="AK186" s="2417"/>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77" t="s">
        <v>1041</v>
      </c>
      <c r="C188" s="2477"/>
      <c r="D188" s="2477"/>
      <c r="E188" s="2477"/>
      <c r="F188" s="2477"/>
      <c r="G188" s="2477"/>
      <c r="H188" s="2477"/>
      <c r="I188" s="2477"/>
      <c r="J188" s="2477"/>
      <c r="K188" s="2477"/>
      <c r="L188" s="2477"/>
      <c r="M188" s="2477"/>
      <c r="N188" s="2477"/>
      <c r="O188" s="2477"/>
      <c r="P188" s="2477"/>
      <c r="Q188" s="2477"/>
      <c r="R188" s="2477"/>
      <c r="S188" s="2477"/>
      <c r="T188" s="2477"/>
      <c r="U188" s="2477"/>
      <c r="V188" s="2477"/>
      <c r="W188" s="2477"/>
      <c r="X188" s="2477"/>
      <c r="Y188" s="2477"/>
      <c r="Z188" s="2477"/>
      <c r="AA188" s="2477"/>
      <c r="AB188" s="2477"/>
      <c r="AC188" s="2477"/>
      <c r="AD188" s="536"/>
      <c r="AE188" s="536"/>
      <c r="AF188" s="2452" t="s">
        <v>1363</v>
      </c>
      <c r="AG188" s="2452"/>
      <c r="AH188" s="2452"/>
      <c r="AI188" s="2452"/>
      <c r="AJ188" s="2452"/>
      <c r="AK188" s="2452"/>
      <c r="AL188" s="2452"/>
      <c r="AN188" s="597"/>
      <c r="AP188" s="550" t="s">
        <v>1043</v>
      </c>
      <c r="AQ188" s="550">
        <v>10</v>
      </c>
    </row>
    <row r="189" spans="1:73" s="550" customFormat="1" ht="12.75" customHeight="1">
      <c r="A189" s="536"/>
      <c r="B189" s="2478" t="s">
        <v>1726</v>
      </c>
      <c r="C189" s="2478"/>
      <c r="D189" s="2478"/>
      <c r="E189" s="2478"/>
      <c r="F189" s="2478"/>
      <c r="G189" s="2478"/>
      <c r="H189" s="2478"/>
      <c r="I189" s="2478"/>
      <c r="J189" s="2478"/>
      <c r="K189" s="2478"/>
      <c r="L189" s="2478"/>
      <c r="M189" s="2478"/>
      <c r="N189" s="2478"/>
      <c r="O189" s="2478"/>
      <c r="P189" s="2478"/>
      <c r="Q189" s="2478"/>
      <c r="R189" s="2478"/>
      <c r="S189" s="2478"/>
      <c r="T189" s="2453" t="s">
        <v>591</v>
      </c>
      <c r="U189" s="2453"/>
      <c r="V189" s="2453"/>
      <c r="W189" s="2453"/>
      <c r="X189" s="2453"/>
      <c r="Y189" s="2453"/>
      <c r="Z189" s="2453"/>
      <c r="AA189" s="2453"/>
      <c r="AB189" s="2453"/>
      <c r="AC189" s="2453"/>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87">
        <f>IF(AK84&gt;0,VLOOKUP($B$188,AP185:AQ191,2,FALSE),0)</f>
        <v>10</v>
      </c>
      <c r="AL191" s="2488"/>
      <c r="AM191" s="2489"/>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7" t="s">
        <v>1372</v>
      </c>
      <c r="AF194" s="2417"/>
      <c r="AG194" s="2417"/>
      <c r="AH194" s="2417"/>
      <c r="AI194" s="2417"/>
      <c r="AJ194" s="2417"/>
      <c r="AK194" s="2417"/>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64" t="s">
        <v>2719</v>
      </c>
      <c r="C199" s="2464"/>
      <c r="D199" s="2464"/>
      <c r="E199" s="2464"/>
      <c r="F199" s="2464"/>
      <c r="G199" s="2464"/>
      <c r="H199" s="2464"/>
      <c r="I199" s="2464"/>
      <c r="J199" s="2464"/>
      <c r="K199" s="2464"/>
      <c r="L199" s="2464"/>
      <c r="M199" s="2464"/>
      <c r="N199" s="2464"/>
      <c r="O199" s="2464"/>
      <c r="P199" s="2464"/>
      <c r="Q199" s="2464"/>
      <c r="R199" s="2464"/>
      <c r="S199" s="2464"/>
      <c r="T199" s="2464"/>
      <c r="U199" s="2464"/>
      <c r="V199" s="2464"/>
      <c r="W199" s="2464"/>
      <c r="X199" s="2464"/>
      <c r="Y199" s="2464"/>
      <c r="Z199" s="2464"/>
      <c r="AA199" s="2464"/>
      <c r="AB199" s="2464"/>
      <c r="AC199" s="846"/>
      <c r="AD199" s="2465">
        <v>15500000</v>
      </c>
      <c r="AE199" s="2465"/>
      <c r="AF199" s="2465"/>
      <c r="AG199" s="2465"/>
      <c r="AH199" s="2465"/>
      <c r="AI199" s="2465"/>
      <c r="AJ199" s="2465"/>
      <c r="AK199" s="610"/>
    </row>
    <row r="200" spans="1:40">
      <c r="A200" s="605"/>
      <c r="B200" s="2464" t="s">
        <v>2734</v>
      </c>
      <c r="C200" s="2464"/>
      <c r="D200" s="2464"/>
      <c r="E200" s="2464"/>
      <c r="F200" s="2464"/>
      <c r="G200" s="2464"/>
      <c r="H200" s="2464"/>
      <c r="I200" s="2464"/>
      <c r="J200" s="2464"/>
      <c r="K200" s="2464"/>
      <c r="L200" s="2464"/>
      <c r="M200" s="2464"/>
      <c r="N200" s="2464"/>
      <c r="O200" s="2464"/>
      <c r="P200" s="2464"/>
      <c r="Q200" s="2464"/>
      <c r="R200" s="2464"/>
      <c r="S200" s="2464"/>
      <c r="T200" s="2464"/>
      <c r="U200" s="2464"/>
      <c r="V200" s="2464"/>
      <c r="W200" s="2464"/>
      <c r="X200" s="2464"/>
      <c r="Y200" s="2464"/>
      <c r="Z200" s="2464"/>
      <c r="AA200" s="2464"/>
      <c r="AB200" s="2464"/>
      <c r="AC200" s="846"/>
      <c r="AD200" s="2465">
        <v>11115000</v>
      </c>
      <c r="AE200" s="2465"/>
      <c r="AF200" s="2465"/>
      <c r="AG200" s="2465"/>
      <c r="AH200" s="2465"/>
      <c r="AI200" s="2465"/>
      <c r="AJ200" s="2465"/>
      <c r="AK200" s="610"/>
    </row>
    <row r="201" spans="1:40">
      <c r="A201" s="605"/>
      <c r="B201" s="2464" t="s">
        <v>2614</v>
      </c>
      <c r="C201" s="2464"/>
      <c r="D201" s="2464"/>
      <c r="E201" s="2464"/>
      <c r="F201" s="2464"/>
      <c r="G201" s="2464"/>
      <c r="H201" s="2464"/>
      <c r="I201" s="2464"/>
      <c r="J201" s="2464"/>
      <c r="K201" s="2464"/>
      <c r="L201" s="2464"/>
      <c r="M201" s="2464"/>
      <c r="N201" s="2464"/>
      <c r="O201" s="2464"/>
      <c r="P201" s="2464"/>
      <c r="Q201" s="2464"/>
      <c r="R201" s="2464"/>
      <c r="S201" s="2464"/>
      <c r="T201" s="2464"/>
      <c r="U201" s="2464"/>
      <c r="V201" s="2464"/>
      <c r="W201" s="2464"/>
      <c r="X201" s="2464"/>
      <c r="Y201" s="2464"/>
      <c r="Z201" s="2464"/>
      <c r="AA201" s="2464"/>
      <c r="AB201" s="2464"/>
      <c r="AC201" s="846"/>
      <c r="AD201" s="2465">
        <v>9898877</v>
      </c>
      <c r="AE201" s="2465"/>
      <c r="AF201" s="2465"/>
      <c r="AG201" s="2465"/>
      <c r="AH201" s="2465"/>
      <c r="AI201" s="2465"/>
      <c r="AJ201" s="2465"/>
      <c r="AK201" s="610"/>
    </row>
    <row r="202" spans="1:40">
      <c r="A202" s="605"/>
      <c r="B202" s="2464"/>
      <c r="C202" s="2464"/>
      <c r="D202" s="2464"/>
      <c r="E202" s="2464"/>
      <c r="F202" s="2464"/>
      <c r="G202" s="2464"/>
      <c r="H202" s="2464"/>
      <c r="I202" s="2464"/>
      <c r="J202" s="2464"/>
      <c r="K202" s="2464"/>
      <c r="L202" s="2464"/>
      <c r="M202" s="2464"/>
      <c r="N202" s="2464"/>
      <c r="O202" s="2464"/>
      <c r="P202" s="2464"/>
      <c r="Q202" s="2464"/>
      <c r="R202" s="2464"/>
      <c r="S202" s="2464"/>
      <c r="T202" s="2464"/>
      <c r="U202" s="2464"/>
      <c r="V202" s="2464"/>
      <c r="W202" s="2464"/>
      <c r="X202" s="2464"/>
      <c r="Y202" s="2464"/>
      <c r="Z202" s="2464"/>
      <c r="AA202" s="2464"/>
      <c r="AB202" s="2464"/>
      <c r="AC202" s="846"/>
      <c r="AD202" s="2465"/>
      <c r="AE202" s="2465"/>
      <c r="AF202" s="2465"/>
      <c r="AG202" s="2465"/>
      <c r="AH202" s="2465"/>
      <c r="AI202" s="2465"/>
      <c r="AJ202" s="2465"/>
      <c r="AK202" s="610"/>
    </row>
    <row r="203" spans="1:40">
      <c r="A203" s="605"/>
      <c r="B203" s="2464"/>
      <c r="C203" s="2464"/>
      <c r="D203" s="2464"/>
      <c r="E203" s="2464"/>
      <c r="F203" s="2464"/>
      <c r="G203" s="2464"/>
      <c r="H203" s="2464"/>
      <c r="I203" s="2464"/>
      <c r="J203" s="2464"/>
      <c r="K203" s="2464"/>
      <c r="L203" s="2464"/>
      <c r="M203" s="2464"/>
      <c r="N203" s="2464"/>
      <c r="O203" s="2464"/>
      <c r="P203" s="2464"/>
      <c r="Q203" s="2464"/>
      <c r="R203" s="2464"/>
      <c r="S203" s="2464"/>
      <c r="T203" s="2464"/>
      <c r="U203" s="2464"/>
      <c r="V203" s="2464"/>
      <c r="W203" s="2464"/>
      <c r="X203" s="2464"/>
      <c r="Y203" s="2464"/>
      <c r="Z203" s="2464"/>
      <c r="AA203" s="2464"/>
      <c r="AB203" s="2464"/>
      <c r="AC203" s="846"/>
      <c r="AD203" s="2465"/>
      <c r="AE203" s="2465"/>
      <c r="AF203" s="2465"/>
      <c r="AG203" s="2465"/>
      <c r="AH203" s="2465"/>
      <c r="AI203" s="2465"/>
      <c r="AJ203" s="2465"/>
      <c r="AK203" s="610"/>
    </row>
    <row r="204" spans="1:40">
      <c r="A204" s="605"/>
      <c r="B204" s="2464"/>
      <c r="C204" s="2464"/>
      <c r="D204" s="2464"/>
      <c r="E204" s="2464"/>
      <c r="F204" s="2464"/>
      <c r="G204" s="2464"/>
      <c r="H204" s="2464"/>
      <c r="I204" s="2464"/>
      <c r="J204" s="2464"/>
      <c r="K204" s="2464"/>
      <c r="L204" s="2464"/>
      <c r="M204" s="2464"/>
      <c r="N204" s="2464"/>
      <c r="O204" s="2464"/>
      <c r="P204" s="2464"/>
      <c r="Q204" s="2464"/>
      <c r="R204" s="2464"/>
      <c r="S204" s="2464"/>
      <c r="T204" s="2464"/>
      <c r="U204" s="2464"/>
      <c r="V204" s="2464"/>
      <c r="W204" s="2464"/>
      <c r="X204" s="2464"/>
      <c r="Y204" s="2464"/>
      <c r="Z204" s="2464"/>
      <c r="AA204" s="2464"/>
      <c r="AB204" s="2464"/>
      <c r="AC204" s="846"/>
      <c r="AD204" s="2465"/>
      <c r="AE204" s="2465"/>
      <c r="AF204" s="2465"/>
      <c r="AG204" s="2465"/>
      <c r="AH204" s="2465"/>
      <c r="AI204" s="2465"/>
      <c r="AJ204" s="2465"/>
      <c r="AK204" s="610"/>
    </row>
    <row r="205" spans="1:40">
      <c r="A205" s="605"/>
      <c r="B205" s="2464"/>
      <c r="C205" s="2464"/>
      <c r="D205" s="2464"/>
      <c r="E205" s="2464"/>
      <c r="F205" s="2464"/>
      <c r="G205" s="2464"/>
      <c r="H205" s="2464"/>
      <c r="I205" s="2464"/>
      <c r="J205" s="2464"/>
      <c r="K205" s="2464"/>
      <c r="L205" s="2464"/>
      <c r="M205" s="2464"/>
      <c r="N205" s="2464"/>
      <c r="O205" s="2464"/>
      <c r="P205" s="2464"/>
      <c r="Q205" s="2464"/>
      <c r="R205" s="2464"/>
      <c r="S205" s="2464"/>
      <c r="T205" s="2464"/>
      <c r="U205" s="2464"/>
      <c r="V205" s="2464"/>
      <c r="W205" s="2464"/>
      <c r="X205" s="2464"/>
      <c r="Y205" s="2464"/>
      <c r="Z205" s="2464"/>
      <c r="AA205" s="2464"/>
      <c r="AB205" s="2464"/>
      <c r="AC205" s="846"/>
      <c r="AD205" s="2465"/>
      <c r="AE205" s="2465"/>
      <c r="AF205" s="2465"/>
      <c r="AG205" s="2465"/>
      <c r="AH205" s="2465"/>
      <c r="AI205" s="2465"/>
      <c r="AJ205" s="2465"/>
      <c r="AK205" s="610"/>
    </row>
    <row r="206" spans="1:40">
      <c r="A206" s="605"/>
      <c r="B206" s="2464"/>
      <c r="C206" s="2464"/>
      <c r="D206" s="2464"/>
      <c r="E206" s="2464"/>
      <c r="F206" s="2464"/>
      <c r="G206" s="2464"/>
      <c r="H206" s="2464"/>
      <c r="I206" s="2464"/>
      <c r="J206" s="2464"/>
      <c r="K206" s="2464"/>
      <c r="L206" s="2464"/>
      <c r="M206" s="2464"/>
      <c r="N206" s="2464"/>
      <c r="O206" s="2464"/>
      <c r="P206" s="2464"/>
      <c r="Q206" s="2464"/>
      <c r="R206" s="2464"/>
      <c r="S206" s="2464"/>
      <c r="T206" s="2464"/>
      <c r="U206" s="2464"/>
      <c r="V206" s="2464"/>
      <c r="W206" s="2464"/>
      <c r="X206" s="2464"/>
      <c r="Y206" s="2464"/>
      <c r="Z206" s="2464"/>
      <c r="AA206" s="2464"/>
      <c r="AB206" s="2464"/>
      <c r="AC206" s="846"/>
      <c r="AD206" s="2465"/>
      <c r="AE206" s="2465"/>
      <c r="AF206" s="2465"/>
      <c r="AG206" s="2465"/>
      <c r="AH206" s="2465"/>
      <c r="AI206" s="2465"/>
      <c r="AJ206" s="2465"/>
      <c r="AK206" s="610"/>
    </row>
    <row r="207" spans="1:40">
      <c r="A207" s="605"/>
      <c r="B207" s="2464"/>
      <c r="C207" s="2464"/>
      <c r="D207" s="2464"/>
      <c r="E207" s="2464"/>
      <c r="F207" s="2464"/>
      <c r="G207" s="2464"/>
      <c r="H207" s="2464"/>
      <c r="I207" s="2464"/>
      <c r="J207" s="2464"/>
      <c r="K207" s="2464"/>
      <c r="L207" s="2464"/>
      <c r="M207" s="2464"/>
      <c r="N207" s="2464"/>
      <c r="O207" s="2464"/>
      <c r="P207" s="2464"/>
      <c r="Q207" s="2464"/>
      <c r="R207" s="2464"/>
      <c r="S207" s="2464"/>
      <c r="T207" s="2464"/>
      <c r="U207" s="2464"/>
      <c r="V207" s="2464"/>
      <c r="W207" s="2464"/>
      <c r="X207" s="2464"/>
      <c r="Y207" s="2464"/>
      <c r="Z207" s="2464"/>
      <c r="AA207" s="2464"/>
      <c r="AB207" s="2464"/>
      <c r="AC207" s="846"/>
      <c r="AD207" s="2465"/>
      <c r="AE207" s="2465"/>
      <c r="AF207" s="2465"/>
      <c r="AG207" s="2465"/>
      <c r="AH207" s="2465"/>
      <c r="AI207" s="2465"/>
      <c r="AJ207" s="2465"/>
      <c r="AK207" s="610"/>
    </row>
    <row r="208" spans="1:40">
      <c r="A208" s="605"/>
      <c r="B208" s="2464"/>
      <c r="C208" s="2464"/>
      <c r="D208" s="2464"/>
      <c r="E208" s="2464"/>
      <c r="F208" s="2464"/>
      <c r="G208" s="2464"/>
      <c r="H208" s="2464"/>
      <c r="I208" s="2464"/>
      <c r="J208" s="2464"/>
      <c r="K208" s="2464"/>
      <c r="L208" s="2464"/>
      <c r="M208" s="2464"/>
      <c r="N208" s="2464"/>
      <c r="O208" s="2464"/>
      <c r="P208" s="2464"/>
      <c r="Q208" s="2464"/>
      <c r="R208" s="2464"/>
      <c r="S208" s="2464"/>
      <c r="T208" s="2464"/>
      <c r="U208" s="2464"/>
      <c r="V208" s="2464"/>
      <c r="W208" s="2464"/>
      <c r="X208" s="2464"/>
      <c r="Y208" s="2464"/>
      <c r="Z208" s="2464"/>
      <c r="AA208" s="2464"/>
      <c r="AB208" s="2464"/>
      <c r="AC208" s="846"/>
      <c r="AD208" s="2465"/>
      <c r="AE208" s="2465"/>
      <c r="AF208" s="2465"/>
      <c r="AG208" s="2465"/>
      <c r="AH208" s="2465"/>
      <c r="AI208" s="2465"/>
      <c r="AJ208" s="2465"/>
      <c r="AK208" s="610"/>
    </row>
    <row r="209" spans="1:37">
      <c r="A209" s="605"/>
      <c r="B209" s="2475" t="s">
        <v>1627</v>
      </c>
      <c r="C209" s="2475"/>
      <c r="D209" s="2475"/>
      <c r="E209" s="2475"/>
      <c r="F209" s="2475"/>
      <c r="G209" s="2475"/>
      <c r="H209" s="2475"/>
      <c r="I209" s="2475"/>
      <c r="J209" s="2475"/>
      <c r="K209" s="2475"/>
      <c r="L209" s="2475"/>
      <c r="M209" s="2475"/>
      <c r="N209" s="2475"/>
      <c r="O209" s="2475"/>
      <c r="P209" s="2475"/>
      <c r="Q209" s="2475"/>
      <c r="R209" s="2475"/>
      <c r="S209" s="2475"/>
      <c r="T209" s="2475"/>
      <c r="U209" s="2475"/>
      <c r="V209" s="2475"/>
      <c r="W209" s="2475"/>
      <c r="X209" s="2475"/>
      <c r="Y209" s="2475"/>
      <c r="Z209" s="2475"/>
      <c r="AA209" s="2475"/>
      <c r="AB209" s="2475"/>
      <c r="AC209" s="536"/>
      <c r="AD209" s="2494">
        <f>AB260</f>
        <v>10747346.730241364</v>
      </c>
      <c r="AE209" s="2494"/>
      <c r="AF209" s="2494"/>
      <c r="AG209" s="2494"/>
      <c r="AH209" s="2494"/>
      <c r="AI209" s="2494"/>
      <c r="AJ209" s="2494"/>
      <c r="AK209" s="610"/>
    </row>
    <row r="210" spans="1:37">
      <c r="A210" s="605"/>
      <c r="B210" s="2621" t="s">
        <v>1590</v>
      </c>
      <c r="C210" s="2621"/>
      <c r="D210" s="2621"/>
      <c r="E210" s="2621"/>
      <c r="F210" s="2621"/>
      <c r="G210" s="2621"/>
      <c r="H210" s="2621"/>
      <c r="I210" s="2621"/>
      <c r="J210" s="2621"/>
      <c r="K210" s="2621"/>
      <c r="L210" s="2621"/>
      <c r="M210" s="2621"/>
      <c r="N210" s="2621"/>
      <c r="O210" s="2621"/>
      <c r="P210" s="2621"/>
      <c r="Q210" s="2621"/>
      <c r="R210" s="2621"/>
      <c r="S210" s="2621"/>
      <c r="T210" s="2621"/>
      <c r="U210" s="2621"/>
      <c r="V210" s="2621"/>
      <c r="W210" s="2621"/>
      <c r="X210" s="2621"/>
      <c r="Y210" s="2621"/>
      <c r="Z210" s="2621"/>
      <c r="AA210" s="2621"/>
      <c r="AB210" s="2621"/>
      <c r="AC210" s="846"/>
      <c r="AD210" s="2495">
        <f>'Sources and Uses Budget'!B15</f>
        <v>0</v>
      </c>
      <c r="AE210" s="2495"/>
      <c r="AF210" s="2495"/>
      <c r="AG210" s="2495"/>
      <c r="AH210" s="2495"/>
      <c r="AI210" s="2495"/>
      <c r="AJ210" s="2495"/>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9">
        <f>SUM(AD199:AJ209)-AD210</f>
        <v>47261223.730241366</v>
      </c>
      <c r="AE211" s="2499"/>
      <c r="AF211" s="2499"/>
      <c r="AG211" s="2499"/>
      <c r="AH211" s="2499"/>
      <c r="AI211" s="2499"/>
      <c r="AJ211" s="2499"/>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8" t="s">
        <v>1607</v>
      </c>
      <c r="J222" s="2468"/>
      <c r="K222" s="2468"/>
      <c r="L222" s="536"/>
      <c r="M222" s="536"/>
      <c r="N222" s="536"/>
      <c r="O222" s="536"/>
      <c r="P222" s="536"/>
      <c r="Q222" s="536"/>
      <c r="R222" s="536"/>
      <c r="S222" s="536"/>
      <c r="T222" s="2656" t="s">
        <v>1601</v>
      </c>
      <c r="U222" s="2656"/>
      <c r="V222" s="2656"/>
      <c r="W222" s="2656"/>
      <c r="X222" s="2656"/>
      <c r="Y222" s="2656"/>
      <c r="Z222" s="849"/>
      <c r="AA222" s="489"/>
      <c r="AB222" s="2463" t="s">
        <v>1602</v>
      </c>
      <c r="AC222" s="2463"/>
      <c r="AD222" s="2463"/>
      <c r="AE222" s="2463"/>
      <c r="AF222" s="2463"/>
      <c r="AG222" s="2463"/>
      <c r="AH222" s="827"/>
      <c r="AI222" s="827"/>
      <c r="AJ222" s="827"/>
      <c r="AK222" s="610"/>
    </row>
    <row r="223" spans="1:37">
      <c r="A223" s="605"/>
      <c r="B223" s="2466" t="s">
        <v>1587</v>
      </c>
      <c r="C223" s="2466"/>
      <c r="D223" s="2466"/>
      <c r="E223" s="2466"/>
      <c r="F223" s="2466"/>
      <c r="G223" s="2466"/>
      <c r="I223" s="2467" t="s">
        <v>1608</v>
      </c>
      <c r="J223" s="2467"/>
      <c r="K223" s="2467"/>
      <c r="L223" s="1008"/>
      <c r="N223" s="2473" t="s">
        <v>1603</v>
      </c>
      <c r="O223" s="2473"/>
      <c r="P223" s="2473"/>
      <c r="Q223" s="2473"/>
      <c r="R223" s="2473"/>
      <c r="T223" s="2473" t="s">
        <v>1604</v>
      </c>
      <c r="U223" s="2473"/>
      <c r="V223" s="2473"/>
      <c r="W223" s="2473"/>
      <c r="X223" s="2473"/>
      <c r="Y223" s="2473"/>
      <c r="Z223" s="850"/>
      <c r="AA223" s="489"/>
      <c r="AB223" s="2610" t="s">
        <v>1605</v>
      </c>
      <c r="AC223" s="2610"/>
      <c r="AD223" s="2610"/>
      <c r="AE223" s="2610"/>
      <c r="AF223" s="2610"/>
      <c r="AG223" s="2610"/>
      <c r="AH223" s="827"/>
      <c r="AI223" s="827"/>
      <c r="AJ223" s="827"/>
      <c r="AK223" s="610"/>
    </row>
    <row r="224" spans="1:37">
      <c r="A224" s="605"/>
      <c r="B224" s="2470" t="s">
        <v>2735</v>
      </c>
      <c r="C224" s="2470"/>
      <c r="D224" s="2470"/>
      <c r="E224" s="2470"/>
      <c r="F224" s="2470"/>
      <c r="G224" s="2470"/>
      <c r="H224" s="852"/>
      <c r="I224" s="2469">
        <v>25</v>
      </c>
      <c r="J224" s="2469"/>
      <c r="K224" s="2469"/>
      <c r="L224" s="1008"/>
      <c r="N224" s="2474">
        <v>1130</v>
      </c>
      <c r="O224" s="2474"/>
      <c r="P224" s="2474"/>
      <c r="Q224" s="2474"/>
      <c r="R224" s="2474"/>
      <c r="T224" s="2622">
        <v>2827</v>
      </c>
      <c r="U224" s="2622"/>
      <c r="V224" s="2622"/>
      <c r="W224" s="2622"/>
      <c r="X224" s="2622"/>
      <c r="Y224" s="2622"/>
      <c r="Z224" s="851"/>
      <c r="AA224" s="851"/>
      <c r="AB224" s="2471">
        <f t="shared" ref="AB224:AB233" si="0">MAX(($T224-$N224)*$I224*12,0)</f>
        <v>509100</v>
      </c>
      <c r="AC224" s="2471"/>
      <c r="AD224" s="2471"/>
      <c r="AE224" s="2471"/>
      <c r="AF224" s="2471"/>
      <c r="AG224" s="2471"/>
      <c r="AH224" s="827"/>
      <c r="AI224" s="827"/>
      <c r="AJ224" s="827"/>
      <c r="AK224" s="610"/>
    </row>
    <row r="225" spans="1:37">
      <c r="A225" s="605"/>
      <c r="B225" s="2470" t="s">
        <v>2736</v>
      </c>
      <c r="C225" s="2470"/>
      <c r="D225" s="2470"/>
      <c r="E225" s="2470"/>
      <c r="F225" s="2470"/>
      <c r="G225" s="2470"/>
      <c r="I225" s="2469">
        <v>14</v>
      </c>
      <c r="J225" s="2469"/>
      <c r="K225" s="2469"/>
      <c r="L225" s="1008"/>
      <c r="N225" s="2474">
        <v>1356</v>
      </c>
      <c r="O225" s="2474"/>
      <c r="P225" s="2474"/>
      <c r="Q225" s="2474"/>
      <c r="R225" s="2474"/>
      <c r="T225" s="2622">
        <v>3278</v>
      </c>
      <c r="U225" s="2622"/>
      <c r="V225" s="2622"/>
      <c r="W225" s="2622"/>
      <c r="X225" s="2622"/>
      <c r="Y225" s="2622"/>
      <c r="Z225" s="851"/>
      <c r="AA225" s="851"/>
      <c r="AB225" s="2471">
        <f t="shared" si="0"/>
        <v>322896</v>
      </c>
      <c r="AC225" s="2471"/>
      <c r="AD225" s="2471"/>
      <c r="AE225" s="2471"/>
      <c r="AF225" s="2471"/>
      <c r="AG225" s="2471"/>
      <c r="AH225" s="827"/>
      <c r="AI225" s="827"/>
      <c r="AJ225" s="827"/>
      <c r="AK225" s="610"/>
    </row>
    <row r="226" spans="1:37">
      <c r="A226" s="605"/>
      <c r="B226" s="2470" t="s">
        <v>2737</v>
      </c>
      <c r="C226" s="2470"/>
      <c r="D226" s="2470"/>
      <c r="E226" s="2470"/>
      <c r="F226" s="2470"/>
      <c r="G226" s="2470"/>
      <c r="I226" s="2469">
        <v>10</v>
      </c>
      <c r="J226" s="2469"/>
      <c r="K226" s="2469"/>
      <c r="L226" s="1008"/>
      <c r="N226" s="2474">
        <v>1567</v>
      </c>
      <c r="O226" s="2474"/>
      <c r="P226" s="2474"/>
      <c r="Q226" s="2474"/>
      <c r="R226" s="2474"/>
      <c r="T226" s="2622">
        <v>4257</v>
      </c>
      <c r="U226" s="2622"/>
      <c r="V226" s="2622"/>
      <c r="W226" s="2622"/>
      <c r="X226" s="2622"/>
      <c r="Y226" s="2622"/>
      <c r="Z226" s="851"/>
      <c r="AA226" s="851"/>
      <c r="AB226" s="2471">
        <f t="shared" si="0"/>
        <v>322800</v>
      </c>
      <c r="AC226" s="2471"/>
      <c r="AD226" s="2471"/>
      <c r="AE226" s="2471"/>
      <c r="AF226" s="2471"/>
      <c r="AG226" s="2471"/>
      <c r="AH226" s="827"/>
      <c r="AI226" s="827"/>
      <c r="AJ226" s="827"/>
      <c r="AK226" s="610"/>
    </row>
    <row r="227" spans="1:37">
      <c r="A227" s="605"/>
      <c r="B227" s="2470" t="s">
        <v>1184</v>
      </c>
      <c r="C227" s="2470"/>
      <c r="D227" s="2470"/>
      <c r="E227" s="2470"/>
      <c r="F227" s="2470"/>
      <c r="G227" s="2470"/>
      <c r="I227" s="2469"/>
      <c r="J227" s="2469"/>
      <c r="K227" s="2469"/>
      <c r="L227" s="1008"/>
      <c r="N227" s="2474"/>
      <c r="O227" s="2474"/>
      <c r="P227" s="2474"/>
      <c r="Q227" s="2474"/>
      <c r="R227" s="2474"/>
      <c r="T227" s="2622"/>
      <c r="U227" s="2622"/>
      <c r="V227" s="2622"/>
      <c r="W227" s="2622"/>
      <c r="X227" s="2622"/>
      <c r="Y227" s="2622"/>
      <c r="Z227" s="851"/>
      <c r="AA227" s="851"/>
      <c r="AB227" s="2471">
        <f t="shared" si="0"/>
        <v>0</v>
      </c>
      <c r="AC227" s="2471"/>
      <c r="AD227" s="2471"/>
      <c r="AE227" s="2471"/>
      <c r="AF227" s="2471"/>
      <c r="AG227" s="2471"/>
      <c r="AH227" s="827"/>
      <c r="AI227" s="827"/>
      <c r="AJ227" s="827"/>
      <c r="AK227" s="610"/>
    </row>
    <row r="228" spans="1:37">
      <c r="A228" s="605"/>
      <c r="B228" s="2470" t="s">
        <v>1184</v>
      </c>
      <c r="C228" s="2470"/>
      <c r="D228" s="2470"/>
      <c r="E228" s="2470"/>
      <c r="F228" s="2470"/>
      <c r="G228" s="2470"/>
      <c r="I228" s="2469"/>
      <c r="J228" s="2469"/>
      <c r="K228" s="2469"/>
      <c r="L228" s="1015"/>
      <c r="N228" s="2474"/>
      <c r="O228" s="2474"/>
      <c r="P228" s="2474"/>
      <c r="Q228" s="2474"/>
      <c r="R228" s="2474"/>
      <c r="T228" s="2622"/>
      <c r="U228" s="2622"/>
      <c r="V228" s="2622"/>
      <c r="W228" s="2622"/>
      <c r="X228" s="2622"/>
      <c r="Y228" s="2622"/>
      <c r="Z228" s="851"/>
      <c r="AA228" s="851"/>
      <c r="AB228" s="2471">
        <f t="shared" si="0"/>
        <v>0</v>
      </c>
      <c r="AC228" s="2471"/>
      <c r="AD228" s="2471"/>
      <c r="AE228" s="2471"/>
      <c r="AF228" s="2471"/>
      <c r="AG228" s="2471"/>
      <c r="AH228" s="827"/>
      <c r="AI228" s="827"/>
      <c r="AJ228" s="827"/>
      <c r="AK228" s="610"/>
    </row>
    <row r="229" spans="1:37">
      <c r="A229" s="605"/>
      <c r="B229" s="2470" t="s">
        <v>1184</v>
      </c>
      <c r="C229" s="2470"/>
      <c r="D229" s="2470"/>
      <c r="E229" s="2470"/>
      <c r="F229" s="2470"/>
      <c r="G229" s="2470"/>
      <c r="I229" s="2469"/>
      <c r="J229" s="2469"/>
      <c r="K229" s="2469"/>
      <c r="L229" s="1015"/>
      <c r="N229" s="2474"/>
      <c r="O229" s="2474"/>
      <c r="P229" s="2474"/>
      <c r="Q229" s="2474"/>
      <c r="R229" s="2474"/>
      <c r="T229" s="2622"/>
      <c r="U229" s="2622"/>
      <c r="V229" s="2622"/>
      <c r="W229" s="2622"/>
      <c r="X229" s="2622"/>
      <c r="Y229" s="2622"/>
      <c r="Z229" s="851"/>
      <c r="AA229" s="851"/>
      <c r="AB229" s="2471">
        <f t="shared" si="0"/>
        <v>0</v>
      </c>
      <c r="AC229" s="2471"/>
      <c r="AD229" s="2471"/>
      <c r="AE229" s="2471"/>
      <c r="AF229" s="2471"/>
      <c r="AG229" s="2471"/>
      <c r="AH229" s="827"/>
      <c r="AI229" s="827"/>
      <c r="AJ229" s="827"/>
      <c r="AK229" s="610"/>
    </row>
    <row r="230" spans="1:37">
      <c r="A230" s="605"/>
      <c r="B230" s="2470" t="s">
        <v>1184</v>
      </c>
      <c r="C230" s="2470"/>
      <c r="D230" s="2470"/>
      <c r="E230" s="2470"/>
      <c r="F230" s="2470"/>
      <c r="G230" s="2470"/>
      <c r="I230" s="2469"/>
      <c r="J230" s="2469"/>
      <c r="K230" s="2469"/>
      <c r="L230" s="1015"/>
      <c r="N230" s="2474"/>
      <c r="O230" s="2474"/>
      <c r="P230" s="2474"/>
      <c r="Q230" s="2474"/>
      <c r="R230" s="2474"/>
      <c r="T230" s="2622"/>
      <c r="U230" s="2622"/>
      <c r="V230" s="2622"/>
      <c r="W230" s="2622"/>
      <c r="X230" s="2622"/>
      <c r="Y230" s="2622"/>
      <c r="Z230" s="851"/>
      <c r="AA230" s="851"/>
      <c r="AB230" s="2471">
        <f t="shared" si="0"/>
        <v>0</v>
      </c>
      <c r="AC230" s="2471"/>
      <c r="AD230" s="2471"/>
      <c r="AE230" s="2471"/>
      <c r="AF230" s="2471"/>
      <c r="AG230" s="2471"/>
      <c r="AH230" s="827"/>
      <c r="AI230" s="827"/>
      <c r="AJ230" s="827"/>
      <c r="AK230" s="610"/>
    </row>
    <row r="231" spans="1:37">
      <c r="A231" s="605"/>
      <c r="B231" s="2470" t="s">
        <v>1184</v>
      </c>
      <c r="C231" s="2470"/>
      <c r="D231" s="2470"/>
      <c r="E231" s="2470"/>
      <c r="F231" s="2470"/>
      <c r="G231" s="2470"/>
      <c r="I231" s="2469"/>
      <c r="J231" s="2469"/>
      <c r="K231" s="2469"/>
      <c r="L231" s="1015"/>
      <c r="N231" s="2474"/>
      <c r="O231" s="2474"/>
      <c r="P231" s="2474"/>
      <c r="Q231" s="2474"/>
      <c r="R231" s="2474"/>
      <c r="T231" s="2622"/>
      <c r="U231" s="2622"/>
      <c r="V231" s="2622"/>
      <c r="W231" s="2622"/>
      <c r="X231" s="2622"/>
      <c r="Y231" s="2622"/>
      <c r="Z231" s="851"/>
      <c r="AA231" s="851"/>
      <c r="AB231" s="2471">
        <f t="shared" si="0"/>
        <v>0</v>
      </c>
      <c r="AC231" s="2471"/>
      <c r="AD231" s="2471"/>
      <c r="AE231" s="2471"/>
      <c r="AF231" s="2471"/>
      <c r="AG231" s="2471"/>
      <c r="AH231" s="827"/>
      <c r="AI231" s="827"/>
      <c r="AJ231" s="827"/>
      <c r="AK231" s="610"/>
    </row>
    <row r="232" spans="1:37">
      <c r="A232" s="605"/>
      <c r="B232" s="2470" t="s">
        <v>1184</v>
      </c>
      <c r="C232" s="2470"/>
      <c r="D232" s="2470"/>
      <c r="E232" s="2470"/>
      <c r="F232" s="2470"/>
      <c r="G232" s="2470"/>
      <c r="I232" s="2469"/>
      <c r="J232" s="2469"/>
      <c r="K232" s="2469"/>
      <c r="L232" s="1015"/>
      <c r="N232" s="2474"/>
      <c r="O232" s="2474"/>
      <c r="P232" s="2474"/>
      <c r="Q232" s="2474"/>
      <c r="R232" s="2474"/>
      <c r="T232" s="2622"/>
      <c r="U232" s="2622"/>
      <c r="V232" s="2622"/>
      <c r="W232" s="2622"/>
      <c r="X232" s="2622"/>
      <c r="Y232" s="2622"/>
      <c r="Z232" s="851"/>
      <c r="AA232" s="851"/>
      <c r="AB232" s="2471">
        <f t="shared" si="0"/>
        <v>0</v>
      </c>
      <c r="AC232" s="2471"/>
      <c r="AD232" s="2471"/>
      <c r="AE232" s="2471"/>
      <c r="AF232" s="2471"/>
      <c r="AG232" s="2471"/>
      <c r="AH232" s="827"/>
      <c r="AI232" s="827"/>
      <c r="AJ232" s="827"/>
      <c r="AK232" s="610"/>
    </row>
    <row r="233" spans="1:37">
      <c r="A233" s="605"/>
      <c r="B233" s="2470" t="s">
        <v>1184</v>
      </c>
      <c r="C233" s="2470"/>
      <c r="D233" s="2470"/>
      <c r="E233" s="2470"/>
      <c r="F233" s="2470"/>
      <c r="G233" s="2470"/>
      <c r="I233" s="2472"/>
      <c r="J233" s="2472"/>
      <c r="K233" s="2472"/>
      <c r="L233" s="1015"/>
      <c r="N233" s="2474"/>
      <c r="O233" s="2474"/>
      <c r="P233" s="2474"/>
      <c r="Q233" s="2474"/>
      <c r="R233" s="2474"/>
      <c r="T233" s="2622"/>
      <c r="U233" s="2622"/>
      <c r="V233" s="2622"/>
      <c r="W233" s="2622"/>
      <c r="X233" s="2622"/>
      <c r="Y233" s="2622"/>
      <c r="Z233" s="851"/>
      <c r="AA233" s="851"/>
      <c r="AB233" s="2620">
        <f t="shared" si="0"/>
        <v>0</v>
      </c>
      <c r="AC233" s="2620"/>
      <c r="AD233" s="2620"/>
      <c r="AE233" s="2620"/>
      <c r="AF233" s="2620"/>
      <c r="AG233" s="2620"/>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71">
        <f>SUM(AB224:AB233)</f>
        <v>1154796</v>
      </c>
      <c r="AC234" s="2471"/>
      <c r="AD234" s="2471"/>
      <c r="AE234" s="2471"/>
      <c r="AF234" s="2471"/>
      <c r="AG234" s="2471"/>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23"/>
      <c r="AC240" s="2623"/>
      <c r="AD240" s="2623"/>
      <c r="AE240" s="2623"/>
      <c r="AF240" s="2623"/>
      <c r="AG240" s="2623"/>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23"/>
      <c r="AC243" s="2623"/>
      <c r="AD243" s="2623"/>
      <c r="AE243" s="2623"/>
      <c r="AF243" s="2623"/>
      <c r="AG243" s="2623"/>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55"/>
      <c r="AC244" s="2655"/>
      <c r="AD244" s="2655"/>
      <c r="AE244" s="2655"/>
      <c r="AF244" s="2655"/>
      <c r="AG244" s="2655"/>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7">
        <f>IFERROR(AB243/AB244,0)</f>
        <v>0</v>
      </c>
      <c r="AC245" s="2637"/>
      <c r="AD245" s="2637"/>
      <c r="AE245" s="2637"/>
      <c r="AF245" s="2637"/>
      <c r="AG245" s="2637"/>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20">
        <f>MAX(AB240,AB245)</f>
        <v>0</v>
      </c>
      <c r="AC247" s="2620"/>
      <c r="AD247" s="2620"/>
      <c r="AE247" s="2620"/>
      <c r="AF247" s="2620"/>
      <c r="AG247" s="2620"/>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71">
        <f>AB234+AB247</f>
        <v>1154796</v>
      </c>
      <c r="AC250" s="2471"/>
      <c r="AD250" s="2471"/>
      <c r="AE250" s="2471"/>
      <c r="AF250" s="2471"/>
      <c r="AG250" s="2471"/>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03">
        <v>0.05</v>
      </c>
      <c r="AC251" s="2503"/>
      <c r="AD251" s="2503"/>
      <c r="AE251" s="2503"/>
      <c r="AF251" s="2503"/>
      <c r="AG251" s="2503"/>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04">
        <f>AB250-(AB250*AB251)</f>
        <v>1097056.2</v>
      </c>
      <c r="AC252" s="2504"/>
      <c r="AD252" s="2504"/>
      <c r="AE252" s="2504"/>
      <c r="AF252" s="2504"/>
      <c r="AG252" s="2504"/>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71">
        <f>AB252/AB258</f>
        <v>953961.91304347827</v>
      </c>
      <c r="AC254" s="2471"/>
      <c r="AD254" s="2471"/>
      <c r="AE254" s="2471"/>
      <c r="AF254" s="2471"/>
      <c r="AG254" s="2471"/>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63">
        <v>15</v>
      </c>
      <c r="AC256" s="2463"/>
      <c r="AD256" s="2463"/>
      <c r="AE256" s="2463"/>
      <c r="AF256" s="2463"/>
      <c r="AG256" s="2463"/>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05">
        <v>0.04</v>
      </c>
      <c r="AC257" s="2505"/>
      <c r="AD257" s="2505"/>
      <c r="AE257" s="2505"/>
      <c r="AF257" s="2505"/>
      <c r="AG257" s="2505"/>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6">
        <v>1.1499999999999999</v>
      </c>
      <c r="AC258" s="2476"/>
      <c r="AD258" s="2476"/>
      <c r="AE258" s="2476"/>
      <c r="AF258" s="2476"/>
      <c r="AG258" s="2476"/>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6">
        <f>PV(AB257/12,AB256*12,-AB254/12, ,0)</f>
        <v>10747346.730241364</v>
      </c>
      <c r="AC260" s="2497"/>
      <c r="AD260" s="2497"/>
      <c r="AE260" s="2497"/>
      <c r="AF260" s="2497"/>
      <c r="AG260" s="2498"/>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00">
        <f>IFERROR(('Sources and Uses Budget'!D105/'Sources and Uses Budget'!B105),0)</f>
        <v>0</v>
      </c>
      <c r="AC266" s="2501"/>
      <c r="AD266" s="2501"/>
      <c r="AE266" s="2501"/>
      <c r="AF266" s="2501"/>
      <c r="AG266" s="2502"/>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90">
        <f>AD211*(1-AB266)</f>
        <v>47261223.730241366</v>
      </c>
      <c r="AH268" s="2490"/>
      <c r="AI268" s="2490"/>
      <c r="AJ268" s="2490"/>
      <c r="AK268" s="2490"/>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90">
        <f>'Sources and Uses Budget'!C105</f>
        <v>162592874</v>
      </c>
      <c r="AH269" s="2490"/>
      <c r="AI269" s="2490"/>
      <c r="AJ269" s="2490"/>
      <c r="AK269" s="2490"/>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91">
        <f>ROUNDDOWN(IF(AND(C292="Yes",AK84=10),((AG268*2)/AG269),AG268/AG269),2)</f>
        <v>0.28999999999999998</v>
      </c>
      <c r="AH270" s="2491"/>
      <c r="AI270" s="2491"/>
      <c r="AJ270" s="2491"/>
      <c r="AK270" s="2491"/>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92">
        <f>IFERROR(IF(AG270=0,0,IF((AG270*100)&gt;8,8,(AG270*100))),0)</f>
        <v>8</v>
      </c>
      <c r="AL273" s="2492"/>
      <c r="AM273" s="2493"/>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84" t="s">
        <v>545</v>
      </c>
      <c r="D278" s="2484"/>
      <c r="E278" s="547"/>
      <c r="F278" s="2641" t="s">
        <v>2025</v>
      </c>
      <c r="G278" s="2642"/>
      <c r="H278" s="2642"/>
      <c r="I278" s="2642"/>
      <c r="J278" s="2642"/>
      <c r="K278" s="2642"/>
      <c r="L278" s="2642"/>
      <c r="M278" s="2642"/>
      <c r="N278" s="2642"/>
      <c r="O278" s="2642"/>
      <c r="P278" s="2642"/>
      <c r="Q278" s="2642"/>
      <c r="R278" s="2642"/>
      <c r="S278" s="2642"/>
      <c r="T278" s="2642"/>
      <c r="U278" s="2642"/>
      <c r="V278" s="2642"/>
      <c r="W278" s="2642"/>
      <c r="X278" s="2642"/>
      <c r="Y278" s="2642"/>
      <c r="Z278" s="2642"/>
      <c r="AA278" s="2642"/>
      <c r="AB278" s="2642"/>
      <c r="AC278" s="2642"/>
      <c r="AD278" s="2643"/>
      <c r="AE278" s="550"/>
      <c r="AF278" s="635"/>
      <c r="AG278" s="2485" t="s">
        <v>1363</v>
      </c>
      <c r="AH278" s="2485"/>
      <c r="AI278" s="2485"/>
      <c r="AJ278" s="2485"/>
      <c r="AK278" s="550"/>
      <c r="AL278" s="550"/>
      <c r="AM278" s="550"/>
      <c r="AO278" s="550"/>
    </row>
    <row r="279" spans="1:52" ht="13.7" customHeight="1">
      <c r="A279" s="550"/>
      <c r="B279" s="596"/>
      <c r="C279" s="636"/>
      <c r="D279" s="550"/>
      <c r="E279" s="547"/>
      <c r="F279" s="2644"/>
      <c r="G279" s="2645"/>
      <c r="H279" s="2645"/>
      <c r="I279" s="2645"/>
      <c r="J279" s="2645"/>
      <c r="K279" s="2645"/>
      <c r="L279" s="2645"/>
      <c r="M279" s="2645"/>
      <c r="N279" s="2645"/>
      <c r="O279" s="2645"/>
      <c r="P279" s="2645"/>
      <c r="Q279" s="2645"/>
      <c r="R279" s="2645"/>
      <c r="S279" s="2645"/>
      <c r="T279" s="2645"/>
      <c r="U279" s="2645"/>
      <c r="V279" s="2645"/>
      <c r="W279" s="2645"/>
      <c r="X279" s="2645"/>
      <c r="Y279" s="2645"/>
      <c r="Z279" s="2645"/>
      <c r="AA279" s="2645"/>
      <c r="AB279" s="2645"/>
      <c r="AC279" s="2645"/>
      <c r="AD279" s="2646"/>
      <c r="AE279" s="550"/>
      <c r="AF279" s="635"/>
      <c r="AG279" s="635"/>
      <c r="AH279" s="635"/>
      <c r="AI279" s="635"/>
      <c r="AJ279" s="550"/>
      <c r="AK279" s="550"/>
      <c r="AL279" s="550"/>
      <c r="AM279" s="550"/>
      <c r="AO279" s="550"/>
    </row>
    <row r="280" spans="1:52">
      <c r="A280" s="550"/>
      <c r="B280" s="596"/>
      <c r="C280" s="636"/>
      <c r="D280" s="550"/>
      <c r="E280" s="547"/>
      <c r="F280" s="2644"/>
      <c r="G280" s="2645"/>
      <c r="H280" s="2645"/>
      <c r="I280" s="2645"/>
      <c r="J280" s="2645"/>
      <c r="K280" s="2645"/>
      <c r="L280" s="2645"/>
      <c r="M280" s="2645"/>
      <c r="N280" s="2645"/>
      <c r="O280" s="2645"/>
      <c r="P280" s="2645"/>
      <c r="Q280" s="2645"/>
      <c r="R280" s="2645"/>
      <c r="S280" s="2645"/>
      <c r="T280" s="2645"/>
      <c r="U280" s="2645"/>
      <c r="V280" s="2645"/>
      <c r="W280" s="2645"/>
      <c r="X280" s="2645"/>
      <c r="Y280" s="2645"/>
      <c r="Z280" s="2645"/>
      <c r="AA280" s="2645"/>
      <c r="AB280" s="2645"/>
      <c r="AC280" s="2645"/>
      <c r="AD280" s="2646"/>
      <c r="AE280" s="550"/>
      <c r="AF280" s="635"/>
      <c r="AG280" s="635"/>
      <c r="AH280" s="635"/>
      <c r="AI280" s="635"/>
      <c r="AJ280" s="550"/>
      <c r="AK280" s="550"/>
      <c r="AL280" s="550"/>
      <c r="AM280" s="550"/>
      <c r="AO280" s="550"/>
      <c r="AP280" s="637"/>
    </row>
    <row r="281" spans="1:52">
      <c r="A281" s="550"/>
      <c r="B281" s="596"/>
      <c r="C281" s="636"/>
      <c r="D281" s="550"/>
      <c r="E281" s="547"/>
      <c r="F281" s="2644"/>
      <c r="G281" s="2645"/>
      <c r="H281" s="2645"/>
      <c r="I281" s="2645"/>
      <c r="J281" s="2645"/>
      <c r="K281" s="2645"/>
      <c r="L281" s="2645"/>
      <c r="M281" s="2645"/>
      <c r="N281" s="2645"/>
      <c r="O281" s="2645"/>
      <c r="P281" s="2645"/>
      <c r="Q281" s="2645"/>
      <c r="R281" s="2645"/>
      <c r="S281" s="2645"/>
      <c r="T281" s="2645"/>
      <c r="U281" s="2645"/>
      <c r="V281" s="2645"/>
      <c r="W281" s="2645"/>
      <c r="X281" s="2645"/>
      <c r="Y281" s="2645"/>
      <c r="Z281" s="2645"/>
      <c r="AA281" s="2645"/>
      <c r="AB281" s="2645"/>
      <c r="AC281" s="2645"/>
      <c r="AD281" s="2646"/>
      <c r="AE281" s="550"/>
      <c r="AF281" s="635"/>
      <c r="AG281" s="635"/>
      <c r="AH281" s="635"/>
      <c r="AI281" s="635"/>
      <c r="AJ281" s="550"/>
      <c r="AK281" s="550"/>
      <c r="AL281" s="550"/>
      <c r="AM281" s="550"/>
      <c r="AO281" s="550"/>
      <c r="AP281" s="637"/>
    </row>
    <row r="282" spans="1:52" ht="13.7" customHeight="1">
      <c r="A282" s="550"/>
      <c r="B282" s="596"/>
      <c r="C282" s="2486"/>
      <c r="D282" s="2486"/>
      <c r="E282" s="547"/>
      <c r="F282" s="2647"/>
      <c r="G282" s="2648"/>
      <c r="H282" s="2648"/>
      <c r="I282" s="2648"/>
      <c r="J282" s="2648"/>
      <c r="K282" s="2648"/>
      <c r="L282" s="2648"/>
      <c r="M282" s="2648"/>
      <c r="N282" s="2648"/>
      <c r="O282" s="2648"/>
      <c r="P282" s="2648"/>
      <c r="Q282" s="2648"/>
      <c r="R282" s="2648"/>
      <c r="S282" s="2648"/>
      <c r="T282" s="2648"/>
      <c r="U282" s="2648"/>
      <c r="V282" s="2648"/>
      <c r="W282" s="2648"/>
      <c r="X282" s="2648"/>
      <c r="Y282" s="2648"/>
      <c r="Z282" s="2648"/>
      <c r="AA282" s="2648"/>
      <c r="AB282" s="2648"/>
      <c r="AC282" s="2648"/>
      <c r="AD282" s="2649"/>
      <c r="AE282" s="550"/>
      <c r="AF282" s="635"/>
      <c r="AG282" s="2485"/>
      <c r="AH282" s="2485"/>
      <c r="AI282" s="2485"/>
      <c r="AJ282" s="2485"/>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92">
        <f>IF($C$278="yes",10,0)</f>
        <v>10</v>
      </c>
      <c r="AL285" s="2492"/>
      <c r="AM285" s="2493"/>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0" t="s">
        <v>1382</v>
      </c>
      <c r="B292" s="1620"/>
      <c r="C292" s="2480" t="s">
        <v>591</v>
      </c>
      <c r="D292" s="2484"/>
      <c r="E292" s="547"/>
      <c r="F292" s="2512" t="s">
        <v>1383</v>
      </c>
      <c r="G292" s="2513"/>
      <c r="H292" s="2513"/>
      <c r="I292" s="2513"/>
      <c r="J292" s="2513"/>
      <c r="K292" s="2513"/>
      <c r="L292" s="2513"/>
      <c r="M292" s="2513"/>
      <c r="N292" s="2513"/>
      <c r="O292" s="2513"/>
      <c r="P292" s="2513"/>
      <c r="Q292" s="2513"/>
      <c r="R292" s="2513"/>
      <c r="S292" s="2513"/>
      <c r="T292" s="2513"/>
      <c r="U292" s="2513"/>
      <c r="V292" s="2513"/>
      <c r="W292" s="2513"/>
      <c r="X292" s="2513"/>
      <c r="Y292" s="2513"/>
      <c r="Z292" s="2513"/>
      <c r="AA292" s="2513"/>
      <c r="AB292" s="2513"/>
      <c r="AC292" s="2513"/>
      <c r="AD292" s="2514"/>
      <c r="AE292" s="642"/>
      <c r="AF292" s="550"/>
      <c r="AG292" s="2515" t="s">
        <v>2018</v>
      </c>
      <c r="AH292" s="2515"/>
      <c r="AI292" s="2515"/>
      <c r="AJ292" s="2515"/>
      <c r="AK292" s="2515"/>
      <c r="AL292" s="550"/>
      <c r="AM292" s="550"/>
      <c r="AN292" s="73"/>
      <c r="AO292" s="14"/>
      <c r="AP292" s="30"/>
      <c r="AS292" s="570"/>
      <c r="AT292" s="570"/>
      <c r="AU292" s="570"/>
      <c r="AV292" s="32"/>
      <c r="AW292" s="32"/>
    </row>
    <row r="293" spans="1:49">
      <c r="A293" s="640"/>
      <c r="B293" s="596"/>
      <c r="F293" s="2506"/>
      <c r="G293" s="2507"/>
      <c r="H293" s="2507"/>
      <c r="I293" s="2507"/>
      <c r="J293" s="2507"/>
      <c r="K293" s="2507"/>
      <c r="L293" s="2507"/>
      <c r="M293" s="2507"/>
      <c r="N293" s="2507"/>
      <c r="O293" s="2507"/>
      <c r="P293" s="2507"/>
      <c r="Q293" s="2507"/>
      <c r="R293" s="2507"/>
      <c r="S293" s="2507"/>
      <c r="T293" s="2507"/>
      <c r="U293" s="2507"/>
      <c r="V293" s="2507"/>
      <c r="W293" s="2507"/>
      <c r="X293" s="2507"/>
      <c r="Y293" s="2507"/>
      <c r="Z293" s="2507"/>
      <c r="AA293" s="2507"/>
      <c r="AB293" s="2507"/>
      <c r="AC293" s="2507"/>
      <c r="AD293" s="2508"/>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506"/>
      <c r="G294" s="2507"/>
      <c r="H294" s="2507"/>
      <c r="I294" s="2507"/>
      <c r="J294" s="2507"/>
      <c r="K294" s="2507"/>
      <c r="L294" s="2507"/>
      <c r="M294" s="2507"/>
      <c r="N294" s="2507"/>
      <c r="O294" s="2507"/>
      <c r="P294" s="2507"/>
      <c r="Q294" s="2507"/>
      <c r="R294" s="2507"/>
      <c r="S294" s="2507"/>
      <c r="T294" s="2507"/>
      <c r="U294" s="2507"/>
      <c r="V294" s="2507"/>
      <c r="W294" s="2507"/>
      <c r="X294" s="2507"/>
      <c r="Y294" s="2507"/>
      <c r="Z294" s="2507"/>
      <c r="AA294" s="2507"/>
      <c r="AB294" s="2507"/>
      <c r="AC294" s="2507"/>
      <c r="AD294" s="2508"/>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506" t="s">
        <v>2026</v>
      </c>
      <c r="G295" s="2507"/>
      <c r="H295" s="2507"/>
      <c r="I295" s="2507"/>
      <c r="J295" s="2507"/>
      <c r="K295" s="2507"/>
      <c r="L295" s="2507"/>
      <c r="M295" s="2507"/>
      <c r="N295" s="2507"/>
      <c r="O295" s="2507"/>
      <c r="P295" s="2507"/>
      <c r="Q295" s="2507"/>
      <c r="R295" s="2507"/>
      <c r="S295" s="2507"/>
      <c r="T295" s="2507"/>
      <c r="U295" s="2507"/>
      <c r="V295" s="2507"/>
      <c r="W295" s="2507"/>
      <c r="X295" s="2507"/>
      <c r="Y295" s="2507"/>
      <c r="Z295" s="2507"/>
      <c r="AA295" s="2507"/>
      <c r="AB295" s="2507"/>
      <c r="AC295" s="2507"/>
      <c r="AD295" s="2508"/>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506"/>
      <c r="G296" s="2507"/>
      <c r="H296" s="2507"/>
      <c r="I296" s="2507"/>
      <c r="J296" s="2507"/>
      <c r="K296" s="2507"/>
      <c r="L296" s="2507"/>
      <c r="M296" s="2507"/>
      <c r="N296" s="2507"/>
      <c r="O296" s="2507"/>
      <c r="P296" s="2507"/>
      <c r="Q296" s="2507"/>
      <c r="R296" s="2507"/>
      <c r="S296" s="2507"/>
      <c r="T296" s="2507"/>
      <c r="U296" s="2507"/>
      <c r="V296" s="2507"/>
      <c r="W296" s="2507"/>
      <c r="X296" s="2507"/>
      <c r="Y296" s="2507"/>
      <c r="Z296" s="2507"/>
      <c r="AA296" s="2507"/>
      <c r="AB296" s="2507"/>
      <c r="AC296" s="2507"/>
      <c r="AD296" s="2508"/>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6" t="s">
        <v>1384</v>
      </c>
      <c r="G297" s="2507"/>
      <c r="H297" s="2507"/>
      <c r="I297" s="2507"/>
      <c r="J297" s="2507"/>
      <c r="K297" s="2507"/>
      <c r="L297" s="2507"/>
      <c r="M297" s="2507"/>
      <c r="N297" s="2507"/>
      <c r="O297" s="2507"/>
      <c r="P297" s="2507"/>
      <c r="Q297" s="2507"/>
      <c r="R297" s="2507"/>
      <c r="S297" s="2507"/>
      <c r="T297" s="2507"/>
      <c r="U297" s="2507"/>
      <c r="V297" s="2507"/>
      <c r="W297" s="2507"/>
      <c r="X297" s="2507"/>
      <c r="Y297" s="2507"/>
      <c r="Z297" s="2507"/>
      <c r="AA297" s="2507"/>
      <c r="AB297" s="2507"/>
      <c r="AC297" s="2507"/>
      <c r="AD297" s="2508"/>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6"/>
      <c r="G298" s="2507"/>
      <c r="H298" s="2507"/>
      <c r="I298" s="2507"/>
      <c r="J298" s="2507"/>
      <c r="K298" s="2507"/>
      <c r="L298" s="2507"/>
      <c r="M298" s="2507"/>
      <c r="N298" s="2507"/>
      <c r="O298" s="2507"/>
      <c r="P298" s="2507"/>
      <c r="Q298" s="2507"/>
      <c r="R298" s="2507"/>
      <c r="S298" s="2507"/>
      <c r="T298" s="2507"/>
      <c r="U298" s="2507"/>
      <c r="V298" s="2507"/>
      <c r="W298" s="2507"/>
      <c r="X298" s="2507"/>
      <c r="Y298" s="2507"/>
      <c r="Z298" s="2507"/>
      <c r="AA298" s="2507"/>
      <c r="AB298" s="2507"/>
      <c r="AC298" s="2507"/>
      <c r="AD298" s="2508"/>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6" t="s">
        <v>1385</v>
      </c>
      <c r="G299" s="2507"/>
      <c r="H299" s="2507"/>
      <c r="I299" s="2507"/>
      <c r="J299" s="2507"/>
      <c r="K299" s="2507"/>
      <c r="L299" s="2507"/>
      <c r="M299" s="2507"/>
      <c r="N299" s="2507"/>
      <c r="O299" s="2507"/>
      <c r="P299" s="2507"/>
      <c r="Q299" s="2507"/>
      <c r="R299" s="2507"/>
      <c r="S299" s="2507"/>
      <c r="T299" s="2507"/>
      <c r="U299" s="2507"/>
      <c r="V299" s="2507"/>
      <c r="W299" s="2507"/>
      <c r="X299" s="2507"/>
      <c r="Y299" s="2507"/>
      <c r="Z299" s="2507"/>
      <c r="AA299" s="2507"/>
      <c r="AB299" s="2507"/>
      <c r="AC299" s="2507"/>
      <c r="AD299" s="2508"/>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9"/>
      <c r="G300" s="2510"/>
      <c r="H300" s="2510"/>
      <c r="I300" s="2510"/>
      <c r="J300" s="2510"/>
      <c r="K300" s="2510"/>
      <c r="L300" s="2510"/>
      <c r="M300" s="2510"/>
      <c r="N300" s="2510"/>
      <c r="O300" s="2510"/>
      <c r="P300" s="2510"/>
      <c r="Q300" s="2510"/>
      <c r="R300" s="2510"/>
      <c r="S300" s="2510"/>
      <c r="T300" s="2510"/>
      <c r="U300" s="2510"/>
      <c r="V300" s="2510"/>
      <c r="W300" s="2510"/>
      <c r="X300" s="2510"/>
      <c r="Y300" s="2510"/>
      <c r="Z300" s="2510"/>
      <c r="AA300" s="2510"/>
      <c r="AB300" s="2510"/>
      <c r="AC300" s="2510"/>
      <c r="AD300" s="2511"/>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0" t="s">
        <v>1386</v>
      </c>
      <c r="B302" s="1620"/>
      <c r="C302" s="2484" t="s">
        <v>545</v>
      </c>
      <c r="D302" s="2484"/>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14" t="s">
        <v>2020</v>
      </c>
      <c r="G303" s="2415"/>
      <c r="H303" s="2415"/>
      <c r="I303" s="2415"/>
      <c r="J303" s="2415"/>
      <c r="K303" s="2415"/>
      <c r="L303" s="2415"/>
      <c r="M303" s="2415"/>
      <c r="N303" s="2415"/>
      <c r="O303" s="2415"/>
      <c r="P303" s="2415"/>
      <c r="Q303" s="2415"/>
      <c r="R303" s="2415"/>
      <c r="S303" s="2415"/>
      <c r="T303" s="2415"/>
      <c r="U303" s="2415"/>
      <c r="V303" s="2415"/>
      <c r="W303" s="2415"/>
      <c r="X303" s="2415"/>
      <c r="Y303" s="2415"/>
      <c r="Z303" s="2415"/>
      <c r="AA303" s="2415"/>
      <c r="AB303" s="2415"/>
      <c r="AC303" s="2415"/>
      <c r="AD303" s="2416"/>
      <c r="AE303" s="551"/>
      <c r="AF303" s="551"/>
      <c r="AG303" s="551"/>
      <c r="AH303" s="551"/>
      <c r="AI303" s="551"/>
      <c r="AJ303" s="550"/>
      <c r="AK303" s="550"/>
      <c r="AL303" s="550"/>
      <c r="AM303" s="550"/>
      <c r="AR303" s="648"/>
    </row>
    <row r="304" spans="1:49" ht="15" customHeight="1">
      <c r="A304" s="550"/>
      <c r="B304" s="551"/>
      <c r="C304" s="550"/>
      <c r="D304" s="551"/>
      <c r="E304" s="550"/>
      <c r="F304" s="2414"/>
      <c r="G304" s="2415"/>
      <c r="H304" s="2415"/>
      <c r="I304" s="2415"/>
      <c r="J304" s="2415"/>
      <c r="K304" s="2415"/>
      <c r="L304" s="2415"/>
      <c r="M304" s="2415"/>
      <c r="N304" s="2415"/>
      <c r="O304" s="2415"/>
      <c r="P304" s="2415"/>
      <c r="Q304" s="2415"/>
      <c r="R304" s="2415"/>
      <c r="S304" s="2415"/>
      <c r="T304" s="2415"/>
      <c r="U304" s="2415"/>
      <c r="V304" s="2415"/>
      <c r="W304" s="2415"/>
      <c r="X304" s="2415"/>
      <c r="Y304" s="2415"/>
      <c r="Z304" s="2415"/>
      <c r="AA304" s="2415"/>
      <c r="AB304" s="2415"/>
      <c r="AC304" s="2415"/>
      <c r="AD304" s="2416"/>
      <c r="AE304" s="551"/>
      <c r="AF304" s="551"/>
      <c r="AG304" s="551"/>
      <c r="AH304" s="551"/>
      <c r="AI304" s="551"/>
      <c r="AJ304" s="550"/>
      <c r="AK304" s="550"/>
      <c r="AL304" s="550"/>
      <c r="AM304" s="550"/>
      <c r="AR304" s="648"/>
    </row>
    <row r="305" spans="1:44">
      <c r="A305" s="550"/>
      <c r="B305" s="551"/>
      <c r="C305" s="550"/>
      <c r="D305" s="551"/>
      <c r="E305" s="550"/>
      <c r="F305" s="2414"/>
      <c r="G305" s="2415"/>
      <c r="H305" s="2415"/>
      <c r="I305" s="2415"/>
      <c r="J305" s="2415"/>
      <c r="K305" s="2415"/>
      <c r="L305" s="2415"/>
      <c r="M305" s="2415"/>
      <c r="N305" s="2415"/>
      <c r="O305" s="2415"/>
      <c r="P305" s="2415"/>
      <c r="Q305" s="2415"/>
      <c r="R305" s="2415"/>
      <c r="S305" s="2415"/>
      <c r="T305" s="2415"/>
      <c r="U305" s="2415"/>
      <c r="V305" s="2415"/>
      <c r="W305" s="2415"/>
      <c r="X305" s="2415"/>
      <c r="Y305" s="2415"/>
      <c r="Z305" s="2415"/>
      <c r="AA305" s="2415"/>
      <c r="AB305" s="2415"/>
      <c r="AC305" s="2415"/>
      <c r="AD305" s="2416"/>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11"/>
      <c r="G306" s="2412"/>
      <c r="H306" s="2412"/>
      <c r="I306" s="2412"/>
      <c r="J306" s="2412"/>
      <c r="K306" s="2412"/>
      <c r="L306" s="2412"/>
      <c r="M306" s="2412"/>
      <c r="N306" s="2412"/>
      <c r="O306" s="2412"/>
      <c r="P306" s="2412"/>
      <c r="Q306" s="2412"/>
      <c r="R306" s="2412"/>
      <c r="S306" s="2412"/>
      <c r="T306" s="2412"/>
      <c r="U306" s="2412"/>
      <c r="V306" s="2412"/>
      <c r="W306" s="2412"/>
      <c r="X306" s="2412"/>
      <c r="Y306" s="2412"/>
      <c r="Z306" s="2412"/>
      <c r="AA306" s="2412"/>
      <c r="AB306" s="2412"/>
      <c r="AC306" s="2412"/>
      <c r="AD306" s="2413"/>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0" t="s">
        <v>1389</v>
      </c>
      <c r="B310" s="1620"/>
      <c r="C310" s="2484" t="s">
        <v>591</v>
      </c>
      <c r="D310" s="2484"/>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506" t="s">
        <v>2027</v>
      </c>
      <c r="G311" s="2507"/>
      <c r="H311" s="2507"/>
      <c r="I311" s="2507"/>
      <c r="J311" s="2507"/>
      <c r="K311" s="2507"/>
      <c r="L311" s="2507"/>
      <c r="M311" s="2507"/>
      <c r="N311" s="2507"/>
      <c r="O311" s="2507"/>
      <c r="P311" s="2507"/>
      <c r="Q311" s="2507"/>
      <c r="R311" s="2507"/>
      <c r="S311" s="2507"/>
      <c r="T311" s="2507"/>
      <c r="U311" s="2507"/>
      <c r="V311" s="2507"/>
      <c r="W311" s="2507"/>
      <c r="X311" s="2507"/>
      <c r="Y311" s="2507"/>
      <c r="Z311" s="2507"/>
      <c r="AA311" s="2507"/>
      <c r="AB311" s="2507"/>
      <c r="AC311" s="2507"/>
      <c r="AD311" s="2508"/>
      <c r="AE311" s="551"/>
      <c r="AF311" s="551"/>
      <c r="AG311" s="539"/>
      <c r="AH311" s="551"/>
      <c r="AI311" s="551"/>
      <c r="AJ311" s="550"/>
      <c r="AK311" s="550"/>
      <c r="AL311" s="550"/>
      <c r="AM311" s="550"/>
      <c r="AN311" s="73"/>
      <c r="AO311" s="14"/>
      <c r="AP311" s="557" t="s">
        <v>1184</v>
      </c>
    </row>
    <row r="312" spans="1:44" hidden="1">
      <c r="F312" s="2506"/>
      <c r="G312" s="2507"/>
      <c r="H312" s="2507"/>
      <c r="I312" s="2507"/>
      <c r="J312" s="2507"/>
      <c r="K312" s="2507"/>
      <c r="L312" s="2507"/>
      <c r="M312" s="2507"/>
      <c r="N312" s="2507"/>
      <c r="O312" s="2507"/>
      <c r="P312" s="2507"/>
      <c r="Q312" s="2507"/>
      <c r="R312" s="2507"/>
      <c r="S312" s="2507"/>
      <c r="T312" s="2507"/>
      <c r="U312" s="2507"/>
      <c r="V312" s="2507"/>
      <c r="W312" s="2507"/>
      <c r="X312" s="2507"/>
      <c r="Y312" s="2507"/>
      <c r="Z312" s="2507"/>
      <c r="AA312" s="2507"/>
      <c r="AB312" s="2507"/>
      <c r="AC312" s="2507"/>
      <c r="AD312" s="2508"/>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6" t="s">
        <v>1184</v>
      </c>
      <c r="G316" s="2517"/>
      <c r="H316" s="2517"/>
      <c r="I316" s="2517"/>
      <c r="J316" s="2517"/>
      <c r="K316" s="2517"/>
      <c r="L316" s="2517"/>
      <c r="M316" s="2517"/>
      <c r="N316" s="2517"/>
      <c r="O316" s="2517"/>
      <c r="P316" s="2517"/>
      <c r="Q316" s="2517"/>
      <c r="R316" s="2517"/>
      <c r="S316" s="2517"/>
      <c r="T316" s="2517"/>
      <c r="U316" s="2517"/>
      <c r="V316" s="2517"/>
      <c r="W316" s="2517"/>
      <c r="X316" s="2517"/>
      <c r="Y316" s="2517"/>
      <c r="Z316" s="2517"/>
      <c r="AA316" s="2517"/>
      <c r="AB316" s="2517"/>
      <c r="AC316" s="2517"/>
      <c r="AD316" s="2518"/>
      <c r="AE316" s="642"/>
      <c r="AF316" s="642"/>
      <c r="AG316" s="642"/>
      <c r="AH316" s="642"/>
      <c r="AI316" s="642"/>
      <c r="AJ316" s="642"/>
      <c r="AK316" s="642"/>
      <c r="AL316" s="550"/>
      <c r="AM316" s="550"/>
      <c r="AN316" s="73"/>
      <c r="AO316" s="14"/>
      <c r="AP316" s="30"/>
    </row>
    <row r="317" spans="1:44" hidden="1">
      <c r="A317" s="550"/>
      <c r="B317" s="551"/>
      <c r="C317" s="730"/>
      <c r="D317" s="730"/>
      <c r="E317" s="547"/>
      <c r="F317" s="2516"/>
      <c r="G317" s="2517"/>
      <c r="H317" s="2517"/>
      <c r="I317" s="2517"/>
      <c r="J317" s="2517"/>
      <c r="K317" s="2517"/>
      <c r="L317" s="2517"/>
      <c r="M317" s="2517"/>
      <c r="N317" s="2517"/>
      <c r="O317" s="2517"/>
      <c r="P317" s="2517"/>
      <c r="Q317" s="2517"/>
      <c r="R317" s="2517"/>
      <c r="S317" s="2517"/>
      <c r="T317" s="2517"/>
      <c r="U317" s="2517"/>
      <c r="V317" s="2517"/>
      <c r="W317" s="2517"/>
      <c r="X317" s="2517"/>
      <c r="Y317" s="2517"/>
      <c r="Z317" s="2517"/>
      <c r="AA317" s="2517"/>
      <c r="AB317" s="2517"/>
      <c r="AC317" s="2517"/>
      <c r="AD317" s="2518"/>
      <c r="AE317" s="551"/>
      <c r="AF317" s="551"/>
      <c r="AG317" s="539"/>
      <c r="AH317" s="551"/>
      <c r="AI317" s="551"/>
      <c r="AJ317" s="550"/>
      <c r="AK317" s="550"/>
      <c r="AL317" s="550"/>
      <c r="AM317" s="550"/>
      <c r="AN317" s="73"/>
      <c r="AO317" s="14"/>
      <c r="AP317" s="30"/>
    </row>
    <row r="318" spans="1:44" hidden="1">
      <c r="A318" s="550"/>
      <c r="B318" s="551"/>
      <c r="C318" s="730"/>
      <c r="D318" s="730"/>
      <c r="E318" s="547"/>
      <c r="F318" s="2516"/>
      <c r="G318" s="2517"/>
      <c r="H318" s="2517"/>
      <c r="I318" s="2517"/>
      <c r="J318" s="2517"/>
      <c r="K318" s="2517"/>
      <c r="L318" s="2517"/>
      <c r="M318" s="2517"/>
      <c r="N318" s="2517"/>
      <c r="O318" s="2517"/>
      <c r="P318" s="2517"/>
      <c r="Q318" s="2517"/>
      <c r="R318" s="2517"/>
      <c r="S318" s="2517"/>
      <c r="T318" s="2517"/>
      <c r="U318" s="2517"/>
      <c r="V318" s="2517"/>
      <c r="W318" s="2517"/>
      <c r="X318" s="2517"/>
      <c r="Y318" s="2517"/>
      <c r="Z318" s="2517"/>
      <c r="AA318" s="2517"/>
      <c r="AB318" s="2517"/>
      <c r="AC318" s="2517"/>
      <c r="AD318" s="2518"/>
      <c r="AE318" s="551"/>
      <c r="AF318" s="551"/>
      <c r="AG318" s="539"/>
      <c r="AH318" s="551"/>
      <c r="AI318" s="551"/>
      <c r="AJ318" s="550"/>
      <c r="AK318" s="550"/>
      <c r="AL318" s="550"/>
      <c r="AM318" s="550"/>
      <c r="AN318" s="73"/>
      <c r="AO318" s="14"/>
      <c r="AP318" s="30"/>
    </row>
    <row r="319" spans="1:44" hidden="1">
      <c r="A319" s="550"/>
      <c r="B319" s="551"/>
      <c r="C319" s="730"/>
      <c r="D319" s="730"/>
      <c r="E319" s="547"/>
      <c r="F319" s="2516"/>
      <c r="G319" s="2517"/>
      <c r="H319" s="2517"/>
      <c r="I319" s="2517"/>
      <c r="J319" s="2517"/>
      <c r="K319" s="2517"/>
      <c r="L319" s="2517"/>
      <c r="M319" s="2517"/>
      <c r="N319" s="2517"/>
      <c r="O319" s="2517"/>
      <c r="P319" s="2517"/>
      <c r="Q319" s="2517"/>
      <c r="R319" s="2517"/>
      <c r="S319" s="2517"/>
      <c r="T319" s="2517"/>
      <c r="U319" s="2517"/>
      <c r="V319" s="2517"/>
      <c r="W319" s="2517"/>
      <c r="X319" s="2517"/>
      <c r="Y319" s="2517"/>
      <c r="Z319" s="2517"/>
      <c r="AA319" s="2517"/>
      <c r="AB319" s="2517"/>
      <c r="AC319" s="2517"/>
      <c r="AD319" s="2518"/>
      <c r="AE319" s="551"/>
      <c r="AF319" s="551"/>
      <c r="AG319" s="539"/>
      <c r="AH319" s="551"/>
      <c r="AI319" s="551"/>
      <c r="AJ319" s="550"/>
      <c r="AK319" s="550"/>
      <c r="AL319" s="550"/>
      <c r="AM319" s="550"/>
      <c r="AN319" s="73"/>
      <c r="AO319" s="14"/>
      <c r="AP319" s="30"/>
    </row>
    <row r="320" spans="1:44" hidden="1">
      <c r="A320" s="550"/>
      <c r="B320" s="551"/>
      <c r="C320" s="730"/>
      <c r="D320" s="730"/>
      <c r="E320" s="547"/>
      <c r="F320" s="2519"/>
      <c r="G320" s="2520"/>
      <c r="H320" s="2520"/>
      <c r="I320" s="2520"/>
      <c r="J320" s="2520"/>
      <c r="K320" s="2520"/>
      <c r="L320" s="2520"/>
      <c r="M320" s="2520"/>
      <c r="N320" s="2520"/>
      <c r="O320" s="2520"/>
      <c r="P320" s="2520"/>
      <c r="Q320" s="2520"/>
      <c r="R320" s="2520"/>
      <c r="S320" s="2520"/>
      <c r="T320" s="2520"/>
      <c r="U320" s="2520"/>
      <c r="V320" s="2520"/>
      <c r="W320" s="2520"/>
      <c r="X320" s="2520"/>
      <c r="Y320" s="2520"/>
      <c r="Z320" s="2520"/>
      <c r="AA320" s="2520"/>
      <c r="AB320" s="2520"/>
      <c r="AC320" s="2520"/>
      <c r="AD320" s="2521"/>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22" t="s">
        <v>1184</v>
      </c>
      <c r="J324" s="2522"/>
      <c r="K324" s="2522"/>
      <c r="L324" s="2522"/>
      <c r="M324" s="2522"/>
      <c r="N324" s="2522"/>
      <c r="O324" s="2522"/>
      <c r="P324" s="2522"/>
      <c r="Q324" s="2522"/>
      <c r="R324" s="2522"/>
      <c r="S324" s="2522"/>
      <c r="T324" s="2522"/>
      <c r="U324" s="2522"/>
      <c r="V324" s="2522"/>
      <c r="W324" s="2522"/>
      <c r="X324" s="2522"/>
      <c r="Y324" s="2522"/>
      <c r="Z324" s="2522"/>
      <c r="AA324" s="2522"/>
      <c r="AB324" s="2522"/>
      <c r="AC324" s="2522"/>
      <c r="AD324" s="2523"/>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22"/>
      <c r="J325" s="2522"/>
      <c r="K325" s="2522"/>
      <c r="L325" s="2522"/>
      <c r="M325" s="2522"/>
      <c r="N325" s="2522"/>
      <c r="O325" s="2522"/>
      <c r="P325" s="2522"/>
      <c r="Q325" s="2522"/>
      <c r="R325" s="2522"/>
      <c r="S325" s="2522"/>
      <c r="T325" s="2522"/>
      <c r="U325" s="2522"/>
      <c r="V325" s="2522"/>
      <c r="W325" s="2522"/>
      <c r="X325" s="2522"/>
      <c r="Y325" s="2522"/>
      <c r="Z325" s="2522"/>
      <c r="AA325" s="2522"/>
      <c r="AB325" s="2522"/>
      <c r="AC325" s="2522"/>
      <c r="AD325" s="2523"/>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22"/>
      <c r="J326" s="2522"/>
      <c r="K326" s="2522"/>
      <c r="L326" s="2522"/>
      <c r="M326" s="2522"/>
      <c r="N326" s="2522"/>
      <c r="O326" s="2522"/>
      <c r="P326" s="2522"/>
      <c r="Q326" s="2522"/>
      <c r="R326" s="2522"/>
      <c r="S326" s="2522"/>
      <c r="T326" s="2522"/>
      <c r="U326" s="2522"/>
      <c r="V326" s="2522"/>
      <c r="W326" s="2522"/>
      <c r="X326" s="2522"/>
      <c r="Y326" s="2522"/>
      <c r="Z326" s="2522"/>
      <c r="AA326" s="2522"/>
      <c r="AB326" s="2522"/>
      <c r="AC326" s="2522"/>
      <c r="AD326" s="2523"/>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24"/>
      <c r="J327" s="2524"/>
      <c r="K327" s="2524"/>
      <c r="L327" s="2524"/>
      <c r="M327" s="2524"/>
      <c r="N327" s="2524"/>
      <c r="O327" s="2524"/>
      <c r="P327" s="2524"/>
      <c r="Q327" s="2524"/>
      <c r="R327" s="2524"/>
      <c r="S327" s="2524"/>
      <c r="T327" s="2524"/>
      <c r="U327" s="2524"/>
      <c r="V327" s="2524"/>
      <c r="W327" s="2524"/>
      <c r="X327" s="2524"/>
      <c r="Y327" s="2524"/>
      <c r="Z327" s="2524"/>
      <c r="AA327" s="2524"/>
      <c r="AB327" s="2524"/>
      <c r="AC327" s="2524"/>
      <c r="AD327" s="2525"/>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22" t="s">
        <v>1184</v>
      </c>
      <c r="J329" s="2522"/>
      <c r="K329" s="2522"/>
      <c r="L329" s="2522"/>
      <c r="M329" s="2522"/>
      <c r="N329" s="2522"/>
      <c r="O329" s="2522"/>
      <c r="P329" s="2522"/>
      <c r="Q329" s="2522"/>
      <c r="R329" s="2522"/>
      <c r="S329" s="2522"/>
      <c r="T329" s="2522"/>
      <c r="U329" s="2522"/>
      <c r="V329" s="2522"/>
      <c r="W329" s="2522"/>
      <c r="X329" s="2522"/>
      <c r="Y329" s="2522"/>
      <c r="Z329" s="2522"/>
      <c r="AA329" s="2522"/>
      <c r="AB329" s="2522"/>
      <c r="AC329" s="2522"/>
      <c r="AD329" s="2523"/>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22"/>
      <c r="J330" s="2522"/>
      <c r="K330" s="2522"/>
      <c r="L330" s="2522"/>
      <c r="M330" s="2522"/>
      <c r="N330" s="2522"/>
      <c r="O330" s="2522"/>
      <c r="P330" s="2522"/>
      <c r="Q330" s="2522"/>
      <c r="R330" s="2522"/>
      <c r="S330" s="2522"/>
      <c r="T330" s="2522"/>
      <c r="U330" s="2522"/>
      <c r="V330" s="2522"/>
      <c r="W330" s="2522"/>
      <c r="X330" s="2522"/>
      <c r="Y330" s="2522"/>
      <c r="Z330" s="2522"/>
      <c r="AA330" s="2522"/>
      <c r="AB330" s="2522"/>
      <c r="AC330" s="2522"/>
      <c r="AD330" s="2523"/>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24"/>
      <c r="J331" s="2524"/>
      <c r="K331" s="2524"/>
      <c r="L331" s="2524"/>
      <c r="M331" s="2524"/>
      <c r="N331" s="2524"/>
      <c r="O331" s="2524"/>
      <c r="P331" s="2524"/>
      <c r="Q331" s="2524"/>
      <c r="R331" s="2524"/>
      <c r="S331" s="2524"/>
      <c r="T331" s="2524"/>
      <c r="U331" s="2524"/>
      <c r="V331" s="2524"/>
      <c r="W331" s="2524"/>
      <c r="X331" s="2524"/>
      <c r="Y331" s="2524"/>
      <c r="Z331" s="2524"/>
      <c r="AA331" s="2524"/>
      <c r="AB331" s="2524"/>
      <c r="AC331" s="2524"/>
      <c r="AD331" s="2525"/>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0" t="s">
        <v>1392</v>
      </c>
      <c r="B333" s="1620"/>
      <c r="C333" s="2484" t="s">
        <v>591</v>
      </c>
      <c r="D333" s="2484"/>
      <c r="E333" s="547"/>
      <c r="F333" s="2408" t="s">
        <v>2028</v>
      </c>
      <c r="G333" s="2409"/>
      <c r="H333" s="2409"/>
      <c r="I333" s="2409"/>
      <c r="J333" s="2409"/>
      <c r="K333" s="2409"/>
      <c r="L333" s="2409"/>
      <c r="M333" s="2409"/>
      <c r="N333" s="2409"/>
      <c r="O333" s="2409"/>
      <c r="P333" s="2409"/>
      <c r="Q333" s="2409"/>
      <c r="R333" s="2409"/>
      <c r="S333" s="2409"/>
      <c r="T333" s="2409"/>
      <c r="U333" s="2409"/>
      <c r="V333" s="2409"/>
      <c r="W333" s="2409"/>
      <c r="X333" s="2409"/>
      <c r="Y333" s="2409"/>
      <c r="Z333" s="2409"/>
      <c r="AA333" s="2409"/>
      <c r="AB333" s="2409"/>
      <c r="AC333" s="2409"/>
      <c r="AD333" s="2410"/>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14"/>
      <c r="G334" s="2415"/>
      <c r="H334" s="2415"/>
      <c r="I334" s="2415"/>
      <c r="J334" s="2415"/>
      <c r="K334" s="2415"/>
      <c r="L334" s="2415"/>
      <c r="M334" s="2415"/>
      <c r="N334" s="2415"/>
      <c r="O334" s="2415"/>
      <c r="P334" s="2415"/>
      <c r="Q334" s="2415"/>
      <c r="R334" s="2415"/>
      <c r="S334" s="2415"/>
      <c r="T334" s="2415"/>
      <c r="U334" s="2415"/>
      <c r="V334" s="2415"/>
      <c r="W334" s="2415"/>
      <c r="X334" s="2415"/>
      <c r="Y334" s="2415"/>
      <c r="Z334" s="2415"/>
      <c r="AA334" s="2415"/>
      <c r="AB334" s="2415"/>
      <c r="AC334" s="2415"/>
      <c r="AD334" s="2416"/>
      <c r="AE334" s="551"/>
      <c r="AF334" s="551"/>
      <c r="AG334" s="551"/>
      <c r="AH334" s="551"/>
      <c r="AI334" s="551"/>
      <c r="AJ334" s="550"/>
      <c r="AK334" s="550"/>
      <c r="AL334" s="550"/>
      <c r="AM334" s="550"/>
      <c r="AN334" s="73"/>
      <c r="AO334" s="14"/>
    </row>
    <row r="335" spans="1:42" ht="15" hidden="1" customHeight="1">
      <c r="A335" s="550"/>
      <c r="B335" s="551"/>
      <c r="C335" s="551"/>
      <c r="D335" s="551"/>
      <c r="E335" s="551"/>
      <c r="F335" s="2414"/>
      <c r="G335" s="2415"/>
      <c r="H335" s="2415"/>
      <c r="I335" s="2415"/>
      <c r="J335" s="2415"/>
      <c r="K335" s="2415"/>
      <c r="L335" s="2415"/>
      <c r="M335" s="2415"/>
      <c r="N335" s="2415"/>
      <c r="O335" s="2415"/>
      <c r="P335" s="2415"/>
      <c r="Q335" s="2415"/>
      <c r="R335" s="2415"/>
      <c r="S335" s="2415"/>
      <c r="T335" s="2415"/>
      <c r="U335" s="2415"/>
      <c r="V335" s="2415"/>
      <c r="W335" s="2415"/>
      <c r="X335" s="2415"/>
      <c r="Y335" s="2415"/>
      <c r="Z335" s="2415"/>
      <c r="AA335" s="2415"/>
      <c r="AB335" s="2415"/>
      <c r="AC335" s="2415"/>
      <c r="AD335" s="2416"/>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87">
        <f>IF(NOT(OR(Application!M355="Yes",Application!M356="Yes")),0,AP295)</f>
        <v>9</v>
      </c>
      <c r="AL338" s="2488"/>
      <c r="AM338" s="2489"/>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17" t="s">
        <v>1314</v>
      </c>
      <c r="AF341" s="2417"/>
      <c r="AG341" s="2417"/>
      <c r="AH341" s="2417"/>
      <c r="AI341" s="2417"/>
      <c r="AJ341" s="2417"/>
      <c r="AK341" s="2417"/>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6" t="s">
        <v>1454</v>
      </c>
      <c r="D343" s="2526"/>
      <c r="E343" s="2526"/>
      <c r="F343" s="2526"/>
      <c r="G343" s="2526"/>
      <c r="H343" s="2526"/>
      <c r="I343" s="2526"/>
      <c r="J343" s="2526"/>
      <c r="K343" s="2526"/>
      <c r="L343" s="2526"/>
      <c r="M343" s="2526"/>
      <c r="N343" s="2526"/>
      <c r="O343" s="2526"/>
      <c r="P343" s="2526"/>
      <c r="Q343" s="2526"/>
      <c r="R343" s="2526"/>
      <c r="S343" s="2526"/>
      <c r="T343" s="2526"/>
      <c r="U343" s="2526"/>
      <c r="V343" s="2526"/>
      <c r="W343" s="2526"/>
      <c r="X343" s="2526"/>
      <c r="Y343" s="2526"/>
      <c r="Z343" s="2526"/>
      <c r="AA343" s="2526"/>
      <c r="AB343" s="2526"/>
      <c r="AC343" s="2526"/>
      <c r="AD343" s="2526"/>
      <c r="AE343" s="2526"/>
      <c r="AF343" s="2526"/>
      <c r="AG343" s="2526"/>
      <c r="AH343" s="2526"/>
      <c r="AI343" s="2526"/>
      <c r="AJ343" s="2526"/>
      <c r="AK343" s="603"/>
      <c r="AL343" s="603"/>
      <c r="AM343" s="603"/>
      <c r="AN343" s="597"/>
    </row>
    <row r="344" spans="1:44" s="550" customFormat="1" ht="12.75" customHeight="1">
      <c r="A344" s="603"/>
      <c r="B344" s="611"/>
      <c r="C344" s="2526"/>
      <c r="D344" s="2526"/>
      <c r="E344" s="2526"/>
      <c r="F344" s="2526"/>
      <c r="G344" s="2526"/>
      <c r="H344" s="2526"/>
      <c r="I344" s="2526"/>
      <c r="J344" s="2526"/>
      <c r="K344" s="2526"/>
      <c r="L344" s="2526"/>
      <c r="M344" s="2526"/>
      <c r="N344" s="2526"/>
      <c r="O344" s="2526"/>
      <c r="P344" s="2526"/>
      <c r="Q344" s="2526"/>
      <c r="R344" s="2526"/>
      <c r="S344" s="2526"/>
      <c r="T344" s="2526"/>
      <c r="U344" s="2526"/>
      <c r="V344" s="2526"/>
      <c r="W344" s="2526"/>
      <c r="X344" s="2526"/>
      <c r="Y344" s="2526"/>
      <c r="Z344" s="2526"/>
      <c r="AA344" s="2526"/>
      <c r="AB344" s="2526"/>
      <c r="AC344" s="2526"/>
      <c r="AD344" s="2526"/>
      <c r="AE344" s="2526"/>
      <c r="AF344" s="2526"/>
      <c r="AG344" s="2526"/>
      <c r="AH344" s="2526"/>
      <c r="AI344" s="2526"/>
      <c r="AJ344" s="2526"/>
      <c r="AK344" s="603"/>
      <c r="AL344" s="603"/>
      <c r="AM344" s="603"/>
      <c r="AN344" s="597"/>
    </row>
    <row r="345" spans="1:44" s="550" customFormat="1" ht="12.75" customHeight="1">
      <c r="A345" s="603"/>
      <c r="B345" s="611"/>
      <c r="C345" s="2526"/>
      <c r="D345" s="2526"/>
      <c r="E345" s="2526"/>
      <c r="F345" s="2526"/>
      <c r="G345" s="2526"/>
      <c r="H345" s="2526"/>
      <c r="I345" s="2526"/>
      <c r="J345" s="2526"/>
      <c r="K345" s="2526"/>
      <c r="L345" s="2526"/>
      <c r="M345" s="2526"/>
      <c r="N345" s="2526"/>
      <c r="O345" s="2526"/>
      <c r="P345" s="2526"/>
      <c r="Q345" s="2526"/>
      <c r="R345" s="2526"/>
      <c r="S345" s="2526"/>
      <c r="T345" s="2526"/>
      <c r="U345" s="2526"/>
      <c r="V345" s="2526"/>
      <c r="W345" s="2526"/>
      <c r="X345" s="2526"/>
      <c r="Y345" s="2526"/>
      <c r="Z345" s="2526"/>
      <c r="AA345" s="2526"/>
      <c r="AB345" s="2526"/>
      <c r="AC345" s="2526"/>
      <c r="AD345" s="2526"/>
      <c r="AE345" s="2526"/>
      <c r="AF345" s="2526"/>
      <c r="AG345" s="2526"/>
      <c r="AH345" s="2526"/>
      <c r="AI345" s="2526"/>
      <c r="AJ345" s="2526"/>
      <c r="AK345" s="603"/>
      <c r="AL345" s="603"/>
      <c r="AM345" s="603"/>
      <c r="AN345" s="597"/>
      <c r="AQ345" s="570"/>
    </row>
    <row r="346" spans="1:44" s="550" customFormat="1" ht="12.75" customHeight="1">
      <c r="A346" s="603"/>
      <c r="B346" s="611"/>
      <c r="C346" s="2526"/>
      <c r="D346" s="2526"/>
      <c r="E346" s="2526"/>
      <c r="F346" s="2526"/>
      <c r="G346" s="2526"/>
      <c r="H346" s="2526"/>
      <c r="I346" s="2526"/>
      <c r="J346" s="2526"/>
      <c r="K346" s="2526"/>
      <c r="L346" s="2526"/>
      <c r="M346" s="2526"/>
      <c r="N346" s="2526"/>
      <c r="O346" s="2526"/>
      <c r="P346" s="2526"/>
      <c r="Q346" s="2526"/>
      <c r="R346" s="2526"/>
      <c r="S346" s="2526"/>
      <c r="T346" s="2526"/>
      <c r="U346" s="2526"/>
      <c r="V346" s="2526"/>
      <c r="W346" s="2526"/>
      <c r="X346" s="2526"/>
      <c r="Y346" s="2526"/>
      <c r="Z346" s="2526"/>
      <c r="AA346" s="2526"/>
      <c r="AB346" s="2526"/>
      <c r="AC346" s="2526"/>
      <c r="AD346" s="2526"/>
      <c r="AE346" s="2526"/>
      <c r="AF346" s="2526"/>
      <c r="AG346" s="2526"/>
      <c r="AH346" s="2526"/>
      <c r="AI346" s="2526"/>
      <c r="AJ346" s="2526"/>
      <c r="AK346" s="603"/>
      <c r="AL346" s="603"/>
      <c r="AM346" s="603"/>
      <c r="AN346" s="597"/>
      <c r="AQ346" s="570"/>
    </row>
    <row r="347" spans="1:44" s="550" customFormat="1" ht="12.4" customHeight="1">
      <c r="A347" s="603"/>
      <c r="B347" s="611"/>
      <c r="C347" s="2526"/>
      <c r="D347" s="2526"/>
      <c r="E347" s="2526"/>
      <c r="F347" s="2526"/>
      <c r="G347" s="2526"/>
      <c r="H347" s="2526"/>
      <c r="I347" s="2526"/>
      <c r="J347" s="2526"/>
      <c r="K347" s="2526"/>
      <c r="L347" s="2526"/>
      <c r="M347" s="2526"/>
      <c r="N347" s="2526"/>
      <c r="O347" s="2526"/>
      <c r="P347" s="2526"/>
      <c r="Q347" s="2526"/>
      <c r="R347" s="2526"/>
      <c r="S347" s="2526"/>
      <c r="T347" s="2526"/>
      <c r="U347" s="2526"/>
      <c r="V347" s="2526"/>
      <c r="W347" s="2526"/>
      <c r="X347" s="2526"/>
      <c r="Y347" s="2526"/>
      <c r="Z347" s="2526"/>
      <c r="AA347" s="2526"/>
      <c r="AB347" s="2526"/>
      <c r="AC347" s="2526"/>
      <c r="AD347" s="2526"/>
      <c r="AE347" s="2526"/>
      <c r="AF347" s="2526"/>
      <c r="AG347" s="2526"/>
      <c r="AH347" s="2526"/>
      <c r="AI347" s="2526"/>
      <c r="AJ347" s="2526"/>
      <c r="AK347" s="603"/>
      <c r="AL347" s="603"/>
      <c r="AM347" s="603"/>
      <c r="AN347" s="597"/>
      <c r="AQ347" s="570"/>
      <c r="AR347" s="570"/>
    </row>
    <row r="348" spans="1:44" s="550" customFormat="1" ht="45.75" customHeight="1">
      <c r="A348" s="603"/>
      <c r="B348" s="611"/>
      <c r="C348" s="2526" t="s">
        <v>2093</v>
      </c>
      <c r="D348" s="2526"/>
      <c r="E348" s="2526"/>
      <c r="F348" s="2526"/>
      <c r="G348" s="2526"/>
      <c r="H348" s="2526"/>
      <c r="I348" s="2526"/>
      <c r="J348" s="2526"/>
      <c r="K348" s="2526"/>
      <c r="L348" s="2526"/>
      <c r="M348" s="2526"/>
      <c r="N348" s="2526"/>
      <c r="O348" s="2526"/>
      <c r="P348" s="2526"/>
      <c r="Q348" s="2526"/>
      <c r="R348" s="2526"/>
      <c r="S348" s="2526"/>
      <c r="T348" s="2526"/>
      <c r="U348" s="2526"/>
      <c r="V348" s="2526"/>
      <c r="W348" s="2526"/>
      <c r="X348" s="2526"/>
      <c r="Y348" s="2526"/>
      <c r="Z348" s="2526"/>
      <c r="AA348" s="2526"/>
      <c r="AB348" s="2526"/>
      <c r="AC348" s="2526"/>
      <c r="AD348" s="2526"/>
      <c r="AE348" s="2526"/>
      <c r="AF348" s="2526"/>
      <c r="AG348" s="2526"/>
      <c r="AH348" s="2526"/>
      <c r="AI348" s="2526"/>
      <c r="AJ348" s="2526"/>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6" t="s">
        <v>2208</v>
      </c>
      <c r="D350" s="2526"/>
      <c r="E350" s="2526"/>
      <c r="F350" s="2526"/>
      <c r="G350" s="2526"/>
      <c r="H350" s="2526"/>
      <c r="I350" s="2526"/>
      <c r="J350" s="2526"/>
      <c r="K350" s="2526"/>
      <c r="L350" s="2526"/>
      <c r="M350" s="2526"/>
      <c r="N350" s="2526"/>
      <c r="O350" s="2526"/>
      <c r="P350" s="2526"/>
      <c r="Q350" s="2526"/>
      <c r="R350" s="2526"/>
      <c r="S350" s="2526"/>
      <c r="T350" s="2526"/>
      <c r="U350" s="2526"/>
      <c r="V350" s="2526"/>
      <c r="W350" s="2526"/>
      <c r="X350" s="2526"/>
      <c r="Y350" s="2526"/>
      <c r="Z350" s="2526"/>
      <c r="AA350" s="2526"/>
      <c r="AB350" s="2526"/>
      <c r="AC350" s="2526"/>
      <c r="AD350" s="2526"/>
      <c r="AE350" s="2526"/>
      <c r="AF350" s="2526"/>
      <c r="AG350" s="2526"/>
      <c r="AH350" s="2526"/>
      <c r="AI350" s="2526"/>
      <c r="AJ350" s="2526"/>
      <c r="AK350" s="603"/>
      <c r="AL350" s="603"/>
      <c r="AM350" s="603"/>
      <c r="AN350" s="597"/>
      <c r="AQ350" s="570"/>
      <c r="AR350" s="570"/>
    </row>
    <row r="351" spans="1:44" s="550" customFormat="1" ht="30" customHeight="1">
      <c r="A351" s="603"/>
      <c r="B351" s="611"/>
      <c r="C351" s="2526"/>
      <c r="D351" s="2526"/>
      <c r="E351" s="2526"/>
      <c r="F351" s="2526"/>
      <c r="G351" s="2526"/>
      <c r="H351" s="2526"/>
      <c r="I351" s="2526"/>
      <c r="J351" s="2526"/>
      <c r="K351" s="2526"/>
      <c r="L351" s="2526"/>
      <c r="M351" s="2526"/>
      <c r="N351" s="2526"/>
      <c r="O351" s="2526"/>
      <c r="P351" s="2526"/>
      <c r="Q351" s="2526"/>
      <c r="R351" s="2526"/>
      <c r="S351" s="2526"/>
      <c r="T351" s="2526"/>
      <c r="U351" s="2526"/>
      <c r="V351" s="2526"/>
      <c r="W351" s="2526"/>
      <c r="X351" s="2526"/>
      <c r="Y351" s="2526"/>
      <c r="Z351" s="2526"/>
      <c r="AA351" s="2526"/>
      <c r="AB351" s="2526"/>
      <c r="AC351" s="2526"/>
      <c r="AD351" s="2526"/>
      <c r="AE351" s="2526"/>
      <c r="AF351" s="2526"/>
      <c r="AG351" s="2526"/>
      <c r="AH351" s="2526"/>
      <c r="AI351" s="2526"/>
      <c r="AJ351" s="2526"/>
      <c r="AK351" s="603"/>
      <c r="AL351" s="603"/>
      <c r="AM351" s="603"/>
      <c r="AN351" s="597"/>
      <c r="AR351" s="570"/>
    </row>
    <row r="352" spans="1:44" s="550" customFormat="1" ht="12.75" customHeight="1">
      <c r="A352" s="603"/>
      <c r="B352" s="611"/>
      <c r="C352" s="2526"/>
      <c r="D352" s="2526"/>
      <c r="E352" s="2526"/>
      <c r="F352" s="2526"/>
      <c r="G352" s="2526"/>
      <c r="H352" s="2526"/>
      <c r="I352" s="2526"/>
      <c r="J352" s="2526"/>
      <c r="K352" s="2526"/>
      <c r="L352" s="2526"/>
      <c r="M352" s="2526"/>
      <c r="N352" s="2526"/>
      <c r="O352" s="2526"/>
      <c r="P352" s="2526"/>
      <c r="Q352" s="2526"/>
      <c r="R352" s="2526"/>
      <c r="S352" s="2526"/>
      <c r="T352" s="2526"/>
      <c r="U352" s="2526"/>
      <c r="V352" s="2526"/>
      <c r="W352" s="2526"/>
      <c r="X352" s="2526"/>
      <c r="Y352" s="2526"/>
      <c r="Z352" s="2526"/>
      <c r="AA352" s="2526"/>
      <c r="AB352" s="2526"/>
      <c r="AC352" s="2526"/>
      <c r="AD352" s="2526"/>
      <c r="AE352" s="2526"/>
      <c r="AF352" s="2526"/>
      <c r="AG352" s="2526"/>
      <c r="AH352" s="2526"/>
      <c r="AI352" s="2526"/>
      <c r="AJ352" s="2526"/>
      <c r="AK352" s="603"/>
      <c r="AL352" s="603"/>
      <c r="AM352" s="603"/>
      <c r="AN352" s="597"/>
      <c r="AR352" s="570"/>
    </row>
    <row r="353" spans="1:46" s="550" customFormat="1" ht="12.75" customHeight="1">
      <c r="A353" s="603"/>
      <c r="B353" s="611"/>
      <c r="C353" s="2526" t="s">
        <v>1455</v>
      </c>
      <c r="D353" s="2526"/>
      <c r="E353" s="2526"/>
      <c r="F353" s="2526"/>
      <c r="G353" s="2526"/>
      <c r="H353" s="2526"/>
      <c r="I353" s="2526"/>
      <c r="J353" s="2526"/>
      <c r="K353" s="2526"/>
      <c r="L353" s="2526"/>
      <c r="M353" s="2526"/>
      <c r="N353" s="2526"/>
      <c r="O353" s="2526"/>
      <c r="P353" s="2526"/>
      <c r="Q353" s="2526"/>
      <c r="R353" s="2526"/>
      <c r="S353" s="2526"/>
      <c r="T353" s="2526"/>
      <c r="U353" s="2526"/>
      <c r="V353" s="2526"/>
      <c r="W353" s="2526"/>
      <c r="X353" s="2526"/>
      <c r="Y353" s="2526"/>
      <c r="Z353" s="2526"/>
      <c r="AA353" s="2526"/>
      <c r="AB353" s="2526"/>
      <c r="AC353" s="2526"/>
      <c r="AD353" s="2526"/>
      <c r="AE353" s="2526"/>
      <c r="AF353" s="2526"/>
      <c r="AG353" s="2526"/>
      <c r="AH353" s="2526"/>
      <c r="AI353" s="2526"/>
      <c r="AJ353" s="2526"/>
      <c r="AK353" s="603"/>
      <c r="AL353" s="603"/>
      <c r="AM353" s="603"/>
      <c r="AN353" s="597"/>
      <c r="AQ353" s="570"/>
      <c r="AR353" s="570"/>
    </row>
    <row r="354" spans="1:46" s="550" customFormat="1" ht="12.75" customHeight="1">
      <c r="A354" s="603"/>
      <c r="B354" s="611"/>
      <c r="C354" s="2526"/>
      <c r="D354" s="2526"/>
      <c r="E354" s="2526"/>
      <c r="F354" s="2526"/>
      <c r="G354" s="2526"/>
      <c r="H354" s="2526"/>
      <c r="I354" s="2526"/>
      <c r="J354" s="2526"/>
      <c r="K354" s="2526"/>
      <c r="L354" s="2526"/>
      <c r="M354" s="2526"/>
      <c r="N354" s="2526"/>
      <c r="O354" s="2526"/>
      <c r="P354" s="2526"/>
      <c r="Q354" s="2526"/>
      <c r="R354" s="2526"/>
      <c r="S354" s="2526"/>
      <c r="T354" s="2526"/>
      <c r="U354" s="2526"/>
      <c r="V354" s="2526"/>
      <c r="W354" s="2526"/>
      <c r="X354" s="2526"/>
      <c r="Y354" s="2526"/>
      <c r="Z354" s="2526"/>
      <c r="AA354" s="2526"/>
      <c r="AB354" s="2526"/>
      <c r="AC354" s="2526"/>
      <c r="AD354" s="2526"/>
      <c r="AE354" s="2526"/>
      <c r="AF354" s="2526"/>
      <c r="AG354" s="2526"/>
      <c r="AH354" s="2526"/>
      <c r="AI354" s="2526"/>
      <c r="AJ354" s="2526"/>
      <c r="AK354" s="603"/>
      <c r="AL354" s="603"/>
      <c r="AM354" s="603"/>
      <c r="AN354" s="597"/>
      <c r="AQ354" s="570"/>
      <c r="AR354" s="570"/>
    </row>
    <row r="355" spans="1:46" s="550" customFormat="1" ht="13.15" customHeight="1">
      <c r="A355" s="603"/>
      <c r="B355" s="611"/>
      <c r="C355" s="2526"/>
      <c r="D355" s="2526"/>
      <c r="E355" s="2526"/>
      <c r="F355" s="2526"/>
      <c r="G355" s="2526"/>
      <c r="H355" s="2526"/>
      <c r="I355" s="2526"/>
      <c r="J355" s="2526"/>
      <c r="K355" s="2526"/>
      <c r="L355" s="2526"/>
      <c r="M355" s="2526"/>
      <c r="N355" s="2526"/>
      <c r="O355" s="2526"/>
      <c r="P355" s="2526"/>
      <c r="Q355" s="2526"/>
      <c r="R355" s="2526"/>
      <c r="S355" s="2526"/>
      <c r="T355" s="2526"/>
      <c r="U355" s="2526"/>
      <c r="V355" s="2526"/>
      <c r="W355" s="2526"/>
      <c r="X355" s="2526"/>
      <c r="Y355" s="2526"/>
      <c r="Z355" s="2526"/>
      <c r="AA355" s="2526"/>
      <c r="AB355" s="2526"/>
      <c r="AC355" s="2526"/>
      <c r="AD355" s="2526"/>
      <c r="AE355" s="2526"/>
      <c r="AF355" s="2526"/>
      <c r="AG355" s="2526"/>
      <c r="AH355" s="2526"/>
      <c r="AI355" s="2526"/>
      <c r="AJ355" s="2526"/>
      <c r="AK355" s="603"/>
      <c r="AL355" s="603"/>
      <c r="AM355" s="603"/>
      <c r="AN355" s="597"/>
      <c r="AQ355" s="570"/>
      <c r="AR355" s="570"/>
    </row>
    <row r="356" spans="1:46" s="550" customFormat="1" ht="12.75" customHeight="1">
      <c r="A356" s="603"/>
      <c r="B356" s="611"/>
      <c r="C356" s="2526"/>
      <c r="D356" s="2526"/>
      <c r="E356" s="2526"/>
      <c r="F356" s="2526"/>
      <c r="G356" s="2526"/>
      <c r="H356" s="2526"/>
      <c r="I356" s="2526"/>
      <c r="J356" s="2526"/>
      <c r="K356" s="2526"/>
      <c r="L356" s="2526"/>
      <c r="M356" s="2526"/>
      <c r="N356" s="2526"/>
      <c r="O356" s="2526"/>
      <c r="P356" s="2526"/>
      <c r="Q356" s="2526"/>
      <c r="R356" s="2526"/>
      <c r="S356" s="2526"/>
      <c r="T356" s="2526"/>
      <c r="U356" s="2526"/>
      <c r="V356" s="2526"/>
      <c r="W356" s="2526"/>
      <c r="X356" s="2526"/>
      <c r="Y356" s="2526"/>
      <c r="Z356" s="2526"/>
      <c r="AA356" s="2526"/>
      <c r="AB356" s="2526"/>
      <c r="AC356" s="2526"/>
      <c r="AD356" s="2526"/>
      <c r="AE356" s="2526"/>
      <c r="AF356" s="2526"/>
      <c r="AG356" s="2526"/>
      <c r="AH356" s="2526"/>
      <c r="AI356" s="2526"/>
      <c r="AJ356" s="2526"/>
      <c r="AK356" s="603"/>
      <c r="AL356" s="603"/>
      <c r="AM356" s="603"/>
      <c r="AN356" s="597"/>
      <c r="AO356" s="694"/>
      <c r="AP356" s="694"/>
      <c r="AQ356" s="570"/>
    </row>
    <row r="357" spans="1:46" s="550" customFormat="1" ht="11.85" customHeight="1">
      <c r="A357" s="603"/>
      <c r="B357" s="611"/>
      <c r="C357" s="2526"/>
      <c r="D357" s="2526"/>
      <c r="E357" s="2526"/>
      <c r="F357" s="2526"/>
      <c r="G357" s="2526"/>
      <c r="H357" s="2526"/>
      <c r="I357" s="2526"/>
      <c r="J357" s="2526"/>
      <c r="K357" s="2526"/>
      <c r="L357" s="2526"/>
      <c r="M357" s="2526"/>
      <c r="N357" s="2526"/>
      <c r="O357" s="2526"/>
      <c r="P357" s="2526"/>
      <c r="Q357" s="2526"/>
      <c r="R357" s="2526"/>
      <c r="S357" s="2526"/>
      <c r="T357" s="2526"/>
      <c r="U357" s="2526"/>
      <c r="V357" s="2526"/>
      <c r="W357" s="2526"/>
      <c r="X357" s="2526"/>
      <c r="Y357" s="2526"/>
      <c r="Z357" s="2526"/>
      <c r="AA357" s="2526"/>
      <c r="AB357" s="2526"/>
      <c r="AC357" s="2526"/>
      <c r="AD357" s="2526"/>
      <c r="AE357" s="2526"/>
      <c r="AF357" s="2526"/>
      <c r="AG357" s="2526"/>
      <c r="AH357" s="2526"/>
      <c r="AI357" s="2526"/>
      <c r="AJ357" s="2526"/>
      <c r="AK357" s="603"/>
      <c r="AL357" s="603"/>
      <c r="AM357" s="603"/>
      <c r="AN357" s="597"/>
      <c r="AO357" s="695" t="s">
        <v>112</v>
      </c>
      <c r="AP357" s="696">
        <f>IF(C381="Yes",5,0)</f>
        <v>5</v>
      </c>
      <c r="AS357" s="539" t="s">
        <v>1456</v>
      </c>
    </row>
    <row r="358" spans="1:46" s="550" customFormat="1" ht="12.75" customHeight="1">
      <c r="A358" s="603"/>
      <c r="B358" s="611"/>
      <c r="C358" s="2526"/>
      <c r="D358" s="2526"/>
      <c r="E358" s="2526"/>
      <c r="F358" s="2526"/>
      <c r="G358" s="2526"/>
      <c r="H358" s="2526"/>
      <c r="I358" s="2526"/>
      <c r="J358" s="2526"/>
      <c r="K358" s="2526"/>
      <c r="L358" s="2526"/>
      <c r="M358" s="2526"/>
      <c r="N358" s="2526"/>
      <c r="O358" s="2526"/>
      <c r="P358" s="2526"/>
      <c r="Q358" s="2526"/>
      <c r="R358" s="2526"/>
      <c r="S358" s="2526"/>
      <c r="T358" s="2526"/>
      <c r="U358" s="2526"/>
      <c r="V358" s="2526"/>
      <c r="W358" s="2526"/>
      <c r="X358" s="2526"/>
      <c r="Y358" s="2526"/>
      <c r="Z358" s="2526"/>
      <c r="AA358" s="2526"/>
      <c r="AB358" s="2526"/>
      <c r="AC358" s="2526"/>
      <c r="AD358" s="2526"/>
      <c r="AE358" s="2526"/>
      <c r="AF358" s="2526"/>
      <c r="AG358" s="2526"/>
      <c r="AH358" s="2526"/>
      <c r="AI358" s="2526"/>
      <c r="AJ358" s="2526"/>
      <c r="AK358" s="603"/>
      <c r="AL358" s="603"/>
      <c r="AM358" s="603"/>
      <c r="AN358" s="597"/>
      <c r="AO358" s="695" t="s">
        <v>113</v>
      </c>
      <c r="AP358" s="696">
        <f>IF(C389="Yes",5,0)</f>
        <v>0</v>
      </c>
      <c r="AS358" s="2547">
        <f>IF(Application!D211="Non-Targeted",(SUM(AQ366+AQ375)),AS362)</f>
        <v>10</v>
      </c>
      <c r="AT358" s="2547"/>
    </row>
    <row r="359" spans="1:46" s="550" customFormat="1" ht="12.75" customHeight="1">
      <c r="A359" s="603"/>
      <c r="B359" s="611"/>
      <c r="C359" s="2526"/>
      <c r="D359" s="2526"/>
      <c r="E359" s="2526"/>
      <c r="F359" s="2526"/>
      <c r="G359" s="2526"/>
      <c r="H359" s="2526"/>
      <c r="I359" s="2526"/>
      <c r="J359" s="2526"/>
      <c r="K359" s="2526"/>
      <c r="L359" s="2526"/>
      <c r="M359" s="2526"/>
      <c r="N359" s="2526"/>
      <c r="O359" s="2526"/>
      <c r="P359" s="2526"/>
      <c r="Q359" s="2526"/>
      <c r="R359" s="2526"/>
      <c r="S359" s="2526"/>
      <c r="T359" s="2526"/>
      <c r="U359" s="2526"/>
      <c r="V359" s="2526"/>
      <c r="W359" s="2526"/>
      <c r="X359" s="2526"/>
      <c r="Y359" s="2526"/>
      <c r="Z359" s="2526"/>
      <c r="AA359" s="2526"/>
      <c r="AB359" s="2526"/>
      <c r="AC359" s="2526"/>
      <c r="AD359" s="2526"/>
      <c r="AE359" s="2526"/>
      <c r="AF359" s="2526"/>
      <c r="AG359" s="2526"/>
      <c r="AH359" s="2526"/>
      <c r="AI359" s="2526"/>
      <c r="AJ359" s="2526"/>
      <c r="AK359" s="603"/>
      <c r="AL359" s="603"/>
      <c r="AM359" s="603"/>
      <c r="AN359" s="597"/>
      <c r="AO359" s="695" t="s">
        <v>119</v>
      </c>
      <c r="AP359" s="696">
        <f>IF(C397="Yes",7,0)</f>
        <v>0</v>
      </c>
      <c r="AS359" s="539" t="s">
        <v>1457</v>
      </c>
    </row>
    <row r="360" spans="1:46" s="550" customFormat="1" ht="12.75" customHeight="1">
      <c r="A360" s="603"/>
      <c r="B360" s="611"/>
      <c r="C360" s="2526"/>
      <c r="D360" s="2526"/>
      <c r="E360" s="2526"/>
      <c r="F360" s="2526"/>
      <c r="G360" s="2526"/>
      <c r="H360" s="2526"/>
      <c r="I360" s="2526"/>
      <c r="J360" s="2526"/>
      <c r="K360" s="2526"/>
      <c r="L360" s="2526"/>
      <c r="M360" s="2526"/>
      <c r="N360" s="2526"/>
      <c r="O360" s="2526"/>
      <c r="P360" s="2526"/>
      <c r="Q360" s="2526"/>
      <c r="R360" s="2526"/>
      <c r="S360" s="2526"/>
      <c r="T360" s="2526"/>
      <c r="U360" s="2526"/>
      <c r="V360" s="2526"/>
      <c r="W360" s="2526"/>
      <c r="X360" s="2526"/>
      <c r="Y360" s="2526"/>
      <c r="Z360" s="2526"/>
      <c r="AA360" s="2526"/>
      <c r="AB360" s="2526"/>
      <c r="AC360" s="2526"/>
      <c r="AD360" s="2526"/>
      <c r="AE360" s="2526"/>
      <c r="AF360" s="2526"/>
      <c r="AG360" s="2526"/>
      <c r="AH360" s="2526"/>
      <c r="AI360" s="2526"/>
      <c r="AJ360" s="2526"/>
      <c r="AK360" s="603"/>
      <c r="AL360" s="603"/>
      <c r="AM360" s="603"/>
      <c r="AN360" s="597"/>
      <c r="AO360" s="597"/>
      <c r="AP360" s="696">
        <f>IF(C399="Yes",5,0)</f>
        <v>5</v>
      </c>
      <c r="AS360" s="2547">
        <f>IF(AND(AQ366&gt;0,AQ375&gt;0),(AQ366+AQ375)/2,0)</f>
        <v>0</v>
      </c>
      <c r="AT360" s="2547"/>
    </row>
    <row r="361" spans="1:46" s="550" customFormat="1" ht="12.75" customHeight="1">
      <c r="A361" s="603"/>
      <c r="B361" s="611"/>
      <c r="C361" s="2526"/>
      <c r="D361" s="2526"/>
      <c r="E361" s="2526"/>
      <c r="F361" s="2526"/>
      <c r="G361" s="2526"/>
      <c r="H361" s="2526"/>
      <c r="I361" s="2526"/>
      <c r="J361" s="2526"/>
      <c r="K361" s="2526"/>
      <c r="L361" s="2526"/>
      <c r="M361" s="2526"/>
      <c r="N361" s="2526"/>
      <c r="O361" s="2526"/>
      <c r="P361" s="2526"/>
      <c r="Q361" s="2526"/>
      <c r="R361" s="2526"/>
      <c r="S361" s="2526"/>
      <c r="T361" s="2526"/>
      <c r="U361" s="2526"/>
      <c r="V361" s="2526"/>
      <c r="W361" s="2526"/>
      <c r="X361" s="2526"/>
      <c r="Y361" s="2526"/>
      <c r="Z361" s="2526"/>
      <c r="AA361" s="2526"/>
      <c r="AB361" s="2526"/>
      <c r="AC361" s="2526"/>
      <c r="AD361" s="2526"/>
      <c r="AE361" s="2526"/>
      <c r="AF361" s="2526"/>
      <c r="AG361" s="2526"/>
      <c r="AH361" s="2526"/>
      <c r="AI361" s="2526"/>
      <c r="AJ361" s="2526"/>
      <c r="AK361" s="603"/>
      <c r="AL361" s="603"/>
      <c r="AM361" s="603"/>
      <c r="AN361" s="597"/>
      <c r="AO361" s="695" t="s">
        <v>581</v>
      </c>
      <c r="AP361" s="696">
        <f>IF(C407="Yes",5,0)</f>
        <v>0</v>
      </c>
      <c r="AS361" s="539" t="s">
        <v>1879</v>
      </c>
    </row>
    <row r="362" spans="1:46" s="550" customFormat="1" ht="12.75" customHeight="1">
      <c r="A362" s="603"/>
      <c r="B362" s="611"/>
      <c r="C362" s="2548" t="s">
        <v>2233</v>
      </c>
      <c r="D362" s="2548"/>
      <c r="E362" s="2548"/>
      <c r="F362" s="2548"/>
      <c r="G362" s="2548"/>
      <c r="H362" s="2548"/>
      <c r="I362" s="2548"/>
      <c r="J362" s="2548"/>
      <c r="K362" s="2548"/>
      <c r="L362" s="2548"/>
      <c r="M362" s="2548"/>
      <c r="N362" s="2548"/>
      <c r="O362" s="2548"/>
      <c r="P362" s="2548"/>
      <c r="Q362" s="2548"/>
      <c r="R362" s="2548"/>
      <c r="S362" s="2548"/>
      <c r="T362" s="2548"/>
      <c r="U362" s="2548"/>
      <c r="V362" s="2548"/>
      <c r="W362" s="2548"/>
      <c r="X362" s="2548"/>
      <c r="Y362" s="2548"/>
      <c r="Z362" s="2548"/>
      <c r="AA362" s="2548"/>
      <c r="AB362" s="2548"/>
      <c r="AC362" s="2548"/>
      <c r="AD362" s="2548"/>
      <c r="AE362" s="2548"/>
      <c r="AF362" s="2548"/>
      <c r="AG362" s="2548"/>
      <c r="AH362" s="2548"/>
      <c r="AI362" s="2548"/>
      <c r="AJ362" s="2548"/>
      <c r="AK362" s="603"/>
      <c r="AL362" s="603"/>
      <c r="AM362" s="603"/>
      <c r="AN362" s="597"/>
      <c r="AO362" s="597"/>
      <c r="AP362" s="696">
        <f>IF(C409="Yes",3,0)</f>
        <v>0</v>
      </c>
      <c r="AS362" s="2547">
        <f>IF(AQ366=0,AQ375,AQ366)</f>
        <v>10</v>
      </c>
      <c r="AT362" s="2547"/>
    </row>
    <row r="363" spans="1:46" s="550" customFormat="1" ht="12.75" customHeight="1">
      <c r="A363" s="603"/>
      <c r="B363" s="611"/>
      <c r="C363" s="2548"/>
      <c r="D363" s="2548"/>
      <c r="E363" s="2548"/>
      <c r="F363" s="2548"/>
      <c r="G363" s="2548"/>
      <c r="H363" s="2548"/>
      <c r="I363" s="2548"/>
      <c r="J363" s="2548"/>
      <c r="K363" s="2548"/>
      <c r="L363" s="2548"/>
      <c r="M363" s="2548"/>
      <c r="N363" s="2548"/>
      <c r="O363" s="2548"/>
      <c r="P363" s="2548"/>
      <c r="Q363" s="2548"/>
      <c r="R363" s="2548"/>
      <c r="S363" s="2548"/>
      <c r="T363" s="2548"/>
      <c r="U363" s="2548"/>
      <c r="V363" s="2548"/>
      <c r="W363" s="2548"/>
      <c r="X363" s="2548"/>
      <c r="Y363" s="2548"/>
      <c r="Z363" s="2548"/>
      <c r="AA363" s="2548"/>
      <c r="AB363" s="2548"/>
      <c r="AC363" s="2548"/>
      <c r="AD363" s="2548"/>
      <c r="AE363" s="2548"/>
      <c r="AF363" s="2548"/>
      <c r="AG363" s="2548"/>
      <c r="AH363" s="2548"/>
      <c r="AI363" s="2548"/>
      <c r="AJ363" s="2548"/>
      <c r="AK363" s="603"/>
      <c r="AL363" s="603"/>
      <c r="AM363" s="603"/>
      <c r="AN363" s="597"/>
      <c r="AO363" s="695" t="s">
        <v>763</v>
      </c>
      <c r="AP363" s="696">
        <f>IF(C412="Yes",5,0)</f>
        <v>0</v>
      </c>
    </row>
    <row r="364" spans="1:46" s="550" customFormat="1" ht="12.75" customHeight="1">
      <c r="A364" s="603"/>
      <c r="B364" s="611"/>
      <c r="C364" s="2548"/>
      <c r="D364" s="2548"/>
      <c r="E364" s="2548"/>
      <c r="F364" s="2548"/>
      <c r="G364" s="2548"/>
      <c r="H364" s="2548"/>
      <c r="I364" s="2548"/>
      <c r="J364" s="2548"/>
      <c r="K364" s="2548"/>
      <c r="L364" s="2548"/>
      <c r="M364" s="2548"/>
      <c r="N364" s="2548"/>
      <c r="O364" s="2548"/>
      <c r="P364" s="2548"/>
      <c r="Q364" s="2548"/>
      <c r="R364" s="2548"/>
      <c r="S364" s="2548"/>
      <c r="T364" s="2548"/>
      <c r="U364" s="2548"/>
      <c r="V364" s="2548"/>
      <c r="W364" s="2548"/>
      <c r="X364" s="2548"/>
      <c r="Y364" s="2548"/>
      <c r="Z364" s="2548"/>
      <c r="AA364" s="2548"/>
      <c r="AB364" s="2548"/>
      <c r="AC364" s="2548"/>
      <c r="AD364" s="2548"/>
      <c r="AE364" s="2548"/>
      <c r="AF364" s="2548"/>
      <c r="AG364" s="2548"/>
      <c r="AH364" s="2548"/>
      <c r="AI364" s="2548"/>
      <c r="AJ364" s="2548"/>
      <c r="AK364" s="603"/>
      <c r="AL364" s="603"/>
      <c r="AM364" s="603"/>
      <c r="AN364" s="597"/>
      <c r="AO364" s="695" t="s">
        <v>584</v>
      </c>
      <c r="AP364" s="696">
        <f>IF(C421="Yes",5,0)</f>
        <v>0</v>
      </c>
    </row>
    <row r="365" spans="1:46" s="550" customFormat="1" ht="11.85" customHeight="1">
      <c r="A365" s="603"/>
      <c r="B365" s="611"/>
      <c r="C365" s="2548"/>
      <c r="D365" s="2548"/>
      <c r="E365" s="2548"/>
      <c r="F365" s="2548"/>
      <c r="G365" s="2548"/>
      <c r="H365" s="2548"/>
      <c r="I365" s="2548"/>
      <c r="J365" s="2548"/>
      <c r="K365" s="2548"/>
      <c r="L365" s="2548"/>
      <c r="M365" s="2548"/>
      <c r="N365" s="2548"/>
      <c r="O365" s="2548"/>
      <c r="P365" s="2548"/>
      <c r="Q365" s="2548"/>
      <c r="R365" s="2548"/>
      <c r="S365" s="2548"/>
      <c r="T365" s="2548"/>
      <c r="U365" s="2548"/>
      <c r="V365" s="2548"/>
      <c r="W365" s="2548"/>
      <c r="X365" s="2548"/>
      <c r="Y365" s="2548"/>
      <c r="Z365" s="2548"/>
      <c r="AA365" s="2548"/>
      <c r="AB365" s="2548"/>
      <c r="AC365" s="2548"/>
      <c r="AD365" s="2548"/>
      <c r="AE365" s="2548"/>
      <c r="AF365" s="2548"/>
      <c r="AG365" s="2548"/>
      <c r="AH365" s="2548"/>
      <c r="AI365" s="2548"/>
      <c r="AJ365" s="2548"/>
      <c r="AK365" s="603"/>
      <c r="AL365" s="603"/>
      <c r="AM365" s="603"/>
      <c r="AN365" s="597"/>
      <c r="AO365" s="697"/>
      <c r="AP365" s="698">
        <f>IF(C423="Yes",3,0)</f>
        <v>0</v>
      </c>
    </row>
    <row r="366" spans="1:46" s="550" customFormat="1" ht="12.4" customHeight="1">
      <c r="A366" s="603"/>
      <c r="B366" s="611"/>
      <c r="C366" s="2548"/>
      <c r="D366" s="2548"/>
      <c r="E366" s="2548"/>
      <c r="F366" s="2548"/>
      <c r="G366" s="2548"/>
      <c r="H366" s="2548"/>
      <c r="I366" s="2548"/>
      <c r="J366" s="2548"/>
      <c r="K366" s="2548"/>
      <c r="L366" s="2548"/>
      <c r="M366" s="2548"/>
      <c r="N366" s="2548"/>
      <c r="O366" s="2548"/>
      <c r="P366" s="2548"/>
      <c r="Q366" s="2548"/>
      <c r="R366" s="2548"/>
      <c r="S366" s="2548"/>
      <c r="T366" s="2548"/>
      <c r="U366" s="2548"/>
      <c r="V366" s="2548"/>
      <c r="W366" s="2548"/>
      <c r="X366" s="2548"/>
      <c r="Y366" s="2548"/>
      <c r="Z366" s="2548"/>
      <c r="AA366" s="2548"/>
      <c r="AB366" s="2548"/>
      <c r="AC366" s="2548"/>
      <c r="AD366" s="2548"/>
      <c r="AE366" s="2548"/>
      <c r="AF366" s="2548"/>
      <c r="AG366" s="2548"/>
      <c r="AH366" s="2548"/>
      <c r="AI366" s="2548"/>
      <c r="AJ366" s="2548"/>
      <c r="AK366" s="603"/>
      <c r="AL366" s="603"/>
      <c r="AM366" s="603"/>
      <c r="AN366" s="597"/>
      <c r="AO366" s="699" t="s">
        <v>227</v>
      </c>
      <c r="AP366" s="700">
        <f>SUM(AP357:AP365)</f>
        <v>10</v>
      </c>
      <c r="AQ366" s="2549">
        <f>IF(AP366&gt;0,AP366,0)</f>
        <v>10</v>
      </c>
      <c r="AR366" s="2549"/>
    </row>
    <row r="367" spans="1:46" s="550" customFormat="1" ht="12.75" customHeight="1">
      <c r="A367" s="603"/>
      <c r="B367" s="611"/>
      <c r="C367" s="2548"/>
      <c r="D367" s="2548"/>
      <c r="E367" s="2548"/>
      <c r="F367" s="2548"/>
      <c r="G367" s="2548"/>
      <c r="H367" s="2548"/>
      <c r="I367" s="2548"/>
      <c r="J367" s="2548"/>
      <c r="K367" s="2548"/>
      <c r="L367" s="2548"/>
      <c r="M367" s="2548"/>
      <c r="N367" s="2548"/>
      <c r="O367" s="2548"/>
      <c r="P367" s="2548"/>
      <c r="Q367" s="2548"/>
      <c r="R367" s="2548"/>
      <c r="S367" s="2548"/>
      <c r="T367" s="2548"/>
      <c r="U367" s="2548"/>
      <c r="V367" s="2548"/>
      <c r="W367" s="2548"/>
      <c r="X367" s="2548"/>
      <c r="Y367" s="2548"/>
      <c r="Z367" s="2548"/>
      <c r="AA367" s="2548"/>
      <c r="AB367" s="2548"/>
      <c r="AC367" s="2548"/>
      <c r="AD367" s="2548"/>
      <c r="AE367" s="2548"/>
      <c r="AF367" s="2548"/>
      <c r="AG367" s="2548"/>
      <c r="AH367" s="2548"/>
      <c r="AI367" s="2548"/>
      <c r="AJ367" s="2548"/>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26" t="s">
        <v>1458</v>
      </c>
      <c r="D369" s="2526"/>
      <c r="E369" s="2526"/>
      <c r="F369" s="2526"/>
      <c r="G369" s="2526"/>
      <c r="H369" s="2526"/>
      <c r="I369" s="2526"/>
      <c r="J369" s="2526"/>
      <c r="K369" s="2526"/>
      <c r="L369" s="2526"/>
      <c r="M369" s="2526"/>
      <c r="N369" s="2526"/>
      <c r="O369" s="2526"/>
      <c r="P369" s="2526"/>
      <c r="Q369" s="2526"/>
      <c r="R369" s="2526"/>
      <c r="S369" s="2526"/>
      <c r="T369" s="2526"/>
      <c r="U369" s="2526"/>
      <c r="V369" s="2526"/>
      <c r="W369" s="2526"/>
      <c r="X369" s="2526"/>
      <c r="Y369" s="2526"/>
      <c r="Z369" s="2526"/>
      <c r="AA369" s="2526"/>
      <c r="AB369" s="2526"/>
      <c r="AC369" s="2526"/>
      <c r="AD369" s="2526"/>
      <c r="AE369" s="2526"/>
      <c r="AF369" s="2526"/>
      <c r="AG369" s="2526"/>
      <c r="AH369" s="2526"/>
      <c r="AI369" s="2526"/>
      <c r="AJ369" s="2526"/>
      <c r="AK369" s="603"/>
      <c r="AL369" s="603"/>
      <c r="AM369" s="603"/>
      <c r="AN369" s="597"/>
      <c r="AO369" s="695" t="s">
        <v>456</v>
      </c>
      <c r="AP369" s="696">
        <f>IF(C442="Yes",5,0)</f>
        <v>0</v>
      </c>
    </row>
    <row r="370" spans="1:81" s="550" customFormat="1" ht="12.75" customHeight="1">
      <c r="A370" s="603"/>
      <c r="B370" s="611"/>
      <c r="C370" s="2526"/>
      <c r="D370" s="2526"/>
      <c r="E370" s="2526"/>
      <c r="F370" s="2526"/>
      <c r="G370" s="2526"/>
      <c r="H370" s="2526"/>
      <c r="I370" s="2526"/>
      <c r="J370" s="2526"/>
      <c r="K370" s="2526"/>
      <c r="L370" s="2526"/>
      <c r="M370" s="2526"/>
      <c r="N370" s="2526"/>
      <c r="O370" s="2526"/>
      <c r="P370" s="2526"/>
      <c r="Q370" s="2526"/>
      <c r="R370" s="2526"/>
      <c r="S370" s="2526"/>
      <c r="T370" s="2526"/>
      <c r="U370" s="2526"/>
      <c r="V370" s="2526"/>
      <c r="W370" s="2526"/>
      <c r="X370" s="2526"/>
      <c r="Y370" s="2526"/>
      <c r="Z370" s="2526"/>
      <c r="AA370" s="2526"/>
      <c r="AB370" s="2526"/>
      <c r="AC370" s="2526"/>
      <c r="AD370" s="2526"/>
      <c r="AE370" s="2526"/>
      <c r="AF370" s="2526"/>
      <c r="AG370" s="2526"/>
      <c r="AH370" s="2526"/>
      <c r="AI370" s="2526"/>
      <c r="AJ370" s="2526"/>
      <c r="AK370" s="603"/>
      <c r="AL370" s="603"/>
      <c r="AM370" s="603"/>
      <c r="AN370" s="597"/>
      <c r="AO370" s="695" t="s">
        <v>461</v>
      </c>
      <c r="AP370" s="696">
        <f>IF(C449="Yes",5,0)</f>
        <v>0</v>
      </c>
    </row>
    <row r="371" spans="1:81" s="550" customFormat="1" ht="68.099999999999994" customHeight="1">
      <c r="A371" s="603"/>
      <c r="B371" s="611"/>
      <c r="C371" s="2526"/>
      <c r="D371" s="2526"/>
      <c r="E371" s="2526"/>
      <c r="F371" s="2526"/>
      <c r="G371" s="2526"/>
      <c r="H371" s="2526"/>
      <c r="I371" s="2526"/>
      <c r="J371" s="2526"/>
      <c r="K371" s="2526"/>
      <c r="L371" s="2526"/>
      <c r="M371" s="2526"/>
      <c r="N371" s="2526"/>
      <c r="O371" s="2526"/>
      <c r="P371" s="2526"/>
      <c r="Q371" s="2526"/>
      <c r="R371" s="2526"/>
      <c r="S371" s="2526"/>
      <c r="T371" s="2526"/>
      <c r="U371" s="2526"/>
      <c r="V371" s="2526"/>
      <c r="W371" s="2526"/>
      <c r="X371" s="2526"/>
      <c r="Y371" s="2526"/>
      <c r="Z371" s="2526"/>
      <c r="AA371" s="2526"/>
      <c r="AB371" s="2526"/>
      <c r="AC371" s="2526"/>
      <c r="AD371" s="2526"/>
      <c r="AE371" s="2526"/>
      <c r="AF371" s="2526"/>
      <c r="AG371" s="2526"/>
      <c r="AH371" s="2526"/>
      <c r="AI371" s="2526"/>
      <c r="AJ371" s="2526"/>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34">
        <f>Application!DU802-U374</f>
        <v>267</v>
      </c>
      <c r="V373" s="2634"/>
      <c r="W373" s="2634"/>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35">
        <f>IF(Application!D211="SRO",Application!DU755,Application!AG756)</f>
        <v>83</v>
      </c>
      <c r="V374" s="2635"/>
      <c r="W374" s="2635"/>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49">
        <f>IF(AP375&gt;0,AP375,0)</f>
        <v>0</v>
      </c>
      <c r="AR375" s="2549"/>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30" t="s">
        <v>1460</v>
      </c>
      <c r="G377" s="2530"/>
      <c r="H377" s="2530"/>
      <c r="I377" s="2530"/>
      <c r="J377" s="2530"/>
      <c r="K377" s="2530"/>
      <c r="L377" s="2530"/>
      <c r="M377" s="2530"/>
      <c r="N377" s="2530"/>
      <c r="O377" s="2530"/>
      <c r="P377" s="2530"/>
      <c r="Q377" s="2530"/>
      <c r="R377" s="2530"/>
      <c r="S377" s="2530"/>
      <c r="T377" s="2530"/>
      <c r="U377" s="2530"/>
      <c r="V377" s="2530"/>
      <c r="W377" s="2530"/>
      <c r="X377" s="2530"/>
      <c r="Y377" s="2530"/>
      <c r="Z377" s="2530"/>
      <c r="AA377" s="2530"/>
      <c r="AB377" s="2530"/>
      <c r="AC377" s="2530"/>
      <c r="AD377" s="2530"/>
      <c r="AE377" s="2530"/>
      <c r="AF377" s="2530"/>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31"/>
      <c r="G378" s="2531"/>
      <c r="H378" s="2531"/>
      <c r="I378" s="2531"/>
      <c r="J378" s="2531"/>
      <c r="K378" s="2531"/>
      <c r="L378" s="2531"/>
      <c r="M378" s="2531"/>
      <c r="N378" s="2531"/>
      <c r="O378" s="2531"/>
      <c r="P378" s="2531"/>
      <c r="Q378" s="2531"/>
      <c r="R378" s="2531"/>
      <c r="S378" s="2531"/>
      <c r="T378" s="2531"/>
      <c r="U378" s="2531"/>
      <c r="V378" s="2531"/>
      <c r="W378" s="2531"/>
      <c r="X378" s="2531"/>
      <c r="Y378" s="2531"/>
      <c r="Z378" s="2531"/>
      <c r="AA378" s="2531"/>
      <c r="AB378" s="2531"/>
      <c r="AC378" s="2531"/>
      <c r="AD378" s="2531"/>
      <c r="AE378" s="2531"/>
      <c r="AF378" s="2531"/>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31"/>
      <c r="G379" s="2531"/>
      <c r="H379" s="2531"/>
      <c r="I379" s="2531"/>
      <c r="J379" s="2531"/>
      <c r="K379" s="2531"/>
      <c r="L379" s="2531"/>
      <c r="M379" s="2531"/>
      <c r="N379" s="2531"/>
      <c r="O379" s="2531"/>
      <c r="P379" s="2531"/>
      <c r="Q379" s="2531"/>
      <c r="R379" s="2531"/>
      <c r="S379" s="2531"/>
      <c r="T379" s="2531"/>
      <c r="U379" s="2531"/>
      <c r="V379" s="2531"/>
      <c r="W379" s="2531"/>
      <c r="X379" s="2531"/>
      <c r="Y379" s="2531"/>
      <c r="Z379" s="2531"/>
      <c r="AA379" s="2531"/>
      <c r="AB379" s="2531"/>
      <c r="AC379" s="2531"/>
      <c r="AD379" s="2531"/>
      <c r="AE379" s="2531"/>
      <c r="AF379" s="2531"/>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31"/>
      <c r="G380" s="2531"/>
      <c r="H380" s="2531"/>
      <c r="I380" s="2531"/>
      <c r="J380" s="2531"/>
      <c r="K380" s="2531"/>
      <c r="L380" s="2531"/>
      <c r="M380" s="2531"/>
      <c r="N380" s="2531"/>
      <c r="O380" s="2531"/>
      <c r="P380" s="2531"/>
      <c r="Q380" s="2531"/>
      <c r="R380" s="2531"/>
      <c r="S380" s="2531"/>
      <c r="T380" s="2531"/>
      <c r="U380" s="2531"/>
      <c r="V380" s="2531"/>
      <c r="W380" s="2531"/>
      <c r="X380" s="2531"/>
      <c r="Y380" s="2531"/>
      <c r="Z380" s="2531"/>
      <c r="AA380" s="2531"/>
      <c r="AB380" s="2531"/>
      <c r="AC380" s="2531"/>
      <c r="AD380" s="2531"/>
      <c r="AE380" s="2531"/>
      <c r="AF380" s="2531"/>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7" t="s">
        <v>545</v>
      </c>
      <c r="D381" s="2484"/>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8" t="s">
        <v>1462</v>
      </c>
      <c r="AG381" s="2528"/>
      <c r="AH381" s="2528"/>
      <c r="AI381" s="2528"/>
      <c r="AJ381" s="2528"/>
      <c r="AK381" s="2528"/>
      <c r="AL381" s="2529"/>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30" t="s">
        <v>1463</v>
      </c>
      <c r="G384" s="2530"/>
      <c r="H384" s="2530"/>
      <c r="I384" s="2530"/>
      <c r="J384" s="2530"/>
      <c r="K384" s="2530"/>
      <c r="L384" s="2530"/>
      <c r="M384" s="2530"/>
      <c r="N384" s="2530"/>
      <c r="O384" s="2530"/>
      <c r="P384" s="2530"/>
      <c r="Q384" s="2530"/>
      <c r="R384" s="2530"/>
      <c r="S384" s="2530"/>
      <c r="T384" s="2530"/>
      <c r="U384" s="2530"/>
      <c r="V384" s="2530"/>
      <c r="W384" s="2530"/>
      <c r="X384" s="2530"/>
      <c r="Y384" s="2530"/>
      <c r="Z384" s="2530"/>
      <c r="AA384" s="2530"/>
      <c r="AB384" s="2530"/>
      <c r="AC384" s="2530"/>
      <c r="AD384" s="2530"/>
      <c r="AE384" s="2530"/>
      <c r="AF384" s="2530"/>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31"/>
      <c r="G385" s="2531"/>
      <c r="H385" s="2531"/>
      <c r="I385" s="2531"/>
      <c r="J385" s="2531"/>
      <c r="K385" s="2531"/>
      <c r="L385" s="2531"/>
      <c r="M385" s="2531"/>
      <c r="N385" s="2531"/>
      <c r="O385" s="2531"/>
      <c r="P385" s="2531"/>
      <c r="Q385" s="2531"/>
      <c r="R385" s="2531"/>
      <c r="S385" s="2531"/>
      <c r="T385" s="2531"/>
      <c r="U385" s="2531"/>
      <c r="V385" s="2531"/>
      <c r="W385" s="2531"/>
      <c r="X385" s="2531"/>
      <c r="Y385" s="2531"/>
      <c r="Z385" s="2531"/>
      <c r="AA385" s="2531"/>
      <c r="AB385" s="2531"/>
      <c r="AC385" s="2531"/>
      <c r="AD385" s="2531"/>
      <c r="AE385" s="2531"/>
      <c r="AF385" s="2531"/>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31"/>
      <c r="G386" s="2531"/>
      <c r="H386" s="2531"/>
      <c r="I386" s="2531"/>
      <c r="J386" s="2531"/>
      <c r="K386" s="2531"/>
      <c r="L386" s="2531"/>
      <c r="M386" s="2531"/>
      <c r="N386" s="2531"/>
      <c r="O386" s="2531"/>
      <c r="P386" s="2531"/>
      <c r="Q386" s="2531"/>
      <c r="R386" s="2531"/>
      <c r="S386" s="2531"/>
      <c r="T386" s="2531"/>
      <c r="U386" s="2531"/>
      <c r="V386" s="2531"/>
      <c r="W386" s="2531"/>
      <c r="X386" s="2531"/>
      <c r="Y386" s="2531"/>
      <c r="Z386" s="2531"/>
      <c r="AA386" s="2531"/>
      <c r="AB386" s="2531"/>
      <c r="AC386" s="2531"/>
      <c r="AD386" s="2531"/>
      <c r="AE386" s="2531"/>
      <c r="AF386" s="2531"/>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31"/>
      <c r="G387" s="2531"/>
      <c r="H387" s="2531"/>
      <c r="I387" s="2531"/>
      <c r="J387" s="2531"/>
      <c r="K387" s="2531"/>
      <c r="L387" s="2531"/>
      <c r="M387" s="2531"/>
      <c r="N387" s="2531"/>
      <c r="O387" s="2531"/>
      <c r="P387" s="2531"/>
      <c r="Q387" s="2531"/>
      <c r="R387" s="2531"/>
      <c r="S387" s="2531"/>
      <c r="T387" s="2531"/>
      <c r="U387" s="2531"/>
      <c r="V387" s="2531"/>
      <c r="W387" s="2531"/>
      <c r="X387" s="2531"/>
      <c r="Y387" s="2531"/>
      <c r="Z387" s="2531"/>
      <c r="AA387" s="2531"/>
      <c r="AB387" s="2531"/>
      <c r="AC387" s="2531"/>
      <c r="AD387" s="2531"/>
      <c r="AE387" s="2531"/>
      <c r="AF387" s="2531"/>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31"/>
      <c r="G388" s="2531"/>
      <c r="H388" s="2531"/>
      <c r="I388" s="2531"/>
      <c r="J388" s="2531"/>
      <c r="K388" s="2531"/>
      <c r="L388" s="2531"/>
      <c r="M388" s="2531"/>
      <c r="N388" s="2531"/>
      <c r="O388" s="2531"/>
      <c r="P388" s="2531"/>
      <c r="Q388" s="2531"/>
      <c r="R388" s="2531"/>
      <c r="S388" s="2531"/>
      <c r="T388" s="2531"/>
      <c r="U388" s="2531"/>
      <c r="V388" s="2531"/>
      <c r="W388" s="2531"/>
      <c r="X388" s="2531"/>
      <c r="Y388" s="2531"/>
      <c r="Z388" s="2531"/>
      <c r="AA388" s="2531"/>
      <c r="AB388" s="2531"/>
      <c r="AC388" s="2531"/>
      <c r="AD388" s="2531"/>
      <c r="AE388" s="2531"/>
      <c r="AF388" s="2531"/>
      <c r="AL388" s="732"/>
      <c r="AN388" s="597"/>
      <c r="BS388" s="30"/>
      <c r="BT388" s="30"/>
      <c r="BU388" s="14"/>
      <c r="BV388" s="14"/>
      <c r="BW388" s="14"/>
      <c r="BX388" s="14"/>
      <c r="BY388" s="14"/>
      <c r="BZ388" s="14"/>
      <c r="CA388" s="14"/>
      <c r="CB388" s="14"/>
      <c r="CC388" s="14"/>
    </row>
    <row r="389" spans="1:81" s="550" customFormat="1" ht="12.75" customHeight="1">
      <c r="A389" s="536"/>
      <c r="B389" s="14"/>
      <c r="C389" s="2527" t="s">
        <v>591</v>
      </c>
      <c r="D389" s="2484"/>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8" t="s">
        <v>1462</v>
      </c>
      <c r="AG389" s="2528"/>
      <c r="AH389" s="2528"/>
      <c r="AI389" s="2528"/>
      <c r="AJ389" s="2528"/>
      <c r="AK389" s="2528"/>
      <c r="AL389" s="2529"/>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30" t="s">
        <v>1465</v>
      </c>
      <c r="G392" s="2530"/>
      <c r="H392" s="2530"/>
      <c r="I392" s="2530"/>
      <c r="J392" s="2530"/>
      <c r="K392" s="2530"/>
      <c r="L392" s="2530"/>
      <c r="M392" s="2530"/>
      <c r="N392" s="2530"/>
      <c r="O392" s="2530"/>
      <c r="P392" s="2530"/>
      <c r="Q392" s="2530"/>
      <c r="R392" s="2530"/>
      <c r="S392" s="2530"/>
      <c r="T392" s="2530"/>
      <c r="U392" s="2530"/>
      <c r="V392" s="2530"/>
      <c r="W392" s="2530"/>
      <c r="X392" s="2530"/>
      <c r="Y392" s="2530"/>
      <c r="Z392" s="2530"/>
      <c r="AA392" s="2530"/>
      <c r="AB392" s="2530"/>
      <c r="AC392" s="2530"/>
      <c r="AD392" s="2530"/>
      <c r="AE392" s="2530"/>
      <c r="AF392" s="2530"/>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31"/>
      <c r="G393" s="2531"/>
      <c r="H393" s="2531"/>
      <c r="I393" s="2531"/>
      <c r="J393" s="2531"/>
      <c r="K393" s="2531"/>
      <c r="L393" s="2531"/>
      <c r="M393" s="2531"/>
      <c r="N393" s="2531"/>
      <c r="O393" s="2531"/>
      <c r="P393" s="2531"/>
      <c r="Q393" s="2531"/>
      <c r="R393" s="2531"/>
      <c r="S393" s="2531"/>
      <c r="T393" s="2531"/>
      <c r="U393" s="2531"/>
      <c r="V393" s="2531"/>
      <c r="W393" s="2531"/>
      <c r="X393" s="2531"/>
      <c r="Y393" s="2531"/>
      <c r="Z393" s="2531"/>
      <c r="AA393" s="2531"/>
      <c r="AB393" s="2531"/>
      <c r="AC393" s="2531"/>
      <c r="AD393" s="2531"/>
      <c r="AE393" s="2531"/>
      <c r="AF393" s="2531"/>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31"/>
      <c r="G394" s="2531"/>
      <c r="H394" s="2531"/>
      <c r="I394" s="2531"/>
      <c r="J394" s="2531"/>
      <c r="K394" s="2531"/>
      <c r="L394" s="2531"/>
      <c r="M394" s="2531"/>
      <c r="N394" s="2531"/>
      <c r="O394" s="2531"/>
      <c r="P394" s="2531"/>
      <c r="Q394" s="2531"/>
      <c r="R394" s="2531"/>
      <c r="S394" s="2531"/>
      <c r="T394" s="2531"/>
      <c r="U394" s="2531"/>
      <c r="V394" s="2531"/>
      <c r="W394" s="2531"/>
      <c r="X394" s="2531"/>
      <c r="Y394" s="2531"/>
      <c r="Z394" s="2531"/>
      <c r="AA394" s="2531"/>
      <c r="AB394" s="2531"/>
      <c r="AC394" s="2531"/>
      <c r="AD394" s="2531"/>
      <c r="AE394" s="2531"/>
      <c r="AF394" s="2531"/>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31"/>
      <c r="G395" s="2531"/>
      <c r="H395" s="2531"/>
      <c r="I395" s="2531"/>
      <c r="J395" s="2531"/>
      <c r="K395" s="2531"/>
      <c r="L395" s="2531"/>
      <c r="M395" s="2531"/>
      <c r="N395" s="2531"/>
      <c r="O395" s="2531"/>
      <c r="P395" s="2531"/>
      <c r="Q395" s="2531"/>
      <c r="R395" s="2531"/>
      <c r="S395" s="2531"/>
      <c r="T395" s="2531"/>
      <c r="U395" s="2531"/>
      <c r="V395" s="2531"/>
      <c r="W395" s="2531"/>
      <c r="X395" s="2531"/>
      <c r="Y395" s="2531"/>
      <c r="Z395" s="2531"/>
      <c r="AA395" s="2531"/>
      <c r="AB395" s="2531"/>
      <c r="AC395" s="2531"/>
      <c r="AD395" s="2531"/>
      <c r="AE395" s="2531"/>
      <c r="AF395" s="2531"/>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31"/>
      <c r="G396" s="2531"/>
      <c r="H396" s="2531"/>
      <c r="I396" s="2531"/>
      <c r="J396" s="2531"/>
      <c r="K396" s="2531"/>
      <c r="L396" s="2531"/>
      <c r="M396" s="2531"/>
      <c r="N396" s="2531"/>
      <c r="O396" s="2531"/>
      <c r="P396" s="2531"/>
      <c r="Q396" s="2531"/>
      <c r="R396" s="2531"/>
      <c r="S396" s="2531"/>
      <c r="T396" s="2531"/>
      <c r="U396" s="2531"/>
      <c r="V396" s="2531"/>
      <c r="W396" s="2531"/>
      <c r="X396" s="2531"/>
      <c r="Y396" s="2531"/>
      <c r="Z396" s="2531"/>
      <c r="AA396" s="2531"/>
      <c r="AB396" s="2531"/>
      <c r="AC396" s="2531"/>
      <c r="AD396" s="2531"/>
      <c r="AE396" s="2531"/>
      <c r="AF396" s="2531"/>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7" t="s">
        <v>591</v>
      </c>
      <c r="D397" s="2484"/>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8" t="s">
        <v>1467</v>
      </c>
      <c r="AG397" s="2528"/>
      <c r="AH397" s="2528"/>
      <c r="AI397" s="2528"/>
      <c r="AJ397" s="2528"/>
      <c r="AK397" s="2528"/>
      <c r="AL397" s="2529"/>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7" t="s">
        <v>545</v>
      </c>
      <c r="D399" s="2484"/>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8" t="s">
        <v>1462</v>
      </c>
      <c r="AG399" s="2528"/>
      <c r="AH399" s="2528"/>
      <c r="AI399" s="2528"/>
      <c r="AJ399" s="2528"/>
      <c r="AK399" s="2528"/>
      <c r="AL399" s="2529"/>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30" t="s">
        <v>1471</v>
      </c>
      <c r="G403" s="2530"/>
      <c r="H403" s="2530"/>
      <c r="I403" s="2530"/>
      <c r="J403" s="2530"/>
      <c r="K403" s="2530"/>
      <c r="L403" s="2530"/>
      <c r="M403" s="2530"/>
      <c r="N403" s="2530"/>
      <c r="O403" s="2530"/>
      <c r="P403" s="2530"/>
      <c r="Q403" s="2530"/>
      <c r="R403" s="2530"/>
      <c r="S403" s="2530"/>
      <c r="T403" s="2530"/>
      <c r="U403" s="2530"/>
      <c r="V403" s="2530"/>
      <c r="W403" s="2530"/>
      <c r="X403" s="2530"/>
      <c r="Y403" s="2530"/>
      <c r="Z403" s="2530"/>
      <c r="AA403" s="2530"/>
      <c r="AB403" s="2530"/>
      <c r="AC403" s="2530"/>
      <c r="AD403" s="2530"/>
      <c r="AE403" s="2530"/>
      <c r="AF403" s="2530"/>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31"/>
      <c r="G404" s="2531"/>
      <c r="H404" s="2531"/>
      <c r="I404" s="2531"/>
      <c r="J404" s="2531"/>
      <c r="K404" s="2531"/>
      <c r="L404" s="2531"/>
      <c r="M404" s="2531"/>
      <c r="N404" s="2531"/>
      <c r="O404" s="2531"/>
      <c r="P404" s="2531"/>
      <c r="Q404" s="2531"/>
      <c r="R404" s="2531"/>
      <c r="S404" s="2531"/>
      <c r="T404" s="2531"/>
      <c r="U404" s="2531"/>
      <c r="V404" s="2531"/>
      <c r="W404" s="2531"/>
      <c r="X404" s="2531"/>
      <c r="Y404" s="2531"/>
      <c r="Z404" s="2531"/>
      <c r="AA404" s="2531"/>
      <c r="AB404" s="2531"/>
      <c r="AC404" s="2531"/>
      <c r="AD404" s="2531"/>
      <c r="AE404" s="2531"/>
      <c r="AF404" s="2531"/>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31"/>
      <c r="G405" s="2531"/>
      <c r="H405" s="2531"/>
      <c r="I405" s="2531"/>
      <c r="J405" s="2531"/>
      <c r="K405" s="2531"/>
      <c r="L405" s="2531"/>
      <c r="M405" s="2531"/>
      <c r="N405" s="2531"/>
      <c r="O405" s="2531"/>
      <c r="P405" s="2531"/>
      <c r="Q405" s="2531"/>
      <c r="R405" s="2531"/>
      <c r="S405" s="2531"/>
      <c r="T405" s="2531"/>
      <c r="U405" s="2531"/>
      <c r="V405" s="2531"/>
      <c r="W405" s="2531"/>
      <c r="X405" s="2531"/>
      <c r="Y405" s="2531"/>
      <c r="Z405" s="2531"/>
      <c r="AA405" s="2531"/>
      <c r="AB405" s="2531"/>
      <c r="AC405" s="2531"/>
      <c r="AD405" s="2531"/>
      <c r="AE405" s="2531"/>
      <c r="AF405" s="2531"/>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31"/>
      <c r="G406" s="2531"/>
      <c r="H406" s="2531"/>
      <c r="I406" s="2531"/>
      <c r="J406" s="2531"/>
      <c r="K406" s="2531"/>
      <c r="L406" s="2531"/>
      <c r="M406" s="2531"/>
      <c r="N406" s="2531"/>
      <c r="O406" s="2531"/>
      <c r="P406" s="2531"/>
      <c r="Q406" s="2531"/>
      <c r="R406" s="2531"/>
      <c r="S406" s="2531"/>
      <c r="T406" s="2531"/>
      <c r="U406" s="2531"/>
      <c r="V406" s="2531"/>
      <c r="W406" s="2531"/>
      <c r="X406" s="2531"/>
      <c r="Y406" s="2531"/>
      <c r="Z406" s="2531"/>
      <c r="AA406" s="2531"/>
      <c r="AB406" s="2531"/>
      <c r="AC406" s="2531"/>
      <c r="AD406" s="2531"/>
      <c r="AE406" s="2531"/>
      <c r="AF406" s="2531"/>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7" t="s">
        <v>591</v>
      </c>
      <c r="D407" s="2484"/>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8" t="s">
        <v>1462</v>
      </c>
      <c r="AG407" s="2528"/>
      <c r="AH407" s="2528"/>
      <c r="AI407" s="2528"/>
      <c r="AJ407" s="2528"/>
      <c r="AK407" s="2528"/>
      <c r="AL407" s="2529"/>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7" t="s">
        <v>591</v>
      </c>
      <c r="D409" s="2484"/>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8" t="s">
        <v>1474</v>
      </c>
      <c r="AG409" s="2528"/>
      <c r="AH409" s="2528"/>
      <c r="AI409" s="2528"/>
      <c r="AJ409" s="2528"/>
      <c r="AK409" s="2528"/>
      <c r="AL409" s="2529"/>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7" t="s">
        <v>591</v>
      </c>
      <c r="D412" s="2484"/>
      <c r="E412" s="715" t="s">
        <v>1475</v>
      </c>
      <c r="F412" s="2530" t="s">
        <v>1476</v>
      </c>
      <c r="G412" s="2530"/>
      <c r="H412" s="2530"/>
      <c r="I412" s="2530"/>
      <c r="J412" s="2530"/>
      <c r="K412" s="2530"/>
      <c r="L412" s="2530"/>
      <c r="M412" s="2530"/>
      <c r="N412" s="2530"/>
      <c r="O412" s="2530"/>
      <c r="P412" s="2530"/>
      <c r="Q412" s="2530"/>
      <c r="R412" s="2530"/>
      <c r="S412" s="2530"/>
      <c r="T412" s="2530"/>
      <c r="U412" s="2530"/>
      <c r="V412" s="2530"/>
      <c r="W412" s="2530"/>
      <c r="X412" s="2530"/>
      <c r="Y412" s="2530"/>
      <c r="Z412" s="2530"/>
      <c r="AA412" s="2530"/>
      <c r="AB412" s="2530"/>
      <c r="AC412" s="2530"/>
      <c r="AD412" s="2530"/>
      <c r="AE412" s="2530"/>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31"/>
      <c r="G413" s="2531"/>
      <c r="H413" s="2531"/>
      <c r="I413" s="2531"/>
      <c r="J413" s="2531"/>
      <c r="K413" s="2531"/>
      <c r="L413" s="2531"/>
      <c r="M413" s="2531"/>
      <c r="N413" s="2531"/>
      <c r="O413" s="2531"/>
      <c r="P413" s="2531"/>
      <c r="Q413" s="2531"/>
      <c r="R413" s="2531"/>
      <c r="S413" s="2531"/>
      <c r="T413" s="2531"/>
      <c r="U413" s="2531"/>
      <c r="V413" s="2531"/>
      <c r="W413" s="2531"/>
      <c r="X413" s="2531"/>
      <c r="Y413" s="2531"/>
      <c r="Z413" s="2531"/>
      <c r="AA413" s="2531"/>
      <c r="AB413" s="2531"/>
      <c r="AC413" s="2531"/>
      <c r="AD413" s="2531"/>
      <c r="AE413" s="2531"/>
      <c r="AF413" s="2452" t="s">
        <v>1462</v>
      </c>
      <c r="AG413" s="2452"/>
      <c r="AH413" s="2452"/>
      <c r="AI413" s="2452"/>
      <c r="AJ413" s="2452"/>
      <c r="AK413" s="2452"/>
      <c r="AL413" s="2532"/>
      <c r="AM413" s="570"/>
      <c r="AN413" s="597"/>
      <c r="BS413" s="570"/>
      <c r="BT413" s="570"/>
      <c r="BY413" s="570"/>
      <c r="BZ413" s="570"/>
      <c r="CA413" s="570"/>
      <c r="CB413" s="570"/>
      <c r="CC413" s="570"/>
    </row>
    <row r="414" spans="1:81" s="550" customFormat="1" ht="12.75" customHeight="1">
      <c r="A414" s="536"/>
      <c r="B414" s="14"/>
      <c r="C414" s="731"/>
      <c r="D414" s="14"/>
      <c r="E414" s="691"/>
      <c r="F414" s="2531"/>
      <c r="G414" s="2531"/>
      <c r="H414" s="2531"/>
      <c r="I414" s="2531"/>
      <c r="J414" s="2531"/>
      <c r="K414" s="2531"/>
      <c r="L414" s="2531"/>
      <c r="M414" s="2531"/>
      <c r="N414" s="2531"/>
      <c r="O414" s="2531"/>
      <c r="P414" s="2531"/>
      <c r="Q414" s="2531"/>
      <c r="R414" s="2531"/>
      <c r="S414" s="2531"/>
      <c r="T414" s="2531"/>
      <c r="U414" s="2531"/>
      <c r="V414" s="2531"/>
      <c r="W414" s="2531"/>
      <c r="X414" s="2531"/>
      <c r="Y414" s="2531"/>
      <c r="Z414" s="2531"/>
      <c r="AA414" s="2531"/>
      <c r="AB414" s="2531"/>
      <c r="AC414" s="2531"/>
      <c r="AD414" s="2531"/>
      <c r="AE414" s="2531"/>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50"/>
      <c r="G415" s="2550"/>
      <c r="H415" s="2550"/>
      <c r="I415" s="2550"/>
      <c r="J415" s="2550"/>
      <c r="K415" s="2550"/>
      <c r="L415" s="2550"/>
      <c r="M415" s="2550"/>
      <c r="N415" s="2550"/>
      <c r="O415" s="2550"/>
      <c r="P415" s="2550"/>
      <c r="Q415" s="2550"/>
      <c r="R415" s="2550"/>
      <c r="S415" s="2550"/>
      <c r="T415" s="2550"/>
      <c r="U415" s="2550"/>
      <c r="V415" s="2550"/>
      <c r="W415" s="2550"/>
      <c r="X415" s="2550"/>
      <c r="Y415" s="2550"/>
      <c r="Z415" s="2550"/>
      <c r="AA415" s="2550"/>
      <c r="AB415" s="2550"/>
      <c r="AC415" s="2550"/>
      <c r="AD415" s="2550"/>
      <c r="AE415" s="2550"/>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30" t="s">
        <v>1478</v>
      </c>
      <c r="G417" s="2530"/>
      <c r="H417" s="2530"/>
      <c r="I417" s="2530"/>
      <c r="J417" s="2530"/>
      <c r="K417" s="2530"/>
      <c r="L417" s="2530"/>
      <c r="M417" s="2530"/>
      <c r="N417" s="2530"/>
      <c r="O417" s="2530"/>
      <c r="P417" s="2530"/>
      <c r="Q417" s="2530"/>
      <c r="R417" s="2530"/>
      <c r="S417" s="2530"/>
      <c r="T417" s="2530"/>
      <c r="U417" s="2530"/>
      <c r="V417" s="2530"/>
      <c r="W417" s="2530"/>
      <c r="X417" s="2530"/>
      <c r="Y417" s="2530"/>
      <c r="Z417" s="2530"/>
      <c r="AA417" s="2530"/>
      <c r="AB417" s="2530"/>
      <c r="AC417" s="2530"/>
      <c r="AD417" s="2530"/>
      <c r="AE417" s="2530"/>
      <c r="AF417" s="747"/>
      <c r="AG417" s="747"/>
      <c r="AH417" s="747"/>
      <c r="AI417" s="747"/>
      <c r="AJ417" s="747"/>
      <c r="AK417" s="747"/>
      <c r="AL417" s="748"/>
      <c r="AM417" s="570"/>
    </row>
    <row r="418" spans="1:55">
      <c r="A418" s="536"/>
      <c r="C418" s="731"/>
      <c r="E418" s="691"/>
      <c r="F418" s="2531"/>
      <c r="G418" s="2531"/>
      <c r="H418" s="2531"/>
      <c r="I418" s="2531"/>
      <c r="J418" s="2531"/>
      <c r="K418" s="2531"/>
      <c r="L418" s="2531"/>
      <c r="M418" s="2531"/>
      <c r="N418" s="2531"/>
      <c r="O418" s="2531"/>
      <c r="P418" s="2531"/>
      <c r="Q418" s="2531"/>
      <c r="R418" s="2531"/>
      <c r="S418" s="2531"/>
      <c r="T418" s="2531"/>
      <c r="U418" s="2531"/>
      <c r="V418" s="2531"/>
      <c r="W418" s="2531"/>
      <c r="X418" s="2531"/>
      <c r="Y418" s="2531"/>
      <c r="Z418" s="2531"/>
      <c r="AA418" s="2531"/>
      <c r="AB418" s="2531"/>
      <c r="AC418" s="2531"/>
      <c r="AD418" s="2531"/>
      <c r="AE418" s="2531"/>
      <c r="AF418" s="539"/>
      <c r="AG418" s="536"/>
      <c r="AH418" s="550"/>
      <c r="AI418" s="550"/>
      <c r="AJ418" s="550"/>
      <c r="AK418" s="550"/>
      <c r="AL418" s="732"/>
      <c r="AM418" s="570"/>
    </row>
    <row r="419" spans="1:55" s="550" customFormat="1" ht="12.75" customHeight="1">
      <c r="A419" s="536"/>
      <c r="B419" s="14"/>
      <c r="C419" s="731"/>
      <c r="D419" s="14"/>
      <c r="E419" s="691"/>
      <c r="F419" s="2531"/>
      <c r="G419" s="2531"/>
      <c r="H419" s="2531"/>
      <c r="I419" s="2531"/>
      <c r="J419" s="2531"/>
      <c r="K419" s="2531"/>
      <c r="L419" s="2531"/>
      <c r="M419" s="2531"/>
      <c r="N419" s="2531"/>
      <c r="O419" s="2531"/>
      <c r="P419" s="2531"/>
      <c r="Q419" s="2531"/>
      <c r="R419" s="2531"/>
      <c r="S419" s="2531"/>
      <c r="T419" s="2531"/>
      <c r="U419" s="2531"/>
      <c r="V419" s="2531"/>
      <c r="W419" s="2531"/>
      <c r="X419" s="2531"/>
      <c r="Y419" s="2531"/>
      <c r="Z419" s="2531"/>
      <c r="AA419" s="2531"/>
      <c r="AB419" s="2531"/>
      <c r="AC419" s="2531"/>
      <c r="AD419" s="2531"/>
      <c r="AE419" s="2531"/>
      <c r="AL419" s="732"/>
      <c r="AM419" s="570"/>
      <c r="AN419" s="597"/>
    </row>
    <row r="420" spans="1:55" s="550" customFormat="1" ht="12.75" customHeight="1">
      <c r="A420" s="536"/>
      <c r="B420" s="14"/>
      <c r="C420" s="739"/>
      <c r="F420" s="2531"/>
      <c r="G420" s="2531"/>
      <c r="H420" s="2531"/>
      <c r="I420" s="2531"/>
      <c r="J420" s="2531"/>
      <c r="K420" s="2531"/>
      <c r="L420" s="2531"/>
      <c r="M420" s="2531"/>
      <c r="N420" s="2531"/>
      <c r="O420" s="2531"/>
      <c r="P420" s="2531"/>
      <c r="Q420" s="2531"/>
      <c r="R420" s="2531"/>
      <c r="S420" s="2531"/>
      <c r="T420" s="2531"/>
      <c r="U420" s="2531"/>
      <c r="V420" s="2531"/>
      <c r="W420" s="2531"/>
      <c r="X420" s="2531"/>
      <c r="Y420" s="2531"/>
      <c r="Z420" s="2531"/>
      <c r="AA420" s="2531"/>
      <c r="AB420" s="2531"/>
      <c r="AC420" s="2531"/>
      <c r="AD420" s="2531"/>
      <c r="AE420" s="2531"/>
      <c r="AL420" s="732"/>
      <c r="AM420" s="570"/>
      <c r="AN420" s="597"/>
    </row>
    <row r="421" spans="1:55" s="550" customFormat="1" ht="12.75" customHeight="1">
      <c r="A421" s="536"/>
      <c r="B421" s="14"/>
      <c r="C421" s="2527" t="s">
        <v>591</v>
      </c>
      <c r="D421" s="2484"/>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52" t="s">
        <v>1462</v>
      </c>
      <c r="AG421" s="2452"/>
      <c r="AH421" s="2452"/>
      <c r="AI421" s="2452"/>
      <c r="AJ421" s="2452"/>
      <c r="AK421" s="2452"/>
      <c r="AL421" s="2532"/>
      <c r="AM421" s="570"/>
      <c r="AN421" s="597"/>
    </row>
    <row r="422" spans="1:55" s="550" customFormat="1" ht="12.75" customHeight="1">
      <c r="A422" s="536"/>
      <c r="B422" s="14"/>
      <c r="C422" s="739"/>
      <c r="AL422" s="732"/>
      <c r="AM422" s="570"/>
      <c r="AN422" s="597"/>
    </row>
    <row r="423" spans="1:55" s="550" customFormat="1" ht="12.75" customHeight="1">
      <c r="A423" s="536"/>
      <c r="B423" s="14"/>
      <c r="C423" s="2527" t="s">
        <v>591</v>
      </c>
      <c r="D423" s="2484"/>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52" t="s">
        <v>1474</v>
      </c>
      <c r="AG423" s="2452"/>
      <c r="AH423" s="2452"/>
      <c r="AI423" s="2452"/>
      <c r="AJ423" s="2452"/>
      <c r="AK423" s="2452"/>
      <c r="AL423" s="2532"/>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30" t="s">
        <v>1482</v>
      </c>
      <c r="G427" s="2530"/>
      <c r="H427" s="2530"/>
      <c r="I427" s="2530"/>
      <c r="J427" s="2530"/>
      <c r="K427" s="2530"/>
      <c r="L427" s="2530"/>
      <c r="M427" s="2530"/>
      <c r="N427" s="2530"/>
      <c r="O427" s="2530"/>
      <c r="P427" s="2530"/>
      <c r="Q427" s="2530"/>
      <c r="R427" s="2530"/>
      <c r="S427" s="2530"/>
      <c r="T427" s="2530"/>
      <c r="U427" s="2530"/>
      <c r="V427" s="2530"/>
      <c r="W427" s="2530"/>
      <c r="X427" s="2530"/>
      <c r="Y427" s="2530"/>
      <c r="Z427" s="2530"/>
      <c r="AA427" s="2530"/>
      <c r="AB427" s="2530"/>
      <c r="AC427" s="2530"/>
      <c r="AD427" s="2530"/>
      <c r="AE427" s="2530"/>
      <c r="AF427" s="714"/>
      <c r="AG427" s="714"/>
      <c r="AH427" s="714"/>
      <c r="AI427" s="714"/>
      <c r="AJ427" s="714"/>
      <c r="AK427" s="714"/>
      <c r="AL427" s="745"/>
      <c r="AM427" s="570"/>
      <c r="AN427" s="597"/>
    </row>
    <row r="428" spans="1:55" s="550" customFormat="1" ht="12.75" customHeight="1">
      <c r="A428" s="536"/>
      <c r="B428" s="14"/>
      <c r="C428" s="731"/>
      <c r="D428" s="14"/>
      <c r="E428" s="691"/>
      <c r="F428" s="2531"/>
      <c r="G428" s="2531"/>
      <c r="H428" s="2531"/>
      <c r="I428" s="2531"/>
      <c r="J428" s="2531"/>
      <c r="K428" s="2531"/>
      <c r="L428" s="2531"/>
      <c r="M428" s="2531"/>
      <c r="N428" s="2531"/>
      <c r="O428" s="2531"/>
      <c r="P428" s="2531"/>
      <c r="Q428" s="2531"/>
      <c r="R428" s="2531"/>
      <c r="S428" s="2531"/>
      <c r="T428" s="2531"/>
      <c r="U428" s="2531"/>
      <c r="V428" s="2531"/>
      <c r="W428" s="2531"/>
      <c r="X428" s="2531"/>
      <c r="Y428" s="2531"/>
      <c r="Z428" s="2531"/>
      <c r="AA428" s="2531"/>
      <c r="AB428" s="2531"/>
      <c r="AC428" s="2531"/>
      <c r="AD428" s="2531"/>
      <c r="AE428" s="2531"/>
      <c r="AF428" s="539"/>
      <c r="AG428" s="536"/>
      <c r="AL428" s="732"/>
      <c r="AM428" s="570"/>
      <c r="AN428" s="597"/>
    </row>
    <row r="429" spans="1:55" s="550" customFormat="1" ht="12.4" customHeight="1">
      <c r="A429" s="536"/>
      <c r="B429" s="14"/>
      <c r="C429" s="731"/>
      <c r="D429" s="14"/>
      <c r="E429" s="691"/>
      <c r="F429" s="2531"/>
      <c r="G429" s="2531"/>
      <c r="H429" s="2531"/>
      <c r="I429" s="2531"/>
      <c r="J429" s="2531"/>
      <c r="K429" s="2531"/>
      <c r="L429" s="2531"/>
      <c r="M429" s="2531"/>
      <c r="N429" s="2531"/>
      <c r="O429" s="2531"/>
      <c r="P429" s="2531"/>
      <c r="Q429" s="2531"/>
      <c r="R429" s="2531"/>
      <c r="S429" s="2531"/>
      <c r="T429" s="2531"/>
      <c r="U429" s="2531"/>
      <c r="V429" s="2531"/>
      <c r="W429" s="2531"/>
      <c r="X429" s="2531"/>
      <c r="Y429" s="2531"/>
      <c r="Z429" s="2531"/>
      <c r="AA429" s="2531"/>
      <c r="AB429" s="2531"/>
      <c r="AC429" s="2531"/>
      <c r="AD429" s="2531"/>
      <c r="AE429" s="2531"/>
      <c r="AL429" s="732"/>
      <c r="AM429" s="570"/>
      <c r="AN429" s="597"/>
    </row>
    <row r="430" spans="1:55" s="550" customFormat="1" ht="12.75" customHeight="1">
      <c r="A430" s="536"/>
      <c r="B430" s="14"/>
      <c r="C430" s="2527" t="s">
        <v>591</v>
      </c>
      <c r="D430" s="2484"/>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52" t="s">
        <v>1462</v>
      </c>
      <c r="AG430" s="2452"/>
      <c r="AH430" s="2452"/>
      <c r="AI430" s="2452"/>
      <c r="AJ430" s="2452"/>
      <c r="AK430" s="2452"/>
      <c r="AL430" s="2532"/>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530" t="s">
        <v>1485</v>
      </c>
      <c r="G433" s="2530"/>
      <c r="H433" s="2530"/>
      <c r="I433" s="2530"/>
      <c r="J433" s="2530"/>
      <c r="K433" s="2530"/>
      <c r="L433" s="2530"/>
      <c r="M433" s="2530"/>
      <c r="N433" s="2530"/>
      <c r="O433" s="2530"/>
      <c r="P433" s="2530"/>
      <c r="Q433" s="2530"/>
      <c r="R433" s="2530"/>
      <c r="S433" s="2530"/>
      <c r="T433" s="2530"/>
      <c r="U433" s="2530"/>
      <c r="V433" s="2530"/>
      <c r="W433" s="2530"/>
      <c r="X433" s="2530"/>
      <c r="Y433" s="2530"/>
      <c r="Z433" s="2530"/>
      <c r="AA433" s="2530"/>
      <c r="AB433" s="2530"/>
      <c r="AC433" s="2530"/>
      <c r="AD433" s="2530"/>
      <c r="AE433" s="2530"/>
      <c r="AF433" s="747"/>
      <c r="AG433" s="747"/>
      <c r="AH433" s="747"/>
      <c r="AI433" s="747"/>
      <c r="AJ433" s="747"/>
      <c r="AK433" s="747"/>
      <c r="AL433" s="748"/>
      <c r="AM433" s="570"/>
      <c r="AO433" s="550"/>
      <c r="AP433" s="550"/>
      <c r="BD433" s="14"/>
      <c r="BE433" s="14"/>
      <c r="BF433" s="14"/>
      <c r="BG433" s="14"/>
      <c r="BH433" s="14"/>
    </row>
    <row r="434" spans="1:60">
      <c r="A434" s="536"/>
      <c r="C434" s="731"/>
      <c r="E434" s="691"/>
      <c r="F434" s="2531"/>
      <c r="G434" s="2531"/>
      <c r="H434" s="2531"/>
      <c r="I434" s="2531"/>
      <c r="J434" s="2531"/>
      <c r="K434" s="2531"/>
      <c r="L434" s="2531"/>
      <c r="M434" s="2531"/>
      <c r="N434" s="2531"/>
      <c r="O434" s="2531"/>
      <c r="P434" s="2531"/>
      <c r="Q434" s="2531"/>
      <c r="R434" s="2531"/>
      <c r="S434" s="2531"/>
      <c r="T434" s="2531"/>
      <c r="U434" s="2531"/>
      <c r="V434" s="2531"/>
      <c r="W434" s="2531"/>
      <c r="X434" s="2531"/>
      <c r="Y434" s="2531"/>
      <c r="Z434" s="2531"/>
      <c r="AA434" s="2531"/>
      <c r="AB434" s="2531"/>
      <c r="AC434" s="2531"/>
      <c r="AD434" s="2531"/>
      <c r="AE434" s="2531"/>
      <c r="AF434" s="594"/>
      <c r="AG434" s="594"/>
      <c r="AH434" s="594"/>
      <c r="AI434" s="594"/>
      <c r="AJ434" s="594"/>
      <c r="AK434" s="594"/>
      <c r="AL434" s="750"/>
      <c r="AM434" s="570"/>
      <c r="AO434" s="550"/>
      <c r="AP434" s="550"/>
    </row>
    <row r="435" spans="1:60" s="550" customFormat="1" ht="12.75" customHeight="1">
      <c r="A435" s="536"/>
      <c r="B435" s="14"/>
      <c r="C435" s="731"/>
      <c r="D435" s="14"/>
      <c r="E435" s="691"/>
      <c r="F435" s="2531"/>
      <c r="G435" s="2531"/>
      <c r="H435" s="2531"/>
      <c r="I435" s="2531"/>
      <c r="J435" s="2531"/>
      <c r="K435" s="2531"/>
      <c r="L435" s="2531"/>
      <c r="M435" s="2531"/>
      <c r="N435" s="2531"/>
      <c r="O435" s="2531"/>
      <c r="P435" s="2531"/>
      <c r="Q435" s="2531"/>
      <c r="R435" s="2531"/>
      <c r="S435" s="2531"/>
      <c r="T435" s="2531"/>
      <c r="U435" s="2531"/>
      <c r="V435" s="2531"/>
      <c r="W435" s="2531"/>
      <c r="X435" s="2531"/>
      <c r="Y435" s="2531"/>
      <c r="Z435" s="2531"/>
      <c r="AA435" s="2531"/>
      <c r="AB435" s="2531"/>
      <c r="AC435" s="2531"/>
      <c r="AD435" s="2531"/>
      <c r="AE435" s="2531"/>
      <c r="AF435" s="594"/>
      <c r="AG435" s="594"/>
      <c r="AH435" s="594"/>
      <c r="AI435" s="594"/>
      <c r="AJ435" s="594"/>
      <c r="AK435" s="594"/>
      <c r="AL435" s="750"/>
      <c r="AM435" s="570"/>
      <c r="AN435" s="597"/>
    </row>
    <row r="436" spans="1:60" s="550" customFormat="1" ht="12.75" customHeight="1">
      <c r="A436" s="536"/>
      <c r="B436" s="14"/>
      <c r="C436" s="751"/>
      <c r="D436" s="730"/>
      <c r="E436" s="719"/>
      <c r="F436" s="2531"/>
      <c r="G436" s="2531"/>
      <c r="H436" s="2531"/>
      <c r="I436" s="2531"/>
      <c r="J436" s="2531"/>
      <c r="K436" s="2531"/>
      <c r="L436" s="2531"/>
      <c r="M436" s="2531"/>
      <c r="N436" s="2531"/>
      <c r="O436" s="2531"/>
      <c r="P436" s="2531"/>
      <c r="Q436" s="2531"/>
      <c r="R436" s="2531"/>
      <c r="S436" s="2531"/>
      <c r="T436" s="2531"/>
      <c r="U436" s="2531"/>
      <c r="V436" s="2531"/>
      <c r="W436" s="2531"/>
      <c r="X436" s="2531"/>
      <c r="Y436" s="2531"/>
      <c r="Z436" s="2531"/>
      <c r="AA436" s="2531"/>
      <c r="AB436" s="2531"/>
      <c r="AC436" s="2531"/>
      <c r="AD436" s="2531"/>
      <c r="AE436" s="2531"/>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31"/>
      <c r="G437" s="2531"/>
      <c r="H437" s="2531"/>
      <c r="I437" s="2531"/>
      <c r="J437" s="2531"/>
      <c r="K437" s="2531"/>
      <c r="L437" s="2531"/>
      <c r="M437" s="2531"/>
      <c r="N437" s="2531"/>
      <c r="O437" s="2531"/>
      <c r="P437" s="2531"/>
      <c r="Q437" s="2531"/>
      <c r="R437" s="2531"/>
      <c r="S437" s="2531"/>
      <c r="T437" s="2531"/>
      <c r="U437" s="2531"/>
      <c r="V437" s="2531"/>
      <c r="W437" s="2531"/>
      <c r="X437" s="2531"/>
      <c r="Y437" s="2531"/>
      <c r="Z437" s="2531"/>
      <c r="AA437" s="2531"/>
      <c r="AB437" s="2531"/>
      <c r="AC437" s="2531"/>
      <c r="AD437" s="2531"/>
      <c r="AE437" s="2531"/>
      <c r="AF437" s="594"/>
      <c r="AG437" s="594"/>
      <c r="AH437" s="594"/>
      <c r="AI437" s="594"/>
      <c r="AJ437" s="594"/>
      <c r="AK437" s="594"/>
      <c r="AL437" s="750"/>
      <c r="AM437" s="570"/>
      <c r="AN437" s="597"/>
    </row>
    <row r="438" spans="1:60" s="550" customFormat="1" ht="12.75" customHeight="1">
      <c r="A438" s="536"/>
      <c r="B438" s="14"/>
      <c r="C438" s="751"/>
      <c r="D438" s="730"/>
      <c r="E438" s="719"/>
      <c r="F438" s="2531"/>
      <c r="G438" s="2531"/>
      <c r="H438" s="2531"/>
      <c r="I438" s="2531"/>
      <c r="J438" s="2531"/>
      <c r="K438" s="2531"/>
      <c r="L438" s="2531"/>
      <c r="M438" s="2531"/>
      <c r="N438" s="2531"/>
      <c r="O438" s="2531"/>
      <c r="P438" s="2531"/>
      <c r="Q438" s="2531"/>
      <c r="R438" s="2531"/>
      <c r="S438" s="2531"/>
      <c r="T438" s="2531"/>
      <c r="U438" s="2531"/>
      <c r="V438" s="2531"/>
      <c r="W438" s="2531"/>
      <c r="X438" s="2531"/>
      <c r="Y438" s="2531"/>
      <c r="Z438" s="2531"/>
      <c r="AA438" s="2531"/>
      <c r="AB438" s="2531"/>
      <c r="AC438" s="2531"/>
      <c r="AD438" s="2531"/>
      <c r="AE438" s="2531"/>
      <c r="AF438" s="594"/>
      <c r="AG438" s="594"/>
      <c r="AH438" s="594"/>
      <c r="AI438" s="594"/>
      <c r="AJ438" s="594"/>
      <c r="AK438" s="594"/>
      <c r="AL438" s="750"/>
      <c r="AM438" s="570"/>
      <c r="AN438" s="597"/>
    </row>
    <row r="439" spans="1:60" s="550" customFormat="1" ht="12.75" customHeight="1">
      <c r="A439" s="536"/>
      <c r="B439" s="14"/>
      <c r="C439" s="751"/>
      <c r="D439" s="730"/>
      <c r="E439" s="719"/>
      <c r="F439" s="2531"/>
      <c r="G439" s="2531"/>
      <c r="H439" s="2531"/>
      <c r="I439" s="2531"/>
      <c r="J439" s="2531"/>
      <c r="K439" s="2531"/>
      <c r="L439" s="2531"/>
      <c r="M439" s="2531"/>
      <c r="N439" s="2531"/>
      <c r="O439" s="2531"/>
      <c r="P439" s="2531"/>
      <c r="Q439" s="2531"/>
      <c r="R439" s="2531"/>
      <c r="S439" s="2531"/>
      <c r="T439" s="2531"/>
      <c r="U439" s="2531"/>
      <c r="V439" s="2531"/>
      <c r="W439" s="2531"/>
      <c r="X439" s="2531"/>
      <c r="Y439" s="2531"/>
      <c r="Z439" s="2531"/>
      <c r="AA439" s="2531"/>
      <c r="AB439" s="2531"/>
      <c r="AC439" s="2531"/>
      <c r="AD439" s="2531"/>
      <c r="AE439" s="2531"/>
      <c r="AF439" s="594"/>
      <c r="AG439" s="594"/>
      <c r="AH439" s="594"/>
      <c r="AI439" s="594"/>
      <c r="AJ439" s="594"/>
      <c r="AK439" s="594"/>
      <c r="AL439" s="750"/>
      <c r="AM439" s="570"/>
      <c r="AN439" s="597"/>
    </row>
    <row r="440" spans="1:60" s="550" customFormat="1" ht="12.75" customHeight="1">
      <c r="A440" s="536"/>
      <c r="B440" s="14"/>
      <c r="C440" s="751"/>
      <c r="D440" s="730"/>
      <c r="E440" s="719"/>
      <c r="F440" s="2531"/>
      <c r="G440" s="2531"/>
      <c r="H440" s="2531"/>
      <c r="I440" s="2531"/>
      <c r="J440" s="2531"/>
      <c r="K440" s="2531"/>
      <c r="L440" s="2531"/>
      <c r="M440" s="2531"/>
      <c r="N440" s="2531"/>
      <c r="O440" s="2531"/>
      <c r="P440" s="2531"/>
      <c r="Q440" s="2531"/>
      <c r="R440" s="2531"/>
      <c r="S440" s="2531"/>
      <c r="T440" s="2531"/>
      <c r="U440" s="2531"/>
      <c r="V440" s="2531"/>
      <c r="W440" s="2531"/>
      <c r="X440" s="2531"/>
      <c r="Y440" s="2531"/>
      <c r="Z440" s="2531"/>
      <c r="AA440" s="2531"/>
      <c r="AB440" s="2531"/>
      <c r="AC440" s="2531"/>
      <c r="AD440" s="2531"/>
      <c r="AE440" s="2531"/>
      <c r="AF440" s="594"/>
      <c r="AG440" s="594"/>
      <c r="AH440" s="594"/>
      <c r="AI440" s="594"/>
      <c r="AJ440" s="594"/>
      <c r="AK440" s="594"/>
      <c r="AL440" s="750"/>
      <c r="AM440" s="570"/>
      <c r="AN440" s="597"/>
    </row>
    <row r="441" spans="1:60" s="550" customFormat="1" ht="17.25" customHeight="1">
      <c r="A441" s="536"/>
      <c r="B441" s="14"/>
      <c r="C441" s="751"/>
      <c r="D441" s="730"/>
      <c r="E441" s="719"/>
      <c r="F441" s="2531"/>
      <c r="G441" s="2531"/>
      <c r="H441" s="2531"/>
      <c r="I441" s="2531"/>
      <c r="J441" s="2531"/>
      <c r="K441" s="2531"/>
      <c r="L441" s="2531"/>
      <c r="M441" s="2531"/>
      <c r="N441" s="2531"/>
      <c r="O441" s="2531"/>
      <c r="P441" s="2531"/>
      <c r="Q441" s="2531"/>
      <c r="R441" s="2531"/>
      <c r="S441" s="2531"/>
      <c r="T441" s="2531"/>
      <c r="U441" s="2531"/>
      <c r="V441" s="2531"/>
      <c r="W441" s="2531"/>
      <c r="X441" s="2531"/>
      <c r="Y441" s="2531"/>
      <c r="Z441" s="2531"/>
      <c r="AA441" s="2531"/>
      <c r="AB441" s="2531"/>
      <c r="AC441" s="2531"/>
      <c r="AD441" s="2531"/>
      <c r="AE441" s="2531"/>
      <c r="AL441" s="732"/>
      <c r="AM441" s="570"/>
      <c r="AN441" s="597"/>
    </row>
    <row r="442" spans="1:60" s="550" customFormat="1" ht="12.75" customHeight="1">
      <c r="A442" s="536"/>
      <c r="B442" s="14"/>
      <c r="C442" s="2527" t="s">
        <v>591</v>
      </c>
      <c r="D442" s="2484"/>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52" t="s">
        <v>1462</v>
      </c>
      <c r="AG442" s="2452"/>
      <c r="AH442" s="2452"/>
      <c r="AI442" s="2452"/>
      <c r="AJ442" s="2452"/>
      <c r="AK442" s="2452"/>
      <c r="AL442" s="2532"/>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30" t="s">
        <v>1488</v>
      </c>
      <c r="G445" s="2530"/>
      <c r="H445" s="2530"/>
      <c r="I445" s="2530"/>
      <c r="J445" s="2530"/>
      <c r="K445" s="2530"/>
      <c r="L445" s="2530"/>
      <c r="M445" s="2530"/>
      <c r="N445" s="2530"/>
      <c r="O445" s="2530"/>
      <c r="P445" s="2530"/>
      <c r="Q445" s="2530"/>
      <c r="R445" s="2530"/>
      <c r="S445" s="2530"/>
      <c r="T445" s="2530"/>
      <c r="U445" s="2530"/>
      <c r="V445" s="2530"/>
      <c r="W445" s="2530"/>
      <c r="X445" s="2530"/>
      <c r="Y445" s="2530"/>
      <c r="Z445" s="2530"/>
      <c r="AA445" s="2530"/>
      <c r="AB445" s="2530"/>
      <c r="AC445" s="2530"/>
      <c r="AD445" s="2530"/>
      <c r="AE445" s="2530"/>
      <c r="AF445" s="714"/>
      <c r="AG445" s="714"/>
      <c r="AH445" s="714"/>
      <c r="AI445" s="714"/>
      <c r="AJ445" s="714"/>
      <c r="AK445" s="714"/>
      <c r="AL445" s="745"/>
      <c r="AM445" s="570"/>
      <c r="AN445" s="597"/>
    </row>
    <row r="446" spans="1:60" s="550" customFormat="1" ht="12.75" customHeight="1">
      <c r="A446" s="536"/>
      <c r="B446" s="14"/>
      <c r="C446" s="751"/>
      <c r="D446" s="730"/>
      <c r="E446" s="719"/>
      <c r="F446" s="2531"/>
      <c r="G446" s="2531"/>
      <c r="H446" s="2531"/>
      <c r="I446" s="2531"/>
      <c r="J446" s="2531"/>
      <c r="K446" s="2531"/>
      <c r="L446" s="2531"/>
      <c r="M446" s="2531"/>
      <c r="N446" s="2531"/>
      <c r="O446" s="2531"/>
      <c r="P446" s="2531"/>
      <c r="Q446" s="2531"/>
      <c r="R446" s="2531"/>
      <c r="S446" s="2531"/>
      <c r="T446" s="2531"/>
      <c r="U446" s="2531"/>
      <c r="V446" s="2531"/>
      <c r="W446" s="2531"/>
      <c r="X446" s="2531"/>
      <c r="Y446" s="2531"/>
      <c r="Z446" s="2531"/>
      <c r="AA446" s="2531"/>
      <c r="AB446" s="2531"/>
      <c r="AC446" s="2531"/>
      <c r="AD446" s="2531"/>
      <c r="AE446" s="2531"/>
      <c r="AF446" s="591"/>
      <c r="AG446" s="591"/>
      <c r="AH446" s="591"/>
      <c r="AI446" s="591"/>
      <c r="AJ446" s="591"/>
      <c r="AK446" s="591"/>
      <c r="AL446" s="720"/>
      <c r="AM446" s="570"/>
      <c r="AN446" s="597"/>
    </row>
    <row r="447" spans="1:60" s="550" customFormat="1" ht="12.75" customHeight="1">
      <c r="A447" s="536"/>
      <c r="B447" s="14"/>
      <c r="C447" s="751"/>
      <c r="D447" s="730"/>
      <c r="E447" s="719"/>
      <c r="F447" s="2531"/>
      <c r="G447" s="2531"/>
      <c r="H447" s="2531"/>
      <c r="I447" s="2531"/>
      <c r="J447" s="2531"/>
      <c r="K447" s="2531"/>
      <c r="L447" s="2531"/>
      <c r="M447" s="2531"/>
      <c r="N447" s="2531"/>
      <c r="O447" s="2531"/>
      <c r="P447" s="2531"/>
      <c r="Q447" s="2531"/>
      <c r="R447" s="2531"/>
      <c r="S447" s="2531"/>
      <c r="T447" s="2531"/>
      <c r="U447" s="2531"/>
      <c r="V447" s="2531"/>
      <c r="W447" s="2531"/>
      <c r="X447" s="2531"/>
      <c r="Y447" s="2531"/>
      <c r="Z447" s="2531"/>
      <c r="AA447" s="2531"/>
      <c r="AB447" s="2531"/>
      <c r="AC447" s="2531"/>
      <c r="AD447" s="2531"/>
      <c r="AE447" s="2531"/>
      <c r="AF447" s="591"/>
      <c r="AG447" s="591"/>
      <c r="AH447" s="591"/>
      <c r="AI447" s="591"/>
      <c r="AJ447" s="591"/>
      <c r="AK447" s="591"/>
      <c r="AL447" s="720"/>
      <c r="AM447" s="570"/>
      <c r="AN447" s="597"/>
    </row>
    <row r="448" spans="1:60" s="550" customFormat="1" ht="12.75" customHeight="1">
      <c r="A448" s="536"/>
      <c r="B448" s="14"/>
      <c r="C448" s="751"/>
      <c r="D448" s="730"/>
      <c r="E448" s="719"/>
      <c r="F448" s="2531"/>
      <c r="G448" s="2531"/>
      <c r="H448" s="2531"/>
      <c r="I448" s="2531"/>
      <c r="J448" s="2531"/>
      <c r="K448" s="2531"/>
      <c r="L448" s="2531"/>
      <c r="M448" s="2531"/>
      <c r="N448" s="2531"/>
      <c r="O448" s="2531"/>
      <c r="P448" s="2531"/>
      <c r="Q448" s="2531"/>
      <c r="R448" s="2531"/>
      <c r="S448" s="2531"/>
      <c r="T448" s="2531"/>
      <c r="U448" s="2531"/>
      <c r="V448" s="2531"/>
      <c r="W448" s="2531"/>
      <c r="X448" s="2531"/>
      <c r="Y448" s="2531"/>
      <c r="Z448" s="2531"/>
      <c r="AA448" s="2531"/>
      <c r="AB448" s="2531"/>
      <c r="AC448" s="2531"/>
      <c r="AD448" s="2531"/>
      <c r="AE448" s="2531"/>
      <c r="AL448" s="732"/>
      <c r="AM448" s="570"/>
      <c r="AN448" s="597"/>
    </row>
    <row r="449" spans="1:40" s="550" customFormat="1" ht="12.75" customHeight="1">
      <c r="A449" s="536"/>
      <c r="B449" s="14"/>
      <c r="C449" s="2527" t="s">
        <v>591</v>
      </c>
      <c r="D449" s="2484"/>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52" t="s">
        <v>1462</v>
      </c>
      <c r="AG449" s="2452"/>
      <c r="AH449" s="2452"/>
      <c r="AI449" s="2452"/>
      <c r="AJ449" s="2452"/>
      <c r="AK449" s="2452"/>
      <c r="AL449" s="2532"/>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33" t="s">
        <v>591</v>
      </c>
      <c r="D453" s="2534"/>
      <c r="E453" s="715" t="s">
        <v>1497</v>
      </c>
      <c r="F453" s="2530" t="s">
        <v>1498</v>
      </c>
      <c r="G453" s="2530"/>
      <c r="H453" s="2530"/>
      <c r="I453" s="2530"/>
      <c r="J453" s="2530"/>
      <c r="K453" s="2530"/>
      <c r="L453" s="2530"/>
      <c r="M453" s="2530"/>
      <c r="N453" s="2530"/>
      <c r="O453" s="2530"/>
      <c r="P453" s="2530"/>
      <c r="Q453" s="2530"/>
      <c r="R453" s="2530"/>
      <c r="S453" s="2530"/>
      <c r="T453" s="2530"/>
      <c r="U453" s="2530"/>
      <c r="V453" s="2530"/>
      <c r="W453" s="2530"/>
      <c r="X453" s="2530"/>
      <c r="Y453" s="2530"/>
      <c r="Z453" s="2530"/>
      <c r="AA453" s="2530"/>
      <c r="AB453" s="2530"/>
      <c r="AC453" s="2530"/>
      <c r="AD453" s="2530"/>
      <c r="AE453" s="2530"/>
      <c r="AF453" s="2551" t="s">
        <v>1462</v>
      </c>
      <c r="AG453" s="2551"/>
      <c r="AH453" s="2551"/>
      <c r="AI453" s="2551"/>
      <c r="AJ453" s="2551"/>
      <c r="AK453" s="2551"/>
      <c r="AL453" s="2552"/>
      <c r="AM453" s="570"/>
      <c r="AN453" s="753"/>
    </row>
    <row r="454" spans="1:40" s="550" customFormat="1" ht="12.75" customHeight="1">
      <c r="A454" s="536"/>
      <c r="B454" s="14"/>
      <c r="C454" s="751"/>
      <c r="D454" s="730"/>
      <c r="E454" s="719"/>
      <c r="F454" s="2531"/>
      <c r="G454" s="2531"/>
      <c r="H454" s="2531"/>
      <c r="I454" s="2531"/>
      <c r="J454" s="2531"/>
      <c r="K454" s="2531"/>
      <c r="L454" s="2531"/>
      <c r="M454" s="2531"/>
      <c r="N454" s="2531"/>
      <c r="O454" s="2531"/>
      <c r="P454" s="2531"/>
      <c r="Q454" s="2531"/>
      <c r="R454" s="2531"/>
      <c r="S454" s="2531"/>
      <c r="T454" s="2531"/>
      <c r="U454" s="2531"/>
      <c r="V454" s="2531"/>
      <c r="W454" s="2531"/>
      <c r="X454" s="2531"/>
      <c r="Y454" s="2531"/>
      <c r="Z454" s="2531"/>
      <c r="AA454" s="2531"/>
      <c r="AB454" s="2531"/>
      <c r="AC454" s="2531"/>
      <c r="AD454" s="2531"/>
      <c r="AE454" s="2531"/>
      <c r="AF454" s="591"/>
      <c r="AG454" s="591"/>
      <c r="AH454" s="591"/>
      <c r="AI454" s="591"/>
      <c r="AJ454" s="591"/>
      <c r="AK454" s="591"/>
      <c r="AL454" s="720"/>
      <c r="AM454" s="570"/>
      <c r="AN454" s="754"/>
    </row>
    <row r="455" spans="1:40" s="550" customFormat="1" ht="17.649999999999999" customHeight="1">
      <c r="A455" s="536"/>
      <c r="B455" s="14"/>
      <c r="C455" s="756"/>
      <c r="D455" s="723"/>
      <c r="E455" s="724"/>
      <c r="F455" s="2550"/>
      <c r="G455" s="2550"/>
      <c r="H455" s="2550"/>
      <c r="I455" s="2550"/>
      <c r="J455" s="2550"/>
      <c r="K455" s="2550"/>
      <c r="L455" s="2550"/>
      <c r="M455" s="2550"/>
      <c r="N455" s="2550"/>
      <c r="O455" s="2550"/>
      <c r="P455" s="2550"/>
      <c r="Q455" s="2550"/>
      <c r="R455" s="2550"/>
      <c r="S455" s="2550"/>
      <c r="T455" s="2550"/>
      <c r="U455" s="2550"/>
      <c r="V455" s="2550"/>
      <c r="W455" s="2550"/>
      <c r="X455" s="2550"/>
      <c r="Y455" s="2550"/>
      <c r="Z455" s="2550"/>
      <c r="AA455" s="2550"/>
      <c r="AB455" s="2550"/>
      <c r="AC455" s="2550"/>
      <c r="AD455" s="2550"/>
      <c r="AE455" s="2550"/>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7" t="s">
        <v>591</v>
      </c>
      <c r="D457" s="2484"/>
      <c r="E457" s="715" t="s">
        <v>1503</v>
      </c>
      <c r="F457" s="2530" t="s">
        <v>1504</v>
      </c>
      <c r="G457" s="2530"/>
      <c r="H457" s="2530"/>
      <c r="I457" s="2530"/>
      <c r="J457" s="2530"/>
      <c r="K457" s="2530"/>
      <c r="L457" s="2530"/>
      <c r="M457" s="2530"/>
      <c r="N457" s="2530"/>
      <c r="O457" s="2530"/>
      <c r="P457" s="2530"/>
      <c r="Q457" s="2530"/>
      <c r="R457" s="2530"/>
      <c r="S457" s="2530"/>
      <c r="T457" s="2530"/>
      <c r="U457" s="2530"/>
      <c r="V457" s="2530"/>
      <c r="W457" s="2530"/>
      <c r="X457" s="2530"/>
      <c r="Y457" s="2530"/>
      <c r="Z457" s="2530"/>
      <c r="AA457" s="2530"/>
      <c r="AB457" s="2530"/>
      <c r="AC457" s="2530"/>
      <c r="AD457" s="2530"/>
      <c r="AE457" s="2530"/>
      <c r="AF457" s="2551" t="s">
        <v>1462</v>
      </c>
      <c r="AG457" s="2551"/>
      <c r="AH457" s="2551"/>
      <c r="AI457" s="2551"/>
      <c r="AJ457" s="2551"/>
      <c r="AK457" s="2551"/>
      <c r="AL457" s="2552"/>
      <c r="AM457" s="570"/>
      <c r="AN457" s="535"/>
    </row>
    <row r="458" spans="1:40" s="550" customFormat="1" ht="12.75" customHeight="1">
      <c r="A458" s="536"/>
      <c r="B458" s="14"/>
      <c r="C458" s="731"/>
      <c r="D458" s="14"/>
      <c r="E458" s="691"/>
      <c r="F458" s="2531"/>
      <c r="G458" s="2531"/>
      <c r="H458" s="2531"/>
      <c r="I458" s="2531"/>
      <c r="J458" s="2531"/>
      <c r="K458" s="2531"/>
      <c r="L458" s="2531"/>
      <c r="M458" s="2531"/>
      <c r="N458" s="2531"/>
      <c r="O458" s="2531"/>
      <c r="P458" s="2531"/>
      <c r="Q458" s="2531"/>
      <c r="R458" s="2531"/>
      <c r="S458" s="2531"/>
      <c r="T458" s="2531"/>
      <c r="U458" s="2531"/>
      <c r="V458" s="2531"/>
      <c r="W458" s="2531"/>
      <c r="X458" s="2531"/>
      <c r="Y458" s="2531"/>
      <c r="Z458" s="2531"/>
      <c r="AA458" s="2531"/>
      <c r="AB458" s="2531"/>
      <c r="AC458" s="2531"/>
      <c r="AD458" s="2531"/>
      <c r="AE458" s="2531"/>
      <c r="AF458" s="539"/>
      <c r="AG458" s="536"/>
      <c r="AL458" s="732"/>
      <c r="AM458" s="570"/>
      <c r="AN458" s="535"/>
    </row>
    <row r="459" spans="1:40" s="550" customFormat="1" ht="12.75" customHeight="1">
      <c r="A459" s="536"/>
      <c r="B459" s="14"/>
      <c r="C459" s="731"/>
      <c r="D459" s="14"/>
      <c r="E459" s="691"/>
      <c r="F459" s="2531"/>
      <c r="G459" s="2531"/>
      <c r="H459" s="2531"/>
      <c r="I459" s="2531"/>
      <c r="J459" s="2531"/>
      <c r="K459" s="2531"/>
      <c r="L459" s="2531"/>
      <c r="M459" s="2531"/>
      <c r="N459" s="2531"/>
      <c r="O459" s="2531"/>
      <c r="P459" s="2531"/>
      <c r="Q459" s="2531"/>
      <c r="R459" s="2531"/>
      <c r="S459" s="2531"/>
      <c r="T459" s="2531"/>
      <c r="U459" s="2531"/>
      <c r="V459" s="2531"/>
      <c r="W459" s="2531"/>
      <c r="X459" s="2531"/>
      <c r="Y459" s="2531"/>
      <c r="Z459" s="2531"/>
      <c r="AA459" s="2531"/>
      <c r="AB459" s="2531"/>
      <c r="AC459" s="2531"/>
      <c r="AD459" s="2531"/>
      <c r="AE459" s="2531"/>
      <c r="AF459" s="539"/>
      <c r="AG459" s="536"/>
      <c r="AL459" s="732"/>
      <c r="AM459" s="570"/>
      <c r="AN459" s="535"/>
    </row>
    <row r="460" spans="1:40" s="550" customFormat="1" ht="12.75" customHeight="1">
      <c r="A460" s="536"/>
      <c r="B460" s="14"/>
      <c r="C460" s="756"/>
      <c r="D460" s="723"/>
      <c r="E460" s="724"/>
      <c r="F460" s="2550"/>
      <c r="G460" s="2550"/>
      <c r="H460" s="2550"/>
      <c r="I460" s="2550"/>
      <c r="J460" s="2550"/>
      <c r="K460" s="2550"/>
      <c r="L460" s="2550"/>
      <c r="M460" s="2550"/>
      <c r="N460" s="2550"/>
      <c r="O460" s="2550"/>
      <c r="P460" s="2550"/>
      <c r="Q460" s="2550"/>
      <c r="R460" s="2550"/>
      <c r="S460" s="2550"/>
      <c r="T460" s="2550"/>
      <c r="U460" s="2550"/>
      <c r="V460" s="2550"/>
      <c r="W460" s="2550"/>
      <c r="X460" s="2550"/>
      <c r="Y460" s="2550"/>
      <c r="Z460" s="2550"/>
      <c r="AA460" s="2550"/>
      <c r="AB460" s="2550"/>
      <c r="AC460" s="2550"/>
      <c r="AD460" s="2550"/>
      <c r="AE460" s="2550"/>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30" t="s">
        <v>1507</v>
      </c>
      <c r="G462" s="2530"/>
      <c r="H462" s="2530"/>
      <c r="I462" s="2530"/>
      <c r="J462" s="2530"/>
      <c r="K462" s="2530"/>
      <c r="L462" s="2530"/>
      <c r="M462" s="2530"/>
      <c r="N462" s="2530"/>
      <c r="O462" s="2530"/>
      <c r="P462" s="2530"/>
      <c r="Q462" s="2530"/>
      <c r="R462" s="2530"/>
      <c r="S462" s="2530"/>
      <c r="T462" s="2530"/>
      <c r="U462" s="2530"/>
      <c r="V462" s="2530"/>
      <c r="W462" s="2530"/>
      <c r="X462" s="2530"/>
      <c r="Y462" s="2530"/>
      <c r="Z462" s="2530"/>
      <c r="AA462" s="2530"/>
      <c r="AB462" s="2530"/>
      <c r="AC462" s="2530"/>
      <c r="AD462" s="2530"/>
      <c r="AE462" s="2530"/>
      <c r="AF462" s="2530"/>
      <c r="AG462" s="744"/>
      <c r="AH462" s="714"/>
      <c r="AI462" s="714"/>
      <c r="AJ462" s="714"/>
      <c r="AK462" s="714"/>
      <c r="AL462" s="745"/>
      <c r="AM462" s="570"/>
      <c r="AN462" s="597"/>
    </row>
    <row r="463" spans="1:40" s="550" customFormat="1" ht="12.75" customHeight="1">
      <c r="A463" s="536"/>
      <c r="B463" s="14"/>
      <c r="C463" s="731"/>
      <c r="D463" s="14"/>
      <c r="E463" s="691"/>
      <c r="F463" s="2531"/>
      <c r="G463" s="2531"/>
      <c r="H463" s="2531"/>
      <c r="I463" s="2531"/>
      <c r="J463" s="2531"/>
      <c r="K463" s="2531"/>
      <c r="L463" s="2531"/>
      <c r="M463" s="2531"/>
      <c r="N463" s="2531"/>
      <c r="O463" s="2531"/>
      <c r="P463" s="2531"/>
      <c r="Q463" s="2531"/>
      <c r="R463" s="2531"/>
      <c r="S463" s="2531"/>
      <c r="T463" s="2531"/>
      <c r="U463" s="2531"/>
      <c r="V463" s="2531"/>
      <c r="W463" s="2531"/>
      <c r="X463" s="2531"/>
      <c r="Y463" s="2531"/>
      <c r="Z463" s="2531"/>
      <c r="AA463" s="2531"/>
      <c r="AB463" s="2531"/>
      <c r="AC463" s="2531"/>
      <c r="AD463" s="2531"/>
      <c r="AE463" s="2531"/>
      <c r="AF463" s="2531"/>
      <c r="AL463" s="732"/>
      <c r="AM463" s="570"/>
      <c r="AN463" s="597"/>
    </row>
    <row r="464" spans="1:40" s="550" customFormat="1" ht="12.75" customHeight="1">
      <c r="A464" s="536"/>
      <c r="B464" s="14"/>
      <c r="C464" s="739"/>
      <c r="F464" s="2531"/>
      <c r="G464" s="2531"/>
      <c r="H464" s="2531"/>
      <c r="I464" s="2531"/>
      <c r="J464" s="2531"/>
      <c r="K464" s="2531"/>
      <c r="L464" s="2531"/>
      <c r="M464" s="2531"/>
      <c r="N464" s="2531"/>
      <c r="O464" s="2531"/>
      <c r="P464" s="2531"/>
      <c r="Q464" s="2531"/>
      <c r="R464" s="2531"/>
      <c r="S464" s="2531"/>
      <c r="T464" s="2531"/>
      <c r="U464" s="2531"/>
      <c r="V464" s="2531"/>
      <c r="W464" s="2531"/>
      <c r="X464" s="2531"/>
      <c r="Y464" s="2531"/>
      <c r="Z464" s="2531"/>
      <c r="AA464" s="2531"/>
      <c r="AB464" s="2531"/>
      <c r="AC464" s="2531"/>
      <c r="AD464" s="2531"/>
      <c r="AE464" s="2531"/>
      <c r="AF464" s="2531"/>
      <c r="AL464" s="732"/>
      <c r="AM464" s="570"/>
      <c r="AN464" s="597"/>
    </row>
    <row r="465" spans="1:58" s="550" customFormat="1" ht="12.75" customHeight="1">
      <c r="A465" s="536"/>
      <c r="B465" s="14"/>
      <c r="C465" s="739"/>
      <c r="F465" s="2531"/>
      <c r="G465" s="2531"/>
      <c r="H465" s="2531"/>
      <c r="I465" s="2531"/>
      <c r="J465" s="2531"/>
      <c r="K465" s="2531"/>
      <c r="L465" s="2531"/>
      <c r="M465" s="2531"/>
      <c r="N465" s="2531"/>
      <c r="O465" s="2531"/>
      <c r="P465" s="2531"/>
      <c r="Q465" s="2531"/>
      <c r="R465" s="2531"/>
      <c r="S465" s="2531"/>
      <c r="T465" s="2531"/>
      <c r="U465" s="2531"/>
      <c r="V465" s="2531"/>
      <c r="W465" s="2531"/>
      <c r="X465" s="2531"/>
      <c r="Y465" s="2531"/>
      <c r="Z465" s="2531"/>
      <c r="AA465" s="2531"/>
      <c r="AB465" s="2531"/>
      <c r="AC465" s="2531"/>
      <c r="AD465" s="2531"/>
      <c r="AE465" s="2531"/>
      <c r="AF465" s="2531"/>
      <c r="AL465" s="732"/>
      <c r="AM465" s="570"/>
      <c r="AN465" s="597"/>
    </row>
    <row r="466" spans="1:58" s="550" customFormat="1" ht="12.75" customHeight="1">
      <c r="A466" s="536"/>
      <c r="B466" s="14"/>
      <c r="C466" s="2527" t="s">
        <v>591</v>
      </c>
      <c r="D466" s="2484"/>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8" t="s">
        <v>1462</v>
      </c>
      <c r="AG466" s="2528"/>
      <c r="AH466" s="2528"/>
      <c r="AI466" s="2528"/>
      <c r="AJ466" s="2528"/>
      <c r="AK466" s="2528"/>
      <c r="AL466" s="2529"/>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87">
        <f>IF(Application!D214="N/A",AS358,AS360)</f>
        <v>10</v>
      </c>
      <c r="AL469" s="2488"/>
      <c r="AM469" s="2489"/>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28" t="s">
        <v>1511</v>
      </c>
      <c r="AF472" s="2528"/>
      <c r="AG472" s="2528"/>
      <c r="AH472" s="2528"/>
      <c r="AI472" s="2528"/>
      <c r="AJ472" s="2528"/>
      <c r="AK472" s="2528"/>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53" t="s">
        <v>591</v>
      </c>
      <c r="D478" s="2554"/>
      <c r="E478" s="761" t="s">
        <v>507</v>
      </c>
      <c r="F478" s="2555" t="s">
        <v>1517</v>
      </c>
      <c r="G478" s="2555"/>
      <c r="H478" s="2555"/>
      <c r="I478" s="2555"/>
      <c r="J478" s="2555"/>
      <c r="K478" s="2555"/>
      <c r="L478" s="2555"/>
      <c r="M478" s="2555"/>
      <c r="N478" s="2555"/>
      <c r="O478" s="2555"/>
      <c r="P478" s="2555"/>
      <c r="Q478" s="2555"/>
      <c r="R478" s="2555"/>
      <c r="S478" s="2555"/>
      <c r="T478" s="2555"/>
      <c r="U478" s="2555"/>
      <c r="V478" s="2555"/>
      <c r="W478" s="2555"/>
      <c r="X478" s="2555"/>
      <c r="Y478" s="2555"/>
      <c r="Z478" s="2555"/>
      <c r="AA478" s="2555"/>
      <c r="AB478" s="2555"/>
      <c r="AC478" s="2555"/>
      <c r="AD478" s="2555"/>
      <c r="AE478" s="2555"/>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56"/>
      <c r="G479" s="2556"/>
      <c r="H479" s="2556"/>
      <c r="I479" s="2556"/>
      <c r="J479" s="2556"/>
      <c r="K479" s="2556"/>
      <c r="L479" s="2556"/>
      <c r="M479" s="2556"/>
      <c r="N479" s="2556"/>
      <c r="O479" s="2556"/>
      <c r="P479" s="2556"/>
      <c r="Q479" s="2556"/>
      <c r="R479" s="2556"/>
      <c r="S479" s="2556"/>
      <c r="T479" s="2556"/>
      <c r="U479" s="2556"/>
      <c r="V479" s="2556"/>
      <c r="W479" s="2556"/>
      <c r="X479" s="2556"/>
      <c r="Y479" s="2556"/>
      <c r="Z479" s="2556"/>
      <c r="AA479" s="2556"/>
      <c r="AB479" s="2556"/>
      <c r="AC479" s="2556"/>
      <c r="AD479" s="2556"/>
      <c r="AE479" s="2556"/>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9" t="s">
        <v>591</v>
      </c>
      <c r="G480" s="2629"/>
      <c r="H480" s="2629"/>
      <c r="I480" s="2629"/>
      <c r="J480" s="2629"/>
      <c r="K480" s="2629"/>
      <c r="L480" s="2629"/>
      <c r="M480" s="2629"/>
      <c r="N480" s="2629"/>
      <c r="O480" s="2629"/>
      <c r="P480" s="2629"/>
      <c r="Q480" s="2629"/>
      <c r="R480" s="2629"/>
      <c r="S480" s="2629"/>
      <c r="T480" s="2629"/>
      <c r="U480" s="2629"/>
      <c r="V480" s="2629"/>
      <c r="W480" s="2629"/>
      <c r="X480" s="2629"/>
      <c r="Y480" s="2629"/>
      <c r="Z480" s="2629"/>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30" t="s">
        <v>545</v>
      </c>
      <c r="D482" s="2631"/>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28" t="s">
        <v>591</v>
      </c>
      <c r="W485" s="2628"/>
      <c r="X485" s="2628"/>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28" t="s">
        <v>591</v>
      </c>
      <c r="W487" s="2628"/>
      <c r="X487" s="2628"/>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28" t="s">
        <v>591</v>
      </c>
      <c r="W492" s="2628"/>
      <c r="X492" s="2628"/>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18"/>
      <c r="E495" s="2618"/>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28" t="s">
        <v>591</v>
      </c>
      <c r="W496" s="2628"/>
      <c r="X496" s="2628"/>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28" t="s">
        <v>591</v>
      </c>
      <c r="W498" s="2628"/>
      <c r="X498" s="2628"/>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53" t="s">
        <v>591</v>
      </c>
      <c r="D501" s="2554"/>
      <c r="E501" s="761" t="s">
        <v>507</v>
      </c>
      <c r="F501" s="2555" t="s">
        <v>1517</v>
      </c>
      <c r="G501" s="2555"/>
      <c r="H501" s="2555"/>
      <c r="I501" s="2555"/>
      <c r="J501" s="2555"/>
      <c r="K501" s="2555"/>
      <c r="L501" s="2555"/>
      <c r="M501" s="2555"/>
      <c r="N501" s="2555"/>
      <c r="O501" s="2555"/>
      <c r="P501" s="2555"/>
      <c r="Q501" s="2555"/>
      <c r="R501" s="2555"/>
      <c r="S501" s="2555"/>
      <c r="T501" s="2555"/>
      <c r="U501" s="2555"/>
      <c r="V501" s="2555"/>
      <c r="W501" s="2555"/>
      <c r="X501" s="2555"/>
      <c r="Y501" s="2555"/>
      <c r="Z501" s="2555"/>
      <c r="AA501" s="2555"/>
      <c r="AB501" s="2555"/>
      <c r="AC501" s="2555"/>
      <c r="AD501" s="2555"/>
      <c r="AE501" s="2555"/>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6"/>
      <c r="G502" s="2556"/>
      <c r="H502" s="2556"/>
      <c r="I502" s="2556"/>
      <c r="J502" s="2556"/>
      <c r="K502" s="2556"/>
      <c r="L502" s="2556"/>
      <c r="M502" s="2556"/>
      <c r="N502" s="2556"/>
      <c r="O502" s="2556"/>
      <c r="P502" s="2556"/>
      <c r="Q502" s="2556"/>
      <c r="R502" s="2556"/>
      <c r="S502" s="2556"/>
      <c r="T502" s="2556"/>
      <c r="U502" s="2556"/>
      <c r="V502" s="2556"/>
      <c r="W502" s="2556"/>
      <c r="X502" s="2556"/>
      <c r="Y502" s="2556"/>
      <c r="Z502" s="2556"/>
      <c r="AA502" s="2556"/>
      <c r="AB502" s="2556"/>
      <c r="AC502" s="2556"/>
      <c r="AD502" s="2556"/>
      <c r="AE502" s="2556"/>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24" t="s">
        <v>591</v>
      </c>
      <c r="G503" s="2624"/>
      <c r="H503" s="2624"/>
      <c r="I503" s="2624"/>
      <c r="J503" s="2624"/>
      <c r="K503" s="2624"/>
      <c r="L503" s="2624"/>
      <c r="M503" s="2624"/>
      <c r="N503" s="2624"/>
      <c r="O503" s="2624"/>
      <c r="P503" s="2624"/>
      <c r="Q503" s="2624"/>
      <c r="R503" s="2624"/>
      <c r="S503" s="2624"/>
      <c r="T503" s="2624"/>
      <c r="U503" s="2624"/>
      <c r="V503" s="2624"/>
      <c r="W503" s="2624"/>
      <c r="X503" s="2624"/>
      <c r="Y503" s="2624"/>
      <c r="Z503" s="2624"/>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53" t="s">
        <v>591</v>
      </c>
      <c r="D505" s="2554"/>
      <c r="E505" s="761" t="s">
        <v>757</v>
      </c>
      <c r="F505" s="2625" t="s">
        <v>1539</v>
      </c>
      <c r="G505" s="2625"/>
      <c r="H505" s="2625"/>
      <c r="I505" s="2625"/>
      <c r="J505" s="2625"/>
      <c r="K505" s="2625"/>
      <c r="L505" s="2625"/>
      <c r="M505" s="2625"/>
      <c r="N505" s="2625"/>
      <c r="O505" s="2625"/>
      <c r="P505" s="2625"/>
      <c r="Q505" s="2625"/>
      <c r="R505" s="2625"/>
      <c r="S505" s="2625"/>
      <c r="T505" s="2625"/>
      <c r="U505" s="2625"/>
      <c r="V505" s="2625"/>
      <c r="W505" s="2625"/>
      <c r="X505" s="2625"/>
      <c r="Y505" s="2625"/>
      <c r="Z505" s="2625"/>
      <c r="AA505" s="2625"/>
      <c r="AB505" s="2625"/>
      <c r="AC505" s="2625"/>
      <c r="AD505" s="2625"/>
      <c r="AE505" s="2625"/>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6"/>
      <c r="G506" s="2626"/>
      <c r="H506" s="2626"/>
      <c r="I506" s="2626"/>
      <c r="J506" s="2626"/>
      <c r="K506" s="2626"/>
      <c r="L506" s="2626"/>
      <c r="M506" s="2626"/>
      <c r="N506" s="2626"/>
      <c r="O506" s="2626"/>
      <c r="P506" s="2626"/>
      <c r="Q506" s="2626"/>
      <c r="R506" s="2626"/>
      <c r="S506" s="2626"/>
      <c r="T506" s="2626"/>
      <c r="U506" s="2626"/>
      <c r="V506" s="2626"/>
      <c r="W506" s="2626"/>
      <c r="X506" s="2626"/>
      <c r="Y506" s="2626"/>
      <c r="Z506" s="2626"/>
      <c r="AA506" s="2626"/>
      <c r="AB506" s="2626"/>
      <c r="AC506" s="2626"/>
      <c r="AD506" s="2626"/>
      <c r="AE506" s="2626"/>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7" t="s">
        <v>591</v>
      </c>
      <c r="G508" s="2627"/>
      <c r="H508" s="2627"/>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53" t="s">
        <v>591</v>
      </c>
      <c r="D510" s="2554"/>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7"/>
      <c r="D512" s="2618"/>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9" t="s">
        <v>591</v>
      </c>
      <c r="H513" s="2619"/>
      <c r="I513" s="2619"/>
      <c r="J513" s="2619"/>
      <c r="K513" s="2619"/>
      <c r="L513" s="2619"/>
      <c r="M513" s="2619"/>
      <c r="N513" s="2619"/>
      <c r="O513" s="2619"/>
      <c r="P513" s="2619"/>
      <c r="Q513" s="2619"/>
      <c r="R513" s="2619"/>
      <c r="S513" s="2619"/>
      <c r="T513" s="2619"/>
      <c r="U513" s="2619"/>
      <c r="V513" s="2619"/>
      <c r="W513" s="2619"/>
      <c r="X513" s="2619"/>
      <c r="Y513" s="2619"/>
      <c r="Z513" s="2619"/>
      <c r="AA513" s="2619"/>
      <c r="AB513" s="2619"/>
      <c r="AC513" s="2619"/>
      <c r="AD513" s="2619"/>
      <c r="AE513" s="2619"/>
      <c r="AF513" s="261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7" t="s">
        <v>591</v>
      </c>
      <c r="D515" s="2558"/>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7" t="s">
        <v>591</v>
      </c>
      <c r="D519" s="2558"/>
      <c r="F519" s="795" t="s">
        <v>1547</v>
      </c>
      <c r="G519" s="2531" t="s">
        <v>1548</v>
      </c>
      <c r="H519" s="2531"/>
      <c r="I519" s="2531"/>
      <c r="J519" s="2531"/>
      <c r="K519" s="2531"/>
      <c r="L519" s="2531"/>
      <c r="M519" s="2531"/>
      <c r="N519" s="2531"/>
      <c r="O519" s="2531"/>
      <c r="P519" s="2531"/>
      <c r="Q519" s="2531"/>
      <c r="R519" s="2531"/>
      <c r="S519" s="2531"/>
      <c r="T519" s="2531"/>
      <c r="U519" s="2531"/>
      <c r="V519" s="2531"/>
      <c r="W519" s="2531"/>
      <c r="X519" s="2531"/>
      <c r="Y519" s="2531"/>
      <c r="Z519" s="2531"/>
      <c r="AA519" s="2531"/>
      <c r="AB519" s="2531"/>
      <c r="AC519" s="2531"/>
      <c r="AD519" s="2531"/>
      <c r="AE519" s="2531"/>
      <c r="AF519" s="2531"/>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50"/>
      <c r="H520" s="2550"/>
      <c r="I520" s="2550"/>
      <c r="J520" s="2550"/>
      <c r="K520" s="2550"/>
      <c r="L520" s="2550"/>
      <c r="M520" s="2550"/>
      <c r="N520" s="2550"/>
      <c r="O520" s="2550"/>
      <c r="P520" s="2550"/>
      <c r="Q520" s="2550"/>
      <c r="R520" s="2550"/>
      <c r="S520" s="2550"/>
      <c r="T520" s="2550"/>
      <c r="U520" s="2550"/>
      <c r="V520" s="2550"/>
      <c r="W520" s="2550"/>
      <c r="X520" s="2550"/>
      <c r="Y520" s="2550"/>
      <c r="Z520" s="2550"/>
      <c r="AA520" s="2550"/>
      <c r="AB520" s="2550"/>
      <c r="AC520" s="2550"/>
      <c r="AD520" s="2550"/>
      <c r="AE520" s="2550"/>
      <c r="AF520" s="2550"/>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9" t="s">
        <v>591</v>
      </c>
      <c r="D523" s="2560"/>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61" t="s">
        <v>591</v>
      </c>
      <c r="G524" s="2561"/>
      <c r="H524" s="2561"/>
      <c r="I524" s="2561"/>
      <c r="J524" s="2561"/>
      <c r="K524" s="2561"/>
      <c r="L524" s="2561"/>
      <c r="M524" s="2561"/>
      <c r="N524" s="2561"/>
      <c r="O524" s="2561"/>
      <c r="P524" s="2561"/>
      <c r="Q524" s="2561"/>
      <c r="R524" s="2561"/>
      <c r="S524" s="2561"/>
      <c r="T524" s="2561"/>
      <c r="U524" s="2561"/>
      <c r="V524" s="2561"/>
      <c r="W524" s="2561"/>
      <c r="X524" s="2561"/>
      <c r="Y524" s="2561"/>
      <c r="Z524" s="2561"/>
      <c r="AA524" s="2561"/>
      <c r="AB524" s="2561"/>
      <c r="AC524" s="2561"/>
      <c r="AD524" s="2561"/>
      <c r="AE524" s="2561"/>
      <c r="AF524" s="2561"/>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62"/>
      <c r="G525" s="2562"/>
      <c r="H525" s="2562"/>
      <c r="I525" s="2562"/>
      <c r="J525" s="2562"/>
      <c r="K525" s="2562"/>
      <c r="L525" s="2562"/>
      <c r="M525" s="2562"/>
      <c r="N525" s="2562"/>
      <c r="O525" s="2562"/>
      <c r="P525" s="2562"/>
      <c r="Q525" s="2562"/>
      <c r="R525" s="2562"/>
      <c r="S525" s="2562"/>
      <c r="T525" s="2562"/>
      <c r="U525" s="2562"/>
      <c r="V525" s="2562"/>
      <c r="W525" s="2562"/>
      <c r="X525" s="2562"/>
      <c r="Y525" s="2562"/>
      <c r="Z525" s="2562"/>
      <c r="AA525" s="2562"/>
      <c r="AB525" s="2562"/>
      <c r="AC525" s="2562"/>
      <c r="AD525" s="2562"/>
      <c r="AE525" s="2562"/>
      <c r="AF525" s="2562"/>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87">
        <f>SUM(AG479:AG524)</f>
        <v>0</v>
      </c>
      <c r="AL535" s="2488"/>
      <c r="AM535" s="2489"/>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7" t="s">
        <v>1560</v>
      </c>
      <c r="AF538" s="2417"/>
      <c r="AG538" s="2417"/>
      <c r="AH538" s="2417"/>
      <c r="AI538" s="2417"/>
      <c r="AJ538" s="2417"/>
      <c r="AK538" s="2417"/>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84" t="s">
        <v>545</v>
      </c>
      <c r="D541" s="2484"/>
      <c r="E541" s="551"/>
      <c r="F541" s="2611" t="s">
        <v>1561</v>
      </c>
      <c r="G541" s="2612"/>
      <c r="H541" s="2612"/>
      <c r="I541" s="2612"/>
      <c r="J541" s="2612"/>
      <c r="K541" s="2612"/>
      <c r="L541" s="2612"/>
      <c r="M541" s="2612"/>
      <c r="N541" s="2612"/>
      <c r="O541" s="2612"/>
      <c r="P541" s="2612"/>
      <c r="Q541" s="2612"/>
      <c r="R541" s="2612"/>
      <c r="S541" s="2612"/>
      <c r="T541" s="2612"/>
      <c r="U541" s="2612"/>
      <c r="V541" s="2612"/>
      <c r="W541" s="2612"/>
      <c r="X541" s="2612"/>
      <c r="Y541" s="2612"/>
      <c r="Z541" s="2612"/>
      <c r="AA541" s="2612"/>
      <c r="AB541" s="2612"/>
      <c r="AC541" s="2612"/>
      <c r="AD541" s="2612"/>
      <c r="AE541" s="2612"/>
      <c r="AF541" s="2612"/>
      <c r="AG541" s="2612"/>
      <c r="AH541" s="2612"/>
      <c r="AI541" s="2612"/>
      <c r="AJ541" s="2612"/>
      <c r="AK541" s="2612"/>
      <c r="AL541" s="2613"/>
      <c r="AM541" s="595"/>
      <c r="AN541" s="597"/>
    </row>
    <row r="542" spans="1:81" s="550" customFormat="1" ht="12.75" customHeight="1">
      <c r="A542" s="539"/>
      <c r="B542" s="539"/>
      <c r="C542" s="551"/>
      <c r="D542" s="551"/>
      <c r="E542" s="551"/>
      <c r="F542" s="2614"/>
      <c r="G542" s="2615"/>
      <c r="H542" s="2615"/>
      <c r="I542" s="2615"/>
      <c r="J542" s="2615"/>
      <c r="K542" s="2615"/>
      <c r="L542" s="2615"/>
      <c r="M542" s="2615"/>
      <c r="N542" s="2615"/>
      <c r="O542" s="2615"/>
      <c r="P542" s="2615"/>
      <c r="Q542" s="2615"/>
      <c r="R542" s="2615"/>
      <c r="S542" s="2615"/>
      <c r="T542" s="2615"/>
      <c r="U542" s="2615"/>
      <c r="V542" s="2615"/>
      <c r="W542" s="2615"/>
      <c r="X542" s="2615"/>
      <c r="Y542" s="2615"/>
      <c r="Z542" s="2615"/>
      <c r="AA542" s="2615"/>
      <c r="AB542" s="2615"/>
      <c r="AC542" s="2615"/>
      <c r="AD542" s="2615"/>
      <c r="AE542" s="2615"/>
      <c r="AF542" s="2615"/>
      <c r="AG542" s="2615"/>
      <c r="AH542" s="2615"/>
      <c r="AI542" s="2615"/>
      <c r="AJ542" s="2615"/>
      <c r="AK542" s="2615"/>
      <c r="AL542" s="2616"/>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84" t="s">
        <v>591</v>
      </c>
      <c r="D544" s="2484"/>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6" t="s">
        <v>1563</v>
      </c>
      <c r="G545" s="2507"/>
      <c r="H545" s="2507"/>
      <c r="I545" s="2507"/>
      <c r="J545" s="2507"/>
      <c r="K545" s="2507"/>
      <c r="L545" s="2507"/>
      <c r="M545" s="2507"/>
      <c r="N545" s="2507"/>
      <c r="O545" s="2507"/>
      <c r="P545" s="2507"/>
      <c r="Q545" s="2507"/>
      <c r="R545" s="2507"/>
      <c r="S545" s="2507"/>
      <c r="T545" s="2507"/>
      <c r="U545" s="2507"/>
      <c r="V545" s="2507"/>
      <c r="W545" s="2507"/>
      <c r="X545" s="2507"/>
      <c r="Y545" s="2507"/>
      <c r="Z545" s="2507"/>
      <c r="AA545" s="2507"/>
      <c r="AB545" s="2507"/>
      <c r="AC545" s="2507"/>
      <c r="AD545" s="2507"/>
      <c r="AE545" s="2507"/>
      <c r="AF545" s="2507"/>
      <c r="AG545" s="2507"/>
      <c r="AH545" s="2507"/>
      <c r="AI545" s="2507"/>
      <c r="AJ545" s="2507"/>
      <c r="AK545" s="2507"/>
      <c r="AL545" s="2508"/>
      <c r="AM545" s="595"/>
      <c r="AN545" s="597"/>
      <c r="AS545" s="870"/>
      <c r="AT545" s="870"/>
      <c r="AU545" s="870"/>
      <c r="AV545" s="870"/>
      <c r="AW545" s="870"/>
    </row>
    <row r="546" spans="1:49" s="550" customFormat="1" ht="12.75" customHeight="1">
      <c r="B546" s="806"/>
      <c r="C546" s="806"/>
      <c r="D546" s="806"/>
      <c r="E546" s="806"/>
      <c r="F546" s="2506"/>
      <c r="G546" s="2507"/>
      <c r="H546" s="2507"/>
      <c r="I546" s="2507"/>
      <c r="J546" s="2507"/>
      <c r="K546" s="2507"/>
      <c r="L546" s="2507"/>
      <c r="M546" s="2507"/>
      <c r="N546" s="2507"/>
      <c r="O546" s="2507"/>
      <c r="P546" s="2507"/>
      <c r="Q546" s="2507"/>
      <c r="R546" s="2507"/>
      <c r="S546" s="2507"/>
      <c r="T546" s="2507"/>
      <c r="U546" s="2507"/>
      <c r="V546" s="2507"/>
      <c r="W546" s="2507"/>
      <c r="X546" s="2507"/>
      <c r="Y546" s="2507"/>
      <c r="Z546" s="2507"/>
      <c r="AA546" s="2507"/>
      <c r="AB546" s="2507"/>
      <c r="AC546" s="2507"/>
      <c r="AD546" s="2507"/>
      <c r="AE546" s="2507"/>
      <c r="AF546" s="2507"/>
      <c r="AG546" s="2507"/>
      <c r="AH546" s="2507"/>
      <c r="AI546" s="2507"/>
      <c r="AJ546" s="2507"/>
      <c r="AK546" s="2507"/>
      <c r="AL546" s="2508"/>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6" t="s">
        <v>1564</v>
      </c>
      <c r="G548" s="2507"/>
      <c r="H548" s="2507"/>
      <c r="I548" s="2507"/>
      <c r="J548" s="2507"/>
      <c r="K548" s="2507"/>
      <c r="L548" s="2507"/>
      <c r="M548" s="2507"/>
      <c r="N548" s="2507"/>
      <c r="O548" s="2507"/>
      <c r="P548" s="2507"/>
      <c r="Q548" s="2507"/>
      <c r="R548" s="2507"/>
      <c r="S548" s="2507"/>
      <c r="T548" s="2507"/>
      <c r="U548" s="2507"/>
      <c r="V548" s="2507"/>
      <c r="W548" s="2507"/>
      <c r="X548" s="2507"/>
      <c r="Y548" s="2507"/>
      <c r="Z548" s="2507"/>
      <c r="AA548" s="2507"/>
      <c r="AB548" s="2507"/>
      <c r="AC548" s="2507"/>
      <c r="AD548" s="2507"/>
      <c r="AE548" s="2507"/>
      <c r="AF548" s="2507"/>
      <c r="AG548" s="2507"/>
      <c r="AH548" s="2507"/>
      <c r="AI548" s="2507"/>
      <c r="AJ548" s="2507"/>
      <c r="AK548" s="2507"/>
      <c r="AL548" s="813"/>
      <c r="AM548" s="595"/>
      <c r="AN548" s="597"/>
    </row>
    <row r="549" spans="1:49" s="550" customFormat="1" ht="12.75" customHeight="1">
      <c r="B549" s="806"/>
      <c r="C549" s="806"/>
      <c r="D549" s="806"/>
      <c r="E549" s="806"/>
      <c r="F549" s="2509"/>
      <c r="G549" s="2510"/>
      <c r="H549" s="2510"/>
      <c r="I549" s="2510"/>
      <c r="J549" s="2510"/>
      <c r="K549" s="2510"/>
      <c r="L549" s="2510"/>
      <c r="M549" s="2510"/>
      <c r="N549" s="2510"/>
      <c r="O549" s="2510"/>
      <c r="P549" s="2510"/>
      <c r="Q549" s="2510"/>
      <c r="R549" s="2510"/>
      <c r="S549" s="2510"/>
      <c r="T549" s="2510"/>
      <c r="U549" s="2510"/>
      <c r="V549" s="2510"/>
      <c r="W549" s="2510"/>
      <c r="X549" s="2510"/>
      <c r="Y549" s="2510"/>
      <c r="Z549" s="2510"/>
      <c r="AA549" s="2510"/>
      <c r="AB549" s="2510"/>
      <c r="AC549" s="2510"/>
      <c r="AD549" s="2510"/>
      <c r="AE549" s="2510"/>
      <c r="AF549" s="2510"/>
      <c r="AG549" s="2510"/>
      <c r="AH549" s="2510"/>
      <c r="AI549" s="2510"/>
      <c r="AJ549" s="2510"/>
      <c r="AK549" s="2510"/>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33">
        <f>Application!AJ992</f>
        <v>139017880</v>
      </c>
      <c r="AQ550" s="2633"/>
      <c r="AR550" s="2633"/>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90">
        <f>'Sources and Uses Budget'!S107+'Sources and Uses Budget'!T107</f>
        <v>142459472</v>
      </c>
      <c r="AG551" s="2490"/>
      <c r="AH551" s="2490"/>
      <c r="AI551" s="2490"/>
      <c r="AJ551" s="2490"/>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8">
        <f>IFERROR(AP559,0)</f>
        <v>331034205</v>
      </c>
      <c r="AG552" s="2638"/>
      <c r="AH552" s="2638"/>
      <c r="AI552" s="2638"/>
      <c r="AJ552" s="2638"/>
      <c r="AK552" s="595"/>
      <c r="AL552" s="595"/>
      <c r="AM552" s="595"/>
      <c r="AN552" s="597"/>
      <c r="AP552" s="2633">
        <f>Application!AJ1045</f>
        <v>65338403.599999994</v>
      </c>
      <c r="AQ552" s="2633"/>
      <c r="AR552" s="2633"/>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9">
        <f>IFERROR(ROUNDDOWN(IF(C544="YES",((1-(AF551/AF552))*2),(1-(AF551/AF552))),2),0)</f>
        <v>0.56000000000000005</v>
      </c>
      <c r="AG553" s="2639"/>
      <c r="AH553" s="2639"/>
      <c r="AI553" s="2639"/>
      <c r="AJ553" s="2639"/>
      <c r="AK553" s="595"/>
      <c r="AL553" s="595"/>
      <c r="AM553" s="595"/>
      <c r="AN553" s="597"/>
      <c r="AP553" s="2636">
        <f>Application!AJ1049</f>
        <v>69508940</v>
      </c>
      <c r="AQ553" s="2636"/>
      <c r="AR553" s="2636"/>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32">
        <f>IF(((AP552+AP553)/AP550)&gt;0.8,0.8,((AP552+AP553)/AP550))</f>
        <v>0.8</v>
      </c>
      <c r="AQ554" s="2632"/>
      <c r="AR554" s="2632"/>
      <c r="AS554" s="550" t="s">
        <v>2172</v>
      </c>
    </row>
    <row r="555" spans="1:49" s="550" customFormat="1" ht="12.75" customHeight="1">
      <c r="A555" s="624"/>
      <c r="B555" s="2569" t="s">
        <v>2032</v>
      </c>
      <c r="C555" s="2570"/>
      <c r="D555" s="2570"/>
      <c r="E555" s="2570"/>
      <c r="F555" s="2570"/>
      <c r="G555" s="2570"/>
      <c r="H555" s="2570"/>
      <c r="I555" s="2570"/>
      <c r="J555" s="2570"/>
      <c r="K555" s="2570"/>
      <c r="L555" s="2570"/>
      <c r="M555" s="2570"/>
      <c r="N555" s="2570"/>
      <c r="O555" s="2570"/>
      <c r="P555" s="2570"/>
      <c r="Q555" s="2570"/>
      <c r="R555" s="2570"/>
      <c r="S555" s="2570"/>
      <c r="T555" s="2570"/>
      <c r="U555" s="2570"/>
      <c r="V555" s="2570"/>
      <c r="W555" s="2570"/>
      <c r="X555" s="2570"/>
      <c r="Y555" s="2570"/>
      <c r="Z555" s="2570"/>
      <c r="AA555" s="2570"/>
      <c r="AB555" s="2570"/>
      <c r="AC555" s="2570"/>
      <c r="AD555" s="2570"/>
      <c r="AE555" s="2570"/>
      <c r="AF555" s="2570"/>
      <c r="AG555" s="2570"/>
      <c r="AH555" s="2570"/>
      <c r="AI555" s="2570"/>
      <c r="AJ555" s="2571"/>
      <c r="AK555" s="595"/>
      <c r="AL555" s="595"/>
      <c r="AM555" s="595"/>
      <c r="AN555" s="597"/>
    </row>
    <row r="556" spans="1:49" s="550" customFormat="1" ht="12.75" customHeight="1">
      <c r="A556" s="624"/>
      <c r="B556" s="2572"/>
      <c r="C556" s="2573"/>
      <c r="D556" s="2573"/>
      <c r="E556" s="2573"/>
      <c r="F556" s="2573"/>
      <c r="G556" s="2573"/>
      <c r="H556" s="2573"/>
      <c r="I556" s="2573"/>
      <c r="J556" s="2573"/>
      <c r="K556" s="2573"/>
      <c r="L556" s="2573"/>
      <c r="M556" s="2573"/>
      <c r="N556" s="2573"/>
      <c r="O556" s="2573"/>
      <c r="P556" s="2573"/>
      <c r="Q556" s="2573"/>
      <c r="R556" s="2573"/>
      <c r="S556" s="2573"/>
      <c r="T556" s="2573"/>
      <c r="U556" s="2573"/>
      <c r="V556" s="2573"/>
      <c r="W556" s="2573"/>
      <c r="X556" s="2573"/>
      <c r="Y556" s="2573"/>
      <c r="Z556" s="2573"/>
      <c r="AA556" s="2573"/>
      <c r="AB556" s="2573"/>
      <c r="AC556" s="2573"/>
      <c r="AD556" s="2573"/>
      <c r="AE556" s="2573"/>
      <c r="AF556" s="2573"/>
      <c r="AG556" s="2573"/>
      <c r="AH556" s="2573"/>
      <c r="AI556" s="2573"/>
      <c r="AJ556" s="2574"/>
      <c r="AK556" s="595"/>
      <c r="AL556" s="595"/>
      <c r="AM556" s="595"/>
      <c r="AN556" s="597"/>
      <c r="AP556" s="2633">
        <f>AP557-AP552-AP553</f>
        <v>219819901</v>
      </c>
      <c r="AQ556" s="2542"/>
      <c r="AR556" s="2542"/>
      <c r="AS556" s="550" t="s">
        <v>2174</v>
      </c>
    </row>
    <row r="557" spans="1:49" s="550" customFormat="1" ht="12.75" customHeight="1">
      <c r="A557" s="624"/>
      <c r="B557" s="2575"/>
      <c r="C557" s="2576"/>
      <c r="D557" s="2576"/>
      <c r="E557" s="2576"/>
      <c r="F557" s="2576"/>
      <c r="G557" s="2576"/>
      <c r="H557" s="2576"/>
      <c r="I557" s="2576"/>
      <c r="J557" s="2576"/>
      <c r="K557" s="2576"/>
      <c r="L557" s="2576"/>
      <c r="M557" s="2576"/>
      <c r="N557" s="2576"/>
      <c r="O557" s="2576"/>
      <c r="P557" s="2576"/>
      <c r="Q557" s="2576"/>
      <c r="R557" s="2576"/>
      <c r="S557" s="2576"/>
      <c r="T557" s="2576"/>
      <c r="U557" s="2576"/>
      <c r="V557" s="2576"/>
      <c r="W557" s="2576"/>
      <c r="X557" s="2576"/>
      <c r="Y557" s="2576"/>
      <c r="Z557" s="2576"/>
      <c r="AA557" s="2576"/>
      <c r="AB557" s="2576"/>
      <c r="AC557" s="2576"/>
      <c r="AD557" s="2576"/>
      <c r="AE557" s="2576"/>
      <c r="AF557" s="2576"/>
      <c r="AG557" s="2576"/>
      <c r="AH557" s="2576"/>
      <c r="AI557" s="2576"/>
      <c r="AJ557" s="2577"/>
      <c r="AK557" s="595"/>
      <c r="AL557" s="595"/>
      <c r="AM557" s="595"/>
      <c r="AN557" s="597"/>
      <c r="AP557" s="2633">
        <f>Application!AJ1053</f>
        <v>354667244.60000002</v>
      </c>
      <c r="AQ557" s="2633"/>
      <c r="AR557" s="2633"/>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78">
        <f>IFERROR(IF(AND(C541="N/A",C544="N/A"),0,IF(AF553=0,0,IF((AF553*100)&gt;12,12,(AF553*100)))),0)</f>
        <v>12</v>
      </c>
      <c r="AL559" s="2578"/>
      <c r="AM559" s="2579"/>
      <c r="AN559" s="597"/>
      <c r="AP559" s="2650">
        <f>AP556+(AP550*AP554)</f>
        <v>331034205</v>
      </c>
      <c r="AQ559" s="2651"/>
      <c r="AR559" s="2652"/>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7" t="s">
        <v>1314</v>
      </c>
      <c r="AF562" s="2417"/>
      <c r="AG562" s="2417"/>
      <c r="AH562" s="2417"/>
      <c r="AI562" s="2417"/>
      <c r="AJ562" s="2417"/>
      <c r="AK562" s="2417"/>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7" t="s">
        <v>2023</v>
      </c>
      <c r="C564" s="2507"/>
      <c r="D564" s="2507"/>
      <c r="E564" s="2507"/>
      <c r="F564" s="2507"/>
      <c r="G564" s="2507"/>
      <c r="H564" s="2507"/>
      <c r="I564" s="2507"/>
      <c r="J564" s="2507"/>
      <c r="K564" s="2507"/>
      <c r="L564" s="2507"/>
      <c r="M564" s="2507"/>
      <c r="N564" s="2507"/>
      <c r="O564" s="2507"/>
      <c r="P564" s="2507"/>
      <c r="Q564" s="2507"/>
      <c r="R564" s="2507"/>
      <c r="S564" s="2507"/>
      <c r="T564" s="2507"/>
      <c r="U564" s="2507"/>
      <c r="V564" s="2507"/>
      <c r="W564" s="2507"/>
      <c r="X564" s="2507"/>
      <c r="Y564" s="2507"/>
      <c r="Z564" s="2507"/>
      <c r="AA564" s="2507"/>
      <c r="AB564" s="2507"/>
      <c r="AC564" s="2507"/>
      <c r="AD564" s="2507"/>
      <c r="AE564" s="2507"/>
      <c r="AF564" s="2507"/>
      <c r="AG564" s="2507"/>
      <c r="AH564" s="2507"/>
      <c r="AI564" s="2507"/>
      <c r="AJ564" s="2507"/>
      <c r="AK564" s="642"/>
      <c r="AL564" s="573"/>
      <c r="AM564" s="603"/>
      <c r="AN564" s="597"/>
    </row>
    <row r="565" spans="1:42" s="550" customFormat="1" ht="12.75" customHeight="1">
      <c r="A565" s="603"/>
      <c r="B565" s="2507"/>
      <c r="C565" s="2507"/>
      <c r="D565" s="2507"/>
      <c r="E565" s="2507"/>
      <c r="F565" s="2507"/>
      <c r="G565" s="2507"/>
      <c r="H565" s="2507"/>
      <c r="I565" s="2507"/>
      <c r="J565" s="2507"/>
      <c r="K565" s="2507"/>
      <c r="L565" s="2507"/>
      <c r="M565" s="2507"/>
      <c r="N565" s="2507"/>
      <c r="O565" s="2507"/>
      <c r="P565" s="2507"/>
      <c r="Q565" s="2507"/>
      <c r="R565" s="2507"/>
      <c r="S565" s="2507"/>
      <c r="T565" s="2507"/>
      <c r="U565" s="2507"/>
      <c r="V565" s="2507"/>
      <c r="W565" s="2507"/>
      <c r="X565" s="2507"/>
      <c r="Y565" s="2507"/>
      <c r="Z565" s="2507"/>
      <c r="AA565" s="2507"/>
      <c r="AB565" s="2507"/>
      <c r="AC565" s="2507"/>
      <c r="AD565" s="2507"/>
      <c r="AE565" s="2507"/>
      <c r="AF565" s="2507"/>
      <c r="AG565" s="2507"/>
      <c r="AH565" s="2507"/>
      <c r="AI565" s="2507"/>
      <c r="AJ565" s="2507"/>
      <c r="AK565" s="642"/>
      <c r="AL565" s="573"/>
      <c r="AM565" s="603"/>
      <c r="AN565" s="597"/>
    </row>
    <row r="566" spans="1:42" s="550" customFormat="1" ht="12.75" customHeight="1">
      <c r="A566" s="603"/>
      <c r="B566" s="2507"/>
      <c r="C566" s="2507"/>
      <c r="D566" s="2507"/>
      <c r="E566" s="2507"/>
      <c r="F566" s="2507"/>
      <c r="G566" s="2507"/>
      <c r="H566" s="2507"/>
      <c r="I566" s="2507"/>
      <c r="J566" s="2507"/>
      <c r="K566" s="2507"/>
      <c r="L566" s="2507"/>
      <c r="M566" s="2507"/>
      <c r="N566" s="2507"/>
      <c r="O566" s="2507"/>
      <c r="P566" s="2507"/>
      <c r="Q566" s="2507"/>
      <c r="R566" s="2507"/>
      <c r="S566" s="2507"/>
      <c r="T566" s="2507"/>
      <c r="U566" s="2507"/>
      <c r="V566" s="2507"/>
      <c r="W566" s="2507"/>
      <c r="X566" s="2507"/>
      <c r="Y566" s="2507"/>
      <c r="Z566" s="2507"/>
      <c r="AA566" s="2507"/>
      <c r="AB566" s="2507"/>
      <c r="AC566" s="2507"/>
      <c r="AD566" s="2507"/>
      <c r="AE566" s="2507"/>
      <c r="AF566" s="2507"/>
      <c r="AG566" s="2507"/>
      <c r="AH566" s="2507"/>
      <c r="AI566" s="2507"/>
      <c r="AJ566" s="2507"/>
      <c r="AK566" s="642"/>
      <c r="AL566" s="573"/>
      <c r="AM566" s="603"/>
      <c r="AN566" s="597"/>
    </row>
    <row r="567" spans="1:42" s="550" customFormat="1" ht="12.75" customHeight="1">
      <c r="A567" s="603"/>
      <c r="B567" s="2507"/>
      <c r="C567" s="2507"/>
      <c r="D567" s="2507"/>
      <c r="E567" s="2507"/>
      <c r="F567" s="2507"/>
      <c r="G567" s="2507"/>
      <c r="H567" s="2507"/>
      <c r="I567" s="2507"/>
      <c r="J567" s="2507"/>
      <c r="K567" s="2507"/>
      <c r="L567" s="2507"/>
      <c r="M567" s="2507"/>
      <c r="N567" s="2507"/>
      <c r="O567" s="2507"/>
      <c r="P567" s="2507"/>
      <c r="Q567" s="2507"/>
      <c r="R567" s="2507"/>
      <c r="S567" s="2507"/>
      <c r="T567" s="2507"/>
      <c r="U567" s="2507"/>
      <c r="V567" s="2507"/>
      <c r="W567" s="2507"/>
      <c r="X567" s="2507"/>
      <c r="Y567" s="2507"/>
      <c r="Z567" s="2507"/>
      <c r="AA567" s="2507"/>
      <c r="AB567" s="2507"/>
      <c r="AC567" s="2507"/>
      <c r="AD567" s="2507"/>
      <c r="AE567" s="2507"/>
      <c r="AF567" s="2507"/>
      <c r="AG567" s="2507"/>
      <c r="AH567" s="2507"/>
      <c r="AI567" s="2507"/>
      <c r="AJ567" s="2507"/>
      <c r="AK567" s="642"/>
      <c r="AL567" s="573"/>
      <c r="AM567" s="603"/>
      <c r="AN567" s="597"/>
    </row>
    <row r="568" spans="1:42" s="550" customFormat="1" ht="12.75" customHeight="1">
      <c r="A568" s="603"/>
      <c r="B568" s="2507"/>
      <c r="C568" s="2507"/>
      <c r="D568" s="2507"/>
      <c r="E568" s="2507"/>
      <c r="F568" s="2507"/>
      <c r="G568" s="2507"/>
      <c r="H568" s="2507"/>
      <c r="I568" s="2507"/>
      <c r="J568" s="2507"/>
      <c r="K568" s="2507"/>
      <c r="L568" s="2507"/>
      <c r="M568" s="2507"/>
      <c r="N568" s="2507"/>
      <c r="O568" s="2507"/>
      <c r="P568" s="2507"/>
      <c r="Q568" s="2507"/>
      <c r="R568" s="2507"/>
      <c r="S568" s="2507"/>
      <c r="T568" s="2507"/>
      <c r="U568" s="2507"/>
      <c r="V568" s="2507"/>
      <c r="W568" s="2507"/>
      <c r="X568" s="2507"/>
      <c r="Y568" s="2507"/>
      <c r="Z568" s="2507"/>
      <c r="AA568" s="2507"/>
      <c r="AB568" s="2507"/>
      <c r="AC568" s="2507"/>
      <c r="AD568" s="2507"/>
      <c r="AE568" s="2507"/>
      <c r="AF568" s="2507"/>
      <c r="AG568" s="2507"/>
      <c r="AH568" s="2507"/>
      <c r="AI568" s="2507"/>
      <c r="AJ568" s="2507"/>
      <c r="AK568" s="642"/>
      <c r="AL568" s="573"/>
      <c r="AM568" s="603"/>
      <c r="AN568" s="597"/>
    </row>
    <row r="569" spans="1:42" s="550" customFormat="1" ht="12.75" customHeight="1">
      <c r="A569" s="603"/>
      <c r="B569" s="2507"/>
      <c r="C569" s="2507"/>
      <c r="D569" s="2507"/>
      <c r="E569" s="2507"/>
      <c r="F569" s="2507"/>
      <c r="G569" s="2507"/>
      <c r="H569" s="2507"/>
      <c r="I569" s="2507"/>
      <c r="J569" s="2507"/>
      <c r="K569" s="2507"/>
      <c r="L569" s="2507"/>
      <c r="M569" s="2507"/>
      <c r="N569" s="2507"/>
      <c r="O569" s="2507"/>
      <c r="P569" s="2507"/>
      <c r="Q569" s="2507"/>
      <c r="R569" s="2507"/>
      <c r="S569" s="2507"/>
      <c r="T569" s="2507"/>
      <c r="U569" s="2507"/>
      <c r="V569" s="2507"/>
      <c r="W569" s="2507"/>
      <c r="X569" s="2507"/>
      <c r="Y569" s="2507"/>
      <c r="Z569" s="2507"/>
      <c r="AA569" s="2507"/>
      <c r="AB569" s="2507"/>
      <c r="AC569" s="2507"/>
      <c r="AD569" s="2507"/>
      <c r="AE569" s="2507"/>
      <c r="AF569" s="2507"/>
      <c r="AG569" s="2507"/>
      <c r="AH569" s="2507"/>
      <c r="AI569" s="2507"/>
      <c r="AJ569" s="2507"/>
      <c r="AK569" s="642"/>
      <c r="AL569" s="573"/>
      <c r="AM569" s="603"/>
      <c r="AN569" s="597"/>
    </row>
    <row r="570" spans="1:42" s="550" customFormat="1" ht="12.75" customHeight="1">
      <c r="A570" s="603"/>
      <c r="B570" s="2507"/>
      <c r="C570" s="2507"/>
      <c r="D570" s="2507"/>
      <c r="E570" s="2507"/>
      <c r="F570" s="2507"/>
      <c r="G570" s="2507"/>
      <c r="H570" s="2507"/>
      <c r="I570" s="2507"/>
      <c r="J570" s="2507"/>
      <c r="K570" s="2507"/>
      <c r="L570" s="2507"/>
      <c r="M570" s="2507"/>
      <c r="N570" s="2507"/>
      <c r="O570" s="2507"/>
      <c r="P570" s="2507"/>
      <c r="Q570" s="2507"/>
      <c r="R570" s="2507"/>
      <c r="S570" s="2507"/>
      <c r="T570" s="2507"/>
      <c r="U570" s="2507"/>
      <c r="V570" s="2507"/>
      <c r="W570" s="2507"/>
      <c r="X570" s="2507"/>
      <c r="Y570" s="2507"/>
      <c r="Z570" s="2507"/>
      <c r="AA570" s="2507"/>
      <c r="AB570" s="2507"/>
      <c r="AC570" s="2507"/>
      <c r="AD570" s="2507"/>
      <c r="AE570" s="2507"/>
      <c r="AF570" s="2507"/>
      <c r="AG570" s="2507"/>
      <c r="AH570" s="2507"/>
      <c r="AI570" s="2507"/>
      <c r="AJ570" s="2507"/>
      <c r="AK570" s="642"/>
      <c r="AL570" s="573"/>
      <c r="AM570" s="603"/>
      <c r="AN570" s="597"/>
    </row>
    <row r="571" spans="1:42" ht="12.75" customHeight="1">
      <c r="A571" s="603"/>
      <c r="B571" s="2507"/>
      <c r="C571" s="2507"/>
      <c r="D571" s="2507"/>
      <c r="E571" s="2507"/>
      <c r="F571" s="2507"/>
      <c r="G571" s="2507"/>
      <c r="H571" s="2507"/>
      <c r="I571" s="2507"/>
      <c r="J571" s="2507"/>
      <c r="K571" s="2507"/>
      <c r="L571" s="2507"/>
      <c r="M571" s="2507"/>
      <c r="N571" s="2507"/>
      <c r="O571" s="2507"/>
      <c r="P571" s="2507"/>
      <c r="Q571" s="2507"/>
      <c r="R571" s="2507"/>
      <c r="S571" s="2507"/>
      <c r="T571" s="2507"/>
      <c r="U571" s="2507"/>
      <c r="V571" s="2507"/>
      <c r="W571" s="2507"/>
      <c r="X571" s="2507"/>
      <c r="Y571" s="2507"/>
      <c r="Z571" s="2507"/>
      <c r="AA571" s="2507"/>
      <c r="AB571" s="2507"/>
      <c r="AC571" s="2507"/>
      <c r="AD571" s="2507"/>
      <c r="AE571" s="2507"/>
      <c r="AF571" s="2507"/>
      <c r="AG571" s="2507"/>
      <c r="AH571" s="2507"/>
      <c r="AI571" s="2507"/>
      <c r="AJ571" s="2507"/>
      <c r="AK571" s="642"/>
      <c r="AL571" s="573"/>
      <c r="AM571" s="603"/>
    </row>
    <row r="572" spans="1:42" s="550" customFormat="1" ht="12.75" customHeight="1">
      <c r="B572" s="2507"/>
      <c r="C572" s="2507"/>
      <c r="D572" s="2507"/>
      <c r="E572" s="2507"/>
      <c r="F572" s="2507"/>
      <c r="G572" s="2507"/>
      <c r="H572" s="2507"/>
      <c r="I572" s="2507"/>
      <c r="J572" s="2507"/>
      <c r="K572" s="2507"/>
      <c r="L572" s="2507"/>
      <c r="M572" s="2507"/>
      <c r="N572" s="2507"/>
      <c r="O572" s="2507"/>
      <c r="P572" s="2507"/>
      <c r="Q572" s="2507"/>
      <c r="R572" s="2507"/>
      <c r="S572" s="2507"/>
      <c r="T572" s="2507"/>
      <c r="U572" s="2507"/>
      <c r="V572" s="2507"/>
      <c r="W572" s="2507"/>
      <c r="X572" s="2507"/>
      <c r="Y572" s="2507"/>
      <c r="Z572" s="2507"/>
      <c r="AA572" s="2507"/>
      <c r="AB572" s="2507"/>
      <c r="AC572" s="2507"/>
      <c r="AD572" s="2507"/>
      <c r="AE572" s="2507"/>
      <c r="AF572" s="2507"/>
      <c r="AG572" s="2507"/>
      <c r="AH572" s="2507"/>
      <c r="AI572" s="2507"/>
      <c r="AJ572" s="2507"/>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52" t="s">
        <v>1338</v>
      </c>
      <c r="AG578" s="2452"/>
      <c r="AH578" s="2452"/>
      <c r="AI578" s="2452"/>
      <c r="AJ578" s="2452"/>
      <c r="AK578" s="2452"/>
      <c r="AL578" s="2452"/>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52" t="s">
        <v>1396</v>
      </c>
      <c r="AG585" s="2452"/>
      <c r="AH585" s="2452"/>
      <c r="AI585" s="2452"/>
      <c r="AJ585" s="2452"/>
      <c r="AK585" s="2452"/>
      <c r="AL585" s="2452"/>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52" t="s">
        <v>1378</v>
      </c>
      <c r="AG591" s="2452"/>
      <c r="AH591" s="2452"/>
      <c r="AI591" s="2452"/>
      <c r="AJ591" s="2452"/>
      <c r="AK591" s="2452"/>
      <c r="AL591" s="2452"/>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52" t="s">
        <v>1399</v>
      </c>
      <c r="AG597" s="2452"/>
      <c r="AH597" s="2452"/>
      <c r="AI597" s="2452"/>
      <c r="AJ597" s="2452"/>
      <c r="AK597" s="2452"/>
      <c r="AL597" s="2452"/>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8" t="s">
        <v>1184</v>
      </c>
      <c r="P601" s="2538"/>
      <c r="Q601" s="2538"/>
      <c r="R601" s="2538"/>
      <c r="S601" s="2538"/>
      <c r="T601" s="2538"/>
      <c r="U601" s="2538"/>
      <c r="V601" s="2538"/>
      <c r="W601" s="2538"/>
      <c r="X601" s="2538"/>
      <c r="Y601" s="2538"/>
      <c r="Z601" s="2538"/>
      <c r="AA601" s="2538"/>
      <c r="AB601" s="2538"/>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52" t="s">
        <v>1352</v>
      </c>
      <c r="AG603" s="2452"/>
      <c r="AH603" s="2452"/>
      <c r="AI603" s="2452"/>
      <c r="AJ603" s="2452"/>
      <c r="AK603" s="2452"/>
      <c r="AL603" s="2452"/>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36" t="s">
        <v>687</v>
      </c>
      <c r="I606" s="2536"/>
      <c r="J606" s="936"/>
      <c r="K606" s="936"/>
      <c r="L606" s="936"/>
      <c r="N606" s="22"/>
      <c r="O606" s="22"/>
      <c r="P606" s="22"/>
      <c r="Q606" s="1151" t="s">
        <v>2177</v>
      </c>
      <c r="R606" s="2539"/>
      <c r="S606" s="2539"/>
      <c r="T606" s="2539"/>
      <c r="U606" s="2539"/>
      <c r="V606" s="2539"/>
      <c r="W606" s="2539"/>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0" t="str">
        <f>IF(AND(H606="(i)",NOT(AP582)),AO599,IF(AND(H606="(iv)",OR(R606=AO595,R606=AO594),NOT(AP583)),AO600,""))</f>
        <v/>
      </c>
      <c r="Z607" s="2540"/>
      <c r="AA607" s="2540"/>
      <c r="AB607" s="2540"/>
      <c r="AC607" s="2540"/>
      <c r="AD607" s="2540"/>
      <c r="AE607" s="2540"/>
      <c r="AF607" s="2540"/>
      <c r="AG607" s="2540"/>
      <c r="AH607" s="2540"/>
      <c r="AI607" s="2540"/>
      <c r="AJ607" s="2540"/>
      <c r="AK607" s="2540"/>
      <c r="AL607" s="2540"/>
      <c r="AM607" s="2541"/>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0"/>
      <c r="Z608" s="2540"/>
      <c r="AA608" s="2540"/>
      <c r="AB608" s="2540"/>
      <c r="AC608" s="2540"/>
      <c r="AD608" s="2540"/>
      <c r="AE608" s="2540"/>
      <c r="AF608" s="2540"/>
      <c r="AG608" s="2540"/>
      <c r="AH608" s="2540"/>
      <c r="AI608" s="2540"/>
      <c r="AJ608" s="2540"/>
      <c r="AK608" s="2540"/>
      <c r="AL608" s="2540"/>
      <c r="AM608" s="2541"/>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37" t="s">
        <v>591</v>
      </c>
      <c r="J614" s="2537"/>
      <c r="K614" s="2537"/>
      <c r="L614" s="2537"/>
      <c r="M614" s="2537"/>
      <c r="N614" s="2537"/>
      <c r="O614" s="2537"/>
      <c r="P614" s="2537"/>
      <c r="Q614" s="2537"/>
      <c r="R614" s="2537"/>
      <c r="S614" s="2537"/>
      <c r="T614" s="2537"/>
      <c r="U614" s="2537"/>
      <c r="V614" s="2537"/>
      <c r="W614" s="2537"/>
      <c r="X614" s="2537"/>
      <c r="Y614" s="2537"/>
      <c r="Z614" s="2537"/>
      <c r="AA614" s="2537"/>
      <c r="AB614" s="2537"/>
      <c r="AC614" s="2537"/>
      <c r="AD614" s="2537"/>
      <c r="AE614" s="2537"/>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80" t="s">
        <v>591</v>
      </c>
      <c r="C616" s="2480"/>
      <c r="D616" s="642"/>
      <c r="E616" s="2507" t="s">
        <v>1403</v>
      </c>
      <c r="F616" s="2507"/>
      <c r="G616" s="2507"/>
      <c r="H616" s="2507"/>
      <c r="I616" s="2507"/>
      <c r="J616" s="2507"/>
      <c r="K616" s="2507"/>
      <c r="L616" s="2507"/>
      <c r="M616" s="2507"/>
      <c r="N616" s="2507"/>
      <c r="O616" s="2507"/>
      <c r="P616" s="2507"/>
      <c r="Q616" s="2507"/>
      <c r="R616" s="2507"/>
      <c r="S616" s="2507"/>
      <c r="T616" s="2507"/>
      <c r="U616" s="2507"/>
      <c r="V616" s="2507"/>
      <c r="W616" s="2507"/>
      <c r="X616" s="2507"/>
      <c r="Y616" s="2507"/>
      <c r="Z616" s="2507"/>
      <c r="AA616" s="2507"/>
      <c r="AB616" s="2507"/>
      <c r="AC616" s="2507"/>
      <c r="AD616" s="2507"/>
      <c r="AE616" s="2507"/>
      <c r="AF616" s="2507"/>
      <c r="AG616" s="2507"/>
      <c r="AH616" s="642"/>
      <c r="AI616" s="642"/>
      <c r="AJ616" s="642"/>
      <c r="AK616" s="642"/>
      <c r="AL616" s="642"/>
      <c r="AN616" s="597"/>
    </row>
    <row r="617" spans="1:42" s="550" customFormat="1" ht="12.75" customHeight="1">
      <c r="B617" s="536"/>
      <c r="C617" s="933"/>
      <c r="D617" s="642"/>
      <c r="E617" s="2507"/>
      <c r="F617" s="2507"/>
      <c r="G617" s="2507"/>
      <c r="H617" s="2507"/>
      <c r="I617" s="2507"/>
      <c r="J617" s="2507"/>
      <c r="K617" s="2507"/>
      <c r="L617" s="2507"/>
      <c r="M617" s="2507"/>
      <c r="N617" s="2507"/>
      <c r="O617" s="2507"/>
      <c r="P617" s="2507"/>
      <c r="Q617" s="2507"/>
      <c r="R617" s="2507"/>
      <c r="S617" s="2507"/>
      <c r="T617" s="2507"/>
      <c r="U617" s="2507"/>
      <c r="V617" s="2507"/>
      <c r="W617" s="2507"/>
      <c r="X617" s="2507"/>
      <c r="Y617" s="2507"/>
      <c r="Z617" s="2507"/>
      <c r="AA617" s="2507"/>
      <c r="AB617" s="2507"/>
      <c r="AC617" s="2507"/>
      <c r="AD617" s="2507"/>
      <c r="AE617" s="2507"/>
      <c r="AF617" s="2507"/>
      <c r="AG617" s="2507"/>
      <c r="AH617" s="642"/>
      <c r="AI617" s="642"/>
      <c r="AJ617" s="642"/>
      <c r="AK617" s="642"/>
      <c r="AL617" s="642"/>
      <c r="AN617" s="597"/>
    </row>
    <row r="618" spans="1:42" s="550" customFormat="1" ht="12.75" customHeight="1">
      <c r="B618" s="536"/>
      <c r="C618" s="933"/>
      <c r="D618" s="642"/>
      <c r="E618" s="2507"/>
      <c r="F618" s="2507"/>
      <c r="G618" s="2507"/>
      <c r="H618" s="2507"/>
      <c r="I618" s="2507"/>
      <c r="J618" s="2507"/>
      <c r="K618" s="2507"/>
      <c r="L618" s="2507"/>
      <c r="M618" s="2507"/>
      <c r="N618" s="2507"/>
      <c r="O618" s="2507"/>
      <c r="P618" s="2507"/>
      <c r="Q618" s="2507"/>
      <c r="R618" s="2507"/>
      <c r="S618" s="2507"/>
      <c r="T618" s="2507"/>
      <c r="U618" s="2507"/>
      <c r="V618" s="2507"/>
      <c r="W618" s="2507"/>
      <c r="X618" s="2507"/>
      <c r="Y618" s="2507"/>
      <c r="Z618" s="2507"/>
      <c r="AA618" s="2507"/>
      <c r="AB618" s="2507"/>
      <c r="AC618" s="2507"/>
      <c r="AD618" s="2507"/>
      <c r="AE618" s="2507"/>
      <c r="AF618" s="2507"/>
      <c r="AG618" s="2507"/>
      <c r="AH618" s="642"/>
      <c r="AI618" s="642"/>
      <c r="AJ618" s="642"/>
      <c r="AK618" s="642"/>
      <c r="AL618" s="642"/>
      <c r="AN618" s="597"/>
    </row>
    <row r="619" spans="1:42" s="550" customFormat="1" ht="12.75" customHeight="1">
      <c r="B619" s="536"/>
      <c r="C619" s="933"/>
      <c r="D619" s="642"/>
      <c r="E619" s="2507"/>
      <c r="F619" s="2507"/>
      <c r="G619" s="2507"/>
      <c r="H619" s="2507"/>
      <c r="I619" s="2507"/>
      <c r="J619" s="2507"/>
      <c r="K619" s="2507"/>
      <c r="L619" s="2507"/>
      <c r="M619" s="2507"/>
      <c r="N619" s="2507"/>
      <c r="O619" s="2507"/>
      <c r="P619" s="2507"/>
      <c r="Q619" s="2507"/>
      <c r="R619" s="2507"/>
      <c r="S619" s="2507"/>
      <c r="T619" s="2507"/>
      <c r="U619" s="2507"/>
      <c r="V619" s="2507"/>
      <c r="W619" s="2507"/>
      <c r="X619" s="2507"/>
      <c r="Y619" s="2507"/>
      <c r="Z619" s="2507"/>
      <c r="AA619" s="2507"/>
      <c r="AB619" s="2507"/>
      <c r="AC619" s="2507"/>
      <c r="AD619" s="2507"/>
      <c r="AE619" s="2507"/>
      <c r="AF619" s="2507"/>
      <c r="AG619" s="2507"/>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87">
        <f>VLOOKUP($H$606,$AO$586:$AP$591,2,FALSE)+IF(R606=AO594,0,VLOOKUP($I$614,$AO$613:$AP$615,2,FALSE))</f>
        <v>7</v>
      </c>
      <c r="AK621" s="2489"/>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5" t="s">
        <v>1694</v>
      </c>
      <c r="F625" s="2535"/>
      <c r="G625" s="2535"/>
      <c r="H625" s="2535"/>
      <c r="I625" s="2535"/>
      <c r="J625" s="2535"/>
      <c r="K625" s="2535"/>
      <c r="L625" s="2535"/>
      <c r="M625" s="2535"/>
      <c r="N625" s="2535"/>
      <c r="O625" s="2535"/>
      <c r="P625" s="2535"/>
      <c r="Q625" s="2535"/>
      <c r="R625" s="2535"/>
      <c r="S625" s="2535"/>
      <c r="T625" s="2535"/>
      <c r="U625" s="2535"/>
      <c r="V625" s="2535"/>
      <c r="W625" s="2535"/>
      <c r="X625" s="2535"/>
      <c r="Y625" s="2535"/>
      <c r="Z625" s="2535"/>
      <c r="AA625" s="2535"/>
      <c r="AB625" s="2535"/>
      <c r="AC625" s="2535"/>
      <c r="AD625" s="2535"/>
      <c r="AE625" s="539"/>
      <c r="AF625" s="2452" t="s">
        <v>1352</v>
      </c>
      <c r="AG625" s="2452"/>
      <c r="AH625" s="2452"/>
      <c r="AI625" s="2452"/>
      <c r="AJ625" s="2452"/>
      <c r="AK625" s="2452"/>
      <c r="AL625" s="2452"/>
      <c r="AM625" s="550"/>
      <c r="AN625" s="678"/>
    </row>
    <row r="626" spans="1:42" s="550" customFormat="1" ht="12.75" customHeight="1">
      <c r="A626" s="679"/>
      <c r="B626" s="536"/>
      <c r="C626" s="933"/>
      <c r="D626" s="663"/>
      <c r="E626" s="2535"/>
      <c r="F626" s="2535"/>
      <c r="G626" s="2535"/>
      <c r="H626" s="2535"/>
      <c r="I626" s="2535"/>
      <c r="J626" s="2535"/>
      <c r="K626" s="2535"/>
      <c r="L626" s="2535"/>
      <c r="M626" s="2535"/>
      <c r="N626" s="2535"/>
      <c r="O626" s="2535"/>
      <c r="P626" s="2535"/>
      <c r="Q626" s="2535"/>
      <c r="R626" s="2535"/>
      <c r="S626" s="2535"/>
      <c r="T626" s="2535"/>
      <c r="U626" s="2535"/>
      <c r="V626" s="2535"/>
      <c r="W626" s="2535"/>
      <c r="X626" s="2535"/>
      <c r="Y626" s="2535"/>
      <c r="Z626" s="2535"/>
      <c r="AA626" s="2535"/>
      <c r="AB626" s="2535"/>
      <c r="AC626" s="2535"/>
      <c r="AD626" s="2535"/>
      <c r="AE626" s="536"/>
      <c r="AF626" s="536"/>
      <c r="AG626" s="536"/>
      <c r="AH626" s="536"/>
      <c r="AI626" s="536"/>
      <c r="AJ626" s="536"/>
      <c r="AK626" s="536"/>
      <c r="AL626" s="536"/>
      <c r="AN626" s="597"/>
    </row>
    <row r="627" spans="1:42" s="550" customFormat="1" ht="12.75" customHeight="1">
      <c r="B627" s="536"/>
      <c r="C627" s="931"/>
      <c r="D627" s="663"/>
      <c r="E627" s="2535"/>
      <c r="F627" s="2535"/>
      <c r="G627" s="2535"/>
      <c r="H627" s="2535"/>
      <c r="I627" s="2535"/>
      <c r="J627" s="2535"/>
      <c r="K627" s="2535"/>
      <c r="L627" s="2535"/>
      <c r="M627" s="2535"/>
      <c r="N627" s="2535"/>
      <c r="O627" s="2535"/>
      <c r="P627" s="2535"/>
      <c r="Q627" s="2535"/>
      <c r="R627" s="2535"/>
      <c r="S627" s="2535"/>
      <c r="T627" s="2535"/>
      <c r="U627" s="2535"/>
      <c r="V627" s="2535"/>
      <c r="W627" s="2535"/>
      <c r="X627" s="2535"/>
      <c r="Y627" s="2535"/>
      <c r="Z627" s="2535"/>
      <c r="AA627" s="2535"/>
      <c r="AB627" s="2535"/>
      <c r="AC627" s="2535"/>
      <c r="AD627" s="2535"/>
      <c r="AE627" s="536"/>
      <c r="AF627" s="536"/>
      <c r="AG627" s="536"/>
      <c r="AH627" s="536"/>
      <c r="AI627" s="536"/>
      <c r="AJ627" s="536"/>
      <c r="AK627" s="536"/>
      <c r="AL627" s="536"/>
      <c r="AN627" s="597"/>
    </row>
    <row r="628" spans="1:42" s="550" customFormat="1" ht="12.75" customHeight="1">
      <c r="B628" s="536"/>
      <c r="C628" s="931"/>
      <c r="D628" s="663"/>
      <c r="E628" s="2535"/>
      <c r="F628" s="2535"/>
      <c r="G628" s="2535"/>
      <c r="H628" s="2535"/>
      <c r="I628" s="2535"/>
      <c r="J628" s="2535"/>
      <c r="K628" s="2535"/>
      <c r="L628" s="2535"/>
      <c r="M628" s="2535"/>
      <c r="N628" s="2535"/>
      <c r="O628" s="2535"/>
      <c r="P628" s="2535"/>
      <c r="Q628" s="2535"/>
      <c r="R628" s="2535"/>
      <c r="S628" s="2535"/>
      <c r="T628" s="2535"/>
      <c r="U628" s="2535"/>
      <c r="V628" s="2535"/>
      <c r="W628" s="2535"/>
      <c r="X628" s="2535"/>
      <c r="Y628" s="2535"/>
      <c r="Z628" s="2535"/>
      <c r="AA628" s="2535"/>
      <c r="AB628" s="2535"/>
      <c r="AC628" s="2535"/>
      <c r="AD628" s="2535"/>
      <c r="AE628" s="536"/>
      <c r="AF628" s="536"/>
      <c r="AG628" s="536"/>
      <c r="AH628" s="536"/>
      <c r="AI628" s="536"/>
      <c r="AJ628" s="536"/>
      <c r="AK628" s="536"/>
      <c r="AL628" s="536"/>
      <c r="AN628" s="597"/>
    </row>
    <row r="629" spans="1:42" s="550" customFormat="1" ht="12.75" customHeight="1">
      <c r="B629" s="536"/>
      <c r="C629" s="931"/>
      <c r="D629" s="663"/>
      <c r="E629" s="2535"/>
      <c r="F629" s="2535"/>
      <c r="G629" s="2535"/>
      <c r="H629" s="2535"/>
      <c r="I629" s="2535"/>
      <c r="J629" s="2535"/>
      <c r="K629" s="2535"/>
      <c r="L629" s="2535"/>
      <c r="M629" s="2535"/>
      <c r="N629" s="2535"/>
      <c r="O629" s="2535"/>
      <c r="P629" s="2535"/>
      <c r="Q629" s="2535"/>
      <c r="R629" s="2535"/>
      <c r="S629" s="2535"/>
      <c r="T629" s="2535"/>
      <c r="U629" s="2535"/>
      <c r="V629" s="2535"/>
      <c r="W629" s="2535"/>
      <c r="X629" s="2535"/>
      <c r="Y629" s="2535"/>
      <c r="Z629" s="2535"/>
      <c r="AA629" s="2535"/>
      <c r="AB629" s="2535"/>
      <c r="AC629" s="2535"/>
      <c r="AD629" s="2535"/>
      <c r="AE629" s="536"/>
      <c r="AF629" s="536"/>
      <c r="AG629" s="536"/>
      <c r="AH629" s="536"/>
      <c r="AI629" s="536"/>
      <c r="AJ629" s="536"/>
      <c r="AK629" s="536"/>
      <c r="AL629" s="536"/>
      <c r="AN629" s="597"/>
    </row>
    <row r="630" spans="1:42" s="550" customFormat="1" ht="12.75" customHeight="1">
      <c r="B630" s="536"/>
      <c r="C630" s="931"/>
      <c r="D630" s="663"/>
      <c r="E630" s="2535"/>
      <c r="F630" s="2535"/>
      <c r="G630" s="2535"/>
      <c r="H630" s="2535"/>
      <c r="I630" s="2535"/>
      <c r="J630" s="2535"/>
      <c r="K630" s="2535"/>
      <c r="L630" s="2535"/>
      <c r="M630" s="2535"/>
      <c r="N630" s="2535"/>
      <c r="O630" s="2535"/>
      <c r="P630" s="2535"/>
      <c r="Q630" s="2535"/>
      <c r="R630" s="2535"/>
      <c r="S630" s="2535"/>
      <c r="T630" s="2535"/>
      <c r="U630" s="2535"/>
      <c r="V630" s="2535"/>
      <c r="W630" s="2535"/>
      <c r="X630" s="2535"/>
      <c r="Y630" s="2535"/>
      <c r="Z630" s="2535"/>
      <c r="AA630" s="2535"/>
      <c r="AB630" s="2535"/>
      <c r="AC630" s="2535"/>
      <c r="AD630" s="2535"/>
      <c r="AE630" s="536"/>
      <c r="AF630" s="536"/>
      <c r="AG630" s="536"/>
      <c r="AH630" s="536"/>
      <c r="AI630" s="536"/>
      <c r="AJ630" s="536"/>
      <c r="AK630" s="536"/>
      <c r="AL630" s="536"/>
      <c r="AN630" s="597"/>
    </row>
    <row r="631" spans="1:42" s="550" customFormat="1" ht="12.75" customHeight="1">
      <c r="A631" s="637"/>
      <c r="B631" s="616"/>
      <c r="C631" s="940"/>
      <c r="D631" s="663"/>
      <c r="E631" s="2535"/>
      <c r="F631" s="2535"/>
      <c r="G631" s="2535"/>
      <c r="H631" s="2535"/>
      <c r="I631" s="2535"/>
      <c r="J631" s="2535"/>
      <c r="K631" s="2535"/>
      <c r="L631" s="2535"/>
      <c r="M631" s="2535"/>
      <c r="N631" s="2535"/>
      <c r="O631" s="2535"/>
      <c r="P631" s="2535"/>
      <c r="Q631" s="2535"/>
      <c r="R631" s="2535"/>
      <c r="S631" s="2535"/>
      <c r="T631" s="2535"/>
      <c r="U631" s="2535"/>
      <c r="V631" s="2535"/>
      <c r="W631" s="2535"/>
      <c r="X631" s="2535"/>
      <c r="Y631" s="2535"/>
      <c r="Z631" s="2535"/>
      <c r="AA631" s="2535"/>
      <c r="AB631" s="2535"/>
      <c r="AC631" s="2535"/>
      <c r="AD631" s="2535"/>
      <c r="AE631" s="616"/>
      <c r="AF631" s="616"/>
      <c r="AG631" s="616"/>
      <c r="AH631" s="616"/>
      <c r="AI631" s="616"/>
      <c r="AJ631" s="616"/>
      <c r="AK631" s="536"/>
      <c r="AL631" s="536"/>
      <c r="AN631" s="597"/>
    </row>
    <row r="632" spans="1:42" s="550" customFormat="1" ht="12.75" customHeight="1">
      <c r="B632" s="616"/>
      <c r="C632" s="940"/>
      <c r="D632" s="663"/>
      <c r="E632" s="2535"/>
      <c r="F632" s="2535"/>
      <c r="G632" s="2535"/>
      <c r="H632" s="2535"/>
      <c r="I632" s="2535"/>
      <c r="J632" s="2535"/>
      <c r="K632" s="2535"/>
      <c r="L632" s="2535"/>
      <c r="M632" s="2535"/>
      <c r="N632" s="2535"/>
      <c r="O632" s="2535"/>
      <c r="P632" s="2535"/>
      <c r="Q632" s="2535"/>
      <c r="R632" s="2535"/>
      <c r="S632" s="2535"/>
      <c r="T632" s="2535"/>
      <c r="U632" s="2535"/>
      <c r="V632" s="2535"/>
      <c r="W632" s="2535"/>
      <c r="X632" s="2535"/>
      <c r="Y632" s="2535"/>
      <c r="Z632" s="2535"/>
      <c r="AA632" s="2535"/>
      <c r="AB632" s="2535"/>
      <c r="AC632" s="2535"/>
      <c r="AD632" s="2535"/>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80" t="s">
        <v>591</v>
      </c>
      <c r="Y634" s="2480"/>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52" t="s">
        <v>1408</v>
      </c>
      <c r="AG636" s="2452"/>
      <c r="AH636" s="2452"/>
      <c r="AI636" s="2452"/>
      <c r="AJ636" s="2452"/>
      <c r="AK636" s="2452"/>
      <c r="AL636" s="2452"/>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36" t="s">
        <v>687</v>
      </c>
      <c r="I638" s="2536"/>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87">
        <f>VLOOKUP($H$638,$AO$605:$AP$607,2,FALSE)</f>
        <v>3</v>
      </c>
      <c r="AK640" s="2489"/>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507" t="s">
        <v>2098</v>
      </c>
      <c r="F644" s="2507"/>
      <c r="G644" s="2507"/>
      <c r="H644" s="2507"/>
      <c r="I644" s="2507"/>
      <c r="J644" s="2507"/>
      <c r="K644" s="2507"/>
      <c r="L644" s="2507"/>
      <c r="M644" s="2507"/>
      <c r="N644" s="2507"/>
      <c r="O644" s="2507"/>
      <c r="P644" s="2507"/>
      <c r="Q644" s="2507"/>
      <c r="R644" s="2507"/>
      <c r="S644" s="2507"/>
      <c r="T644" s="2507"/>
      <c r="U644" s="2507"/>
      <c r="V644" s="2507"/>
      <c r="W644" s="2507"/>
      <c r="X644" s="2507"/>
      <c r="Y644" s="2507"/>
      <c r="Z644" s="2507"/>
      <c r="AA644" s="2507"/>
      <c r="AB644" s="2507"/>
      <c r="AC644" s="2507"/>
      <c r="AD644" s="2507"/>
      <c r="AE644" s="536"/>
      <c r="AF644" s="2452" t="s">
        <v>1352</v>
      </c>
      <c r="AG644" s="2452"/>
      <c r="AH644" s="2452"/>
      <c r="AI644" s="2452"/>
      <c r="AJ644" s="2452"/>
      <c r="AK644" s="2452"/>
      <c r="AL644" s="2452"/>
      <c r="AN644" s="597"/>
    </row>
    <row r="645" spans="1:42" s="550" customFormat="1" ht="12.75" customHeight="1">
      <c r="B645" s="536"/>
      <c r="C645" s="536"/>
      <c r="D645" s="663"/>
      <c r="E645" s="2507"/>
      <c r="F645" s="2507"/>
      <c r="G645" s="2507"/>
      <c r="H645" s="2507"/>
      <c r="I645" s="2507"/>
      <c r="J645" s="2507"/>
      <c r="K645" s="2507"/>
      <c r="L645" s="2507"/>
      <c r="M645" s="2507"/>
      <c r="N645" s="2507"/>
      <c r="O645" s="2507"/>
      <c r="P645" s="2507"/>
      <c r="Q645" s="2507"/>
      <c r="R645" s="2507"/>
      <c r="S645" s="2507"/>
      <c r="T645" s="2507"/>
      <c r="U645" s="2507"/>
      <c r="V645" s="2507"/>
      <c r="W645" s="2507"/>
      <c r="X645" s="2507"/>
      <c r="Y645" s="2507"/>
      <c r="Z645" s="2507"/>
      <c r="AA645" s="2507"/>
      <c r="AB645" s="2507"/>
      <c r="AC645" s="2507"/>
      <c r="AD645" s="2507"/>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52" t="s">
        <v>1408</v>
      </c>
      <c r="AG647" s="2452"/>
      <c r="AH647" s="2452"/>
      <c r="AI647" s="2452"/>
      <c r="AJ647" s="2452"/>
      <c r="AK647" s="2452"/>
      <c r="AL647" s="2452"/>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36" t="s">
        <v>509</v>
      </c>
      <c r="I650" s="2536"/>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87">
        <f>VLOOKUP(H650,AT605:AU607,2,FALSE)</f>
        <v>2</v>
      </c>
      <c r="AK652" s="2489"/>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507" t="s">
        <v>1418</v>
      </c>
      <c r="F657" s="2507"/>
      <c r="G657" s="2507"/>
      <c r="H657" s="2507"/>
      <c r="I657" s="2507"/>
      <c r="J657" s="2507"/>
      <c r="K657" s="2507"/>
      <c r="L657" s="2507"/>
      <c r="M657" s="2507"/>
      <c r="N657" s="2507"/>
      <c r="O657" s="2507"/>
      <c r="P657" s="2507"/>
      <c r="Q657" s="2507"/>
      <c r="R657" s="2507"/>
      <c r="S657" s="2507"/>
      <c r="T657" s="2507"/>
      <c r="U657" s="2507"/>
      <c r="V657" s="2507"/>
      <c r="W657" s="2507"/>
      <c r="X657" s="2507"/>
      <c r="Y657" s="2507"/>
      <c r="Z657" s="2507"/>
      <c r="AA657" s="2507"/>
      <c r="AB657" s="2507"/>
      <c r="AC657" s="2507"/>
      <c r="AD657" s="536"/>
      <c r="AE657" s="536"/>
      <c r="AF657" s="2452" t="s">
        <v>1378</v>
      </c>
      <c r="AG657" s="2452"/>
      <c r="AH657" s="2452"/>
      <c r="AI657" s="2452"/>
      <c r="AJ657" s="2452"/>
      <c r="AK657" s="2452"/>
      <c r="AL657" s="2452"/>
      <c r="AN657" s="597"/>
    </row>
    <row r="658" spans="1:42" s="550" customFormat="1" ht="12.75" customHeight="1">
      <c r="B658" s="536"/>
      <c r="C658" s="539"/>
      <c r="D658" s="536"/>
      <c r="E658" s="2507"/>
      <c r="F658" s="2507"/>
      <c r="G658" s="2507"/>
      <c r="H658" s="2507"/>
      <c r="I658" s="2507"/>
      <c r="J658" s="2507"/>
      <c r="K658" s="2507"/>
      <c r="L658" s="2507"/>
      <c r="M658" s="2507"/>
      <c r="N658" s="2507"/>
      <c r="O658" s="2507"/>
      <c r="P658" s="2507"/>
      <c r="Q658" s="2507"/>
      <c r="R658" s="2507"/>
      <c r="S658" s="2507"/>
      <c r="T658" s="2507"/>
      <c r="U658" s="2507"/>
      <c r="V658" s="2507"/>
      <c r="W658" s="2507"/>
      <c r="X658" s="2507"/>
      <c r="Y658" s="2507"/>
      <c r="Z658" s="2507"/>
      <c r="AA658" s="2507"/>
      <c r="AB658" s="2507"/>
      <c r="AC658" s="2507"/>
      <c r="AD658" s="536"/>
      <c r="AE658" s="536"/>
      <c r="AF658" s="536"/>
      <c r="AG658" s="536"/>
      <c r="AH658" s="536"/>
      <c r="AI658" s="536"/>
      <c r="AJ658" s="536"/>
      <c r="AK658" s="536"/>
      <c r="AL658" s="536"/>
      <c r="AN658" s="597"/>
    </row>
    <row r="659" spans="1:42" s="550" customFormat="1" ht="12.75" customHeight="1">
      <c r="B659" s="536"/>
      <c r="C659" s="539"/>
      <c r="D659" s="663"/>
      <c r="E659" s="2507"/>
      <c r="F659" s="2507"/>
      <c r="G659" s="2507"/>
      <c r="H659" s="2507"/>
      <c r="I659" s="2507"/>
      <c r="J659" s="2507"/>
      <c r="K659" s="2507"/>
      <c r="L659" s="2507"/>
      <c r="M659" s="2507"/>
      <c r="N659" s="2507"/>
      <c r="O659" s="2507"/>
      <c r="P659" s="2507"/>
      <c r="Q659" s="2507"/>
      <c r="R659" s="2507"/>
      <c r="S659" s="2507"/>
      <c r="T659" s="2507"/>
      <c r="U659" s="2507"/>
      <c r="V659" s="2507"/>
      <c r="W659" s="2507"/>
      <c r="X659" s="2507"/>
      <c r="Y659" s="2507"/>
      <c r="Z659" s="2507"/>
      <c r="AA659" s="2507"/>
      <c r="AB659" s="2507"/>
      <c r="AC659" s="2507"/>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507" t="s">
        <v>1419</v>
      </c>
      <c r="F661" s="2507"/>
      <c r="G661" s="2507"/>
      <c r="H661" s="2507"/>
      <c r="I661" s="2507"/>
      <c r="J661" s="2507"/>
      <c r="K661" s="2507"/>
      <c r="L661" s="2507"/>
      <c r="M661" s="2507"/>
      <c r="N661" s="2507"/>
      <c r="O661" s="2507"/>
      <c r="P661" s="2507"/>
      <c r="Q661" s="2507"/>
      <c r="R661" s="2507"/>
      <c r="S661" s="2507"/>
      <c r="T661" s="2507"/>
      <c r="U661" s="2507"/>
      <c r="V661" s="2507"/>
      <c r="W661" s="2507"/>
      <c r="X661" s="2507"/>
      <c r="Y661" s="2507"/>
      <c r="Z661" s="2507"/>
      <c r="AA661" s="2507"/>
      <c r="AB661" s="2507"/>
      <c r="AC661" s="2507"/>
      <c r="AD661" s="536"/>
      <c r="AE661" s="536"/>
      <c r="AF661" s="2452" t="s">
        <v>1399</v>
      </c>
      <c r="AG661" s="2452"/>
      <c r="AH661" s="2452"/>
      <c r="AI661" s="2452"/>
      <c r="AJ661" s="2452"/>
      <c r="AK661" s="2452"/>
      <c r="AL661" s="2452"/>
      <c r="AN661" s="597"/>
    </row>
    <row r="662" spans="1:42" s="550" customFormat="1" ht="12.75" customHeight="1">
      <c r="B662" s="536"/>
      <c r="C662" s="539"/>
      <c r="D662" s="536"/>
      <c r="E662" s="2507"/>
      <c r="F662" s="2507"/>
      <c r="G662" s="2507"/>
      <c r="H662" s="2507"/>
      <c r="I662" s="2507"/>
      <c r="J662" s="2507"/>
      <c r="K662" s="2507"/>
      <c r="L662" s="2507"/>
      <c r="M662" s="2507"/>
      <c r="N662" s="2507"/>
      <c r="O662" s="2507"/>
      <c r="P662" s="2507"/>
      <c r="Q662" s="2507"/>
      <c r="R662" s="2507"/>
      <c r="S662" s="2507"/>
      <c r="T662" s="2507"/>
      <c r="U662" s="2507"/>
      <c r="V662" s="2507"/>
      <c r="W662" s="2507"/>
      <c r="X662" s="2507"/>
      <c r="Y662" s="2507"/>
      <c r="Z662" s="2507"/>
      <c r="AA662" s="2507"/>
      <c r="AB662" s="2507"/>
      <c r="AC662" s="2507"/>
      <c r="AD662" s="536"/>
      <c r="AE662" s="536"/>
      <c r="AF662" s="536"/>
      <c r="AG662" s="536"/>
      <c r="AH662" s="536"/>
      <c r="AI662" s="536"/>
      <c r="AJ662" s="536"/>
      <c r="AK662" s="536"/>
      <c r="AL662" s="536"/>
      <c r="AN662" s="597"/>
    </row>
    <row r="663" spans="1:42" s="550" customFormat="1" ht="15" customHeight="1">
      <c r="B663" s="536"/>
      <c r="C663" s="539"/>
      <c r="D663" s="663"/>
      <c r="E663" s="2507"/>
      <c r="F663" s="2507"/>
      <c r="G663" s="2507"/>
      <c r="H663" s="2507"/>
      <c r="I663" s="2507"/>
      <c r="J663" s="2507"/>
      <c r="K663" s="2507"/>
      <c r="L663" s="2507"/>
      <c r="M663" s="2507"/>
      <c r="N663" s="2507"/>
      <c r="O663" s="2507"/>
      <c r="P663" s="2507"/>
      <c r="Q663" s="2507"/>
      <c r="R663" s="2507"/>
      <c r="S663" s="2507"/>
      <c r="T663" s="2507"/>
      <c r="U663" s="2507"/>
      <c r="V663" s="2507"/>
      <c r="W663" s="2507"/>
      <c r="X663" s="2507"/>
      <c r="Y663" s="2507"/>
      <c r="Z663" s="2507"/>
      <c r="AA663" s="2507"/>
      <c r="AB663" s="2507"/>
      <c r="AC663" s="2507"/>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507" t="s">
        <v>1420</v>
      </c>
      <c r="F665" s="2507"/>
      <c r="G665" s="2507"/>
      <c r="H665" s="2507"/>
      <c r="I665" s="2507"/>
      <c r="J665" s="2507"/>
      <c r="K665" s="2507"/>
      <c r="L665" s="2507"/>
      <c r="M665" s="2507"/>
      <c r="N665" s="2507"/>
      <c r="O665" s="2507"/>
      <c r="P665" s="2507"/>
      <c r="Q665" s="2507"/>
      <c r="R665" s="2507"/>
      <c r="S665" s="2507"/>
      <c r="T665" s="2507"/>
      <c r="U665" s="2507"/>
      <c r="V665" s="2507"/>
      <c r="W665" s="2507"/>
      <c r="X665" s="2507"/>
      <c r="Y665" s="2507"/>
      <c r="Z665" s="2507"/>
      <c r="AA665" s="2507"/>
      <c r="AB665" s="2507"/>
      <c r="AC665" s="2507"/>
      <c r="AD665" s="536"/>
      <c r="AE665" s="536"/>
      <c r="AF665" s="2452" t="s">
        <v>1352</v>
      </c>
      <c r="AG665" s="2452"/>
      <c r="AH665" s="2452"/>
      <c r="AI665" s="2452"/>
      <c r="AJ665" s="2452"/>
      <c r="AK665" s="2452"/>
      <c r="AL665" s="2452"/>
      <c r="AN665" s="597"/>
    </row>
    <row r="666" spans="1:42" s="550" customFormat="1" ht="12.75" customHeight="1">
      <c r="B666" s="536"/>
      <c r="C666" s="931"/>
      <c r="D666" s="536"/>
      <c r="E666" s="2507"/>
      <c r="F666" s="2507"/>
      <c r="G666" s="2507"/>
      <c r="H666" s="2507"/>
      <c r="I666" s="2507"/>
      <c r="J666" s="2507"/>
      <c r="K666" s="2507"/>
      <c r="L666" s="2507"/>
      <c r="M666" s="2507"/>
      <c r="N666" s="2507"/>
      <c r="O666" s="2507"/>
      <c r="P666" s="2507"/>
      <c r="Q666" s="2507"/>
      <c r="R666" s="2507"/>
      <c r="S666" s="2507"/>
      <c r="T666" s="2507"/>
      <c r="U666" s="2507"/>
      <c r="V666" s="2507"/>
      <c r="W666" s="2507"/>
      <c r="X666" s="2507"/>
      <c r="Y666" s="2507"/>
      <c r="Z666" s="2507"/>
      <c r="AA666" s="2507"/>
      <c r="AB666" s="2507"/>
      <c r="AC666" s="2507"/>
      <c r="AD666" s="536"/>
      <c r="AE666" s="2452"/>
      <c r="AF666" s="2452"/>
      <c r="AG666" s="2452"/>
      <c r="AH666" s="2452"/>
      <c r="AI666" s="2452"/>
      <c r="AJ666" s="2452"/>
      <c r="AK666" s="2452"/>
      <c r="AL666" s="594"/>
      <c r="AN666" s="597"/>
      <c r="AO666" s="550" t="s">
        <v>591</v>
      </c>
      <c r="AP666" s="673">
        <v>0</v>
      </c>
    </row>
    <row r="667" spans="1:42" s="550" customFormat="1" ht="12.75" customHeight="1">
      <c r="A667" s="679"/>
      <c r="B667" s="536"/>
      <c r="C667" s="536"/>
      <c r="D667" s="663"/>
      <c r="E667" s="2507"/>
      <c r="F667" s="2507"/>
      <c r="G667" s="2507"/>
      <c r="H667" s="2507"/>
      <c r="I667" s="2507"/>
      <c r="J667" s="2507"/>
      <c r="K667" s="2507"/>
      <c r="L667" s="2507"/>
      <c r="M667" s="2507"/>
      <c r="N667" s="2507"/>
      <c r="O667" s="2507"/>
      <c r="P667" s="2507"/>
      <c r="Q667" s="2507"/>
      <c r="R667" s="2507"/>
      <c r="S667" s="2507"/>
      <c r="T667" s="2507"/>
      <c r="U667" s="2507"/>
      <c r="V667" s="2507"/>
      <c r="W667" s="2507"/>
      <c r="X667" s="2507"/>
      <c r="Y667" s="2507"/>
      <c r="Z667" s="2507"/>
      <c r="AA667" s="2507"/>
      <c r="AB667" s="2507"/>
      <c r="AC667" s="2507"/>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507" t="s">
        <v>1421</v>
      </c>
      <c r="F669" s="2507"/>
      <c r="G669" s="2507"/>
      <c r="H669" s="2507"/>
      <c r="I669" s="2507"/>
      <c r="J669" s="2507"/>
      <c r="K669" s="2507"/>
      <c r="L669" s="2507"/>
      <c r="M669" s="2507"/>
      <c r="N669" s="2507"/>
      <c r="O669" s="2507"/>
      <c r="P669" s="2507"/>
      <c r="Q669" s="2507"/>
      <c r="R669" s="2507"/>
      <c r="S669" s="2507"/>
      <c r="T669" s="2507"/>
      <c r="U669" s="2507"/>
      <c r="V669" s="2507"/>
      <c r="W669" s="2507"/>
      <c r="X669" s="2507"/>
      <c r="Y669" s="2507"/>
      <c r="Z669" s="2507"/>
      <c r="AA669" s="2507"/>
      <c r="AB669" s="2507"/>
      <c r="AC669" s="2507"/>
      <c r="AD669" s="536"/>
      <c r="AE669" s="536"/>
      <c r="AF669" s="2452" t="s">
        <v>1399</v>
      </c>
      <c r="AG669" s="2452"/>
      <c r="AH669" s="2452"/>
      <c r="AI669" s="2452"/>
      <c r="AJ669" s="2452"/>
      <c r="AK669" s="2452"/>
      <c r="AL669" s="2452"/>
      <c r="AN669" s="597"/>
    </row>
    <row r="670" spans="1:42" s="550" customFormat="1" ht="12.75" customHeight="1">
      <c r="A670" s="670"/>
      <c r="B670" s="536"/>
      <c r="C670" s="947"/>
      <c r="D670" s="663"/>
      <c r="E670" s="2507"/>
      <c r="F670" s="2507"/>
      <c r="G670" s="2507"/>
      <c r="H670" s="2507"/>
      <c r="I670" s="2507"/>
      <c r="J670" s="2507"/>
      <c r="K670" s="2507"/>
      <c r="L670" s="2507"/>
      <c r="M670" s="2507"/>
      <c r="N670" s="2507"/>
      <c r="O670" s="2507"/>
      <c r="P670" s="2507"/>
      <c r="Q670" s="2507"/>
      <c r="R670" s="2507"/>
      <c r="S670" s="2507"/>
      <c r="T670" s="2507"/>
      <c r="U670" s="2507"/>
      <c r="V670" s="2507"/>
      <c r="W670" s="2507"/>
      <c r="X670" s="2507"/>
      <c r="Y670" s="2507"/>
      <c r="Z670" s="2507"/>
      <c r="AA670" s="2507"/>
      <c r="AB670" s="2507"/>
      <c r="AC670" s="2507"/>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7"/>
      <c r="F671" s="2507"/>
      <c r="G671" s="2507"/>
      <c r="H671" s="2507"/>
      <c r="I671" s="2507"/>
      <c r="J671" s="2507"/>
      <c r="K671" s="2507"/>
      <c r="L671" s="2507"/>
      <c r="M671" s="2507"/>
      <c r="N671" s="2507"/>
      <c r="O671" s="2507"/>
      <c r="P671" s="2507"/>
      <c r="Q671" s="2507"/>
      <c r="R671" s="2507"/>
      <c r="S671" s="2507"/>
      <c r="T671" s="2507"/>
      <c r="U671" s="2507"/>
      <c r="V671" s="2507"/>
      <c r="W671" s="2507"/>
      <c r="X671" s="2507"/>
      <c r="Y671" s="2507"/>
      <c r="Z671" s="2507"/>
      <c r="AA671" s="2507"/>
      <c r="AB671" s="2507"/>
      <c r="AC671" s="2507"/>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507" t="s">
        <v>1422</v>
      </c>
      <c r="F673" s="2507"/>
      <c r="G673" s="2507"/>
      <c r="H673" s="2507"/>
      <c r="I673" s="2507"/>
      <c r="J673" s="2507"/>
      <c r="K673" s="2507"/>
      <c r="L673" s="2507"/>
      <c r="M673" s="2507"/>
      <c r="N673" s="2507"/>
      <c r="O673" s="2507"/>
      <c r="P673" s="2507"/>
      <c r="Q673" s="2507"/>
      <c r="R673" s="2507"/>
      <c r="S673" s="2507"/>
      <c r="T673" s="2507"/>
      <c r="U673" s="2507"/>
      <c r="V673" s="2507"/>
      <c r="W673" s="2507"/>
      <c r="X673" s="2507"/>
      <c r="Y673" s="2507"/>
      <c r="Z673" s="2507"/>
      <c r="AA673" s="2507"/>
      <c r="AB673" s="2507"/>
      <c r="AC673" s="2507"/>
      <c r="AD673" s="536"/>
      <c r="AE673" s="536"/>
      <c r="AF673" s="2452" t="s">
        <v>1352</v>
      </c>
      <c r="AG673" s="2452"/>
      <c r="AH673" s="2452"/>
      <c r="AI673" s="2452"/>
      <c r="AJ673" s="2452"/>
      <c r="AK673" s="2452"/>
      <c r="AL673" s="2452"/>
      <c r="AM673" s="596"/>
      <c r="AN673" s="597"/>
    </row>
    <row r="674" spans="1:42" s="550" customFormat="1" ht="12.75" customHeight="1">
      <c r="B674" s="536"/>
      <c r="C674" s="931"/>
      <c r="D674" s="663"/>
      <c r="E674" s="2507"/>
      <c r="F674" s="2507"/>
      <c r="G674" s="2507"/>
      <c r="H674" s="2507"/>
      <c r="I674" s="2507"/>
      <c r="J674" s="2507"/>
      <c r="K674" s="2507"/>
      <c r="L674" s="2507"/>
      <c r="M674" s="2507"/>
      <c r="N674" s="2507"/>
      <c r="O674" s="2507"/>
      <c r="P674" s="2507"/>
      <c r="Q674" s="2507"/>
      <c r="R674" s="2507"/>
      <c r="S674" s="2507"/>
      <c r="T674" s="2507"/>
      <c r="U674" s="2507"/>
      <c r="V674" s="2507"/>
      <c r="W674" s="2507"/>
      <c r="X674" s="2507"/>
      <c r="Y674" s="2507"/>
      <c r="Z674" s="2507"/>
      <c r="AA674" s="2507"/>
      <c r="AB674" s="2507"/>
      <c r="AC674" s="2507"/>
      <c r="AD674" s="536"/>
      <c r="AE674" s="536"/>
      <c r="AF674" s="536"/>
      <c r="AG674" s="536"/>
      <c r="AH674" s="536"/>
      <c r="AI674" s="536"/>
      <c r="AJ674" s="536"/>
      <c r="AK674" s="536"/>
      <c r="AL674" s="536"/>
      <c r="AM674" s="596"/>
      <c r="AN674" s="597"/>
    </row>
    <row r="675" spans="1:42" s="550" customFormat="1" ht="12.75" customHeight="1">
      <c r="B675" s="536"/>
      <c r="C675" s="931"/>
      <c r="D675" s="663"/>
      <c r="E675" s="2507"/>
      <c r="F675" s="2507"/>
      <c r="G675" s="2507"/>
      <c r="H675" s="2507"/>
      <c r="I675" s="2507"/>
      <c r="J675" s="2507"/>
      <c r="K675" s="2507"/>
      <c r="L675" s="2507"/>
      <c r="M675" s="2507"/>
      <c r="N675" s="2507"/>
      <c r="O675" s="2507"/>
      <c r="P675" s="2507"/>
      <c r="Q675" s="2507"/>
      <c r="R675" s="2507"/>
      <c r="S675" s="2507"/>
      <c r="T675" s="2507"/>
      <c r="U675" s="2507"/>
      <c r="V675" s="2507"/>
      <c r="W675" s="2507"/>
      <c r="X675" s="2507"/>
      <c r="Y675" s="2507"/>
      <c r="Z675" s="2507"/>
      <c r="AA675" s="2507"/>
      <c r="AB675" s="2507"/>
      <c r="AC675" s="2507"/>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507" t="s">
        <v>1423</v>
      </c>
      <c r="F677" s="2507"/>
      <c r="G677" s="2507"/>
      <c r="H677" s="2507"/>
      <c r="I677" s="2507"/>
      <c r="J677" s="2507"/>
      <c r="K677" s="2507"/>
      <c r="L677" s="2507"/>
      <c r="M677" s="2507"/>
      <c r="N677" s="2507"/>
      <c r="O677" s="2507"/>
      <c r="P677" s="2507"/>
      <c r="Q677" s="2507"/>
      <c r="R677" s="2507"/>
      <c r="S677" s="2507"/>
      <c r="T677" s="2507"/>
      <c r="U677" s="2507"/>
      <c r="V677" s="2507"/>
      <c r="W677" s="2507"/>
      <c r="X677" s="2507"/>
      <c r="Y677" s="2507"/>
      <c r="Z677" s="2507"/>
      <c r="AA677" s="2507"/>
      <c r="AB677" s="2507"/>
      <c r="AC677" s="2507"/>
      <c r="AD677" s="536"/>
      <c r="AE677" s="536"/>
      <c r="AF677" s="2452" t="s">
        <v>1408</v>
      </c>
      <c r="AG677" s="2452"/>
      <c r="AH677" s="2452"/>
      <c r="AI677" s="2452"/>
      <c r="AJ677" s="2452"/>
      <c r="AK677" s="2452"/>
      <c r="AL677" s="2452"/>
      <c r="AM677" s="596"/>
      <c r="AN677" s="597"/>
    </row>
    <row r="678" spans="1:42" s="550" customFormat="1" ht="12.75" customHeight="1">
      <c r="A678" s="679"/>
      <c r="B678" s="536"/>
      <c r="C678" s="931"/>
      <c r="D678" s="663"/>
      <c r="E678" s="2507"/>
      <c r="F678" s="2507"/>
      <c r="G678" s="2507"/>
      <c r="H678" s="2507"/>
      <c r="I678" s="2507"/>
      <c r="J678" s="2507"/>
      <c r="K678" s="2507"/>
      <c r="L678" s="2507"/>
      <c r="M678" s="2507"/>
      <c r="N678" s="2507"/>
      <c r="O678" s="2507"/>
      <c r="P678" s="2507"/>
      <c r="Q678" s="2507"/>
      <c r="R678" s="2507"/>
      <c r="S678" s="2507"/>
      <c r="T678" s="2507"/>
      <c r="U678" s="2507"/>
      <c r="V678" s="2507"/>
      <c r="W678" s="2507"/>
      <c r="X678" s="2507"/>
      <c r="Y678" s="2507"/>
      <c r="Z678" s="2507"/>
      <c r="AA678" s="2507"/>
      <c r="AB678" s="2507"/>
      <c r="AC678" s="2507"/>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7"/>
      <c r="F679" s="2507"/>
      <c r="G679" s="2507"/>
      <c r="H679" s="2507"/>
      <c r="I679" s="2507"/>
      <c r="J679" s="2507"/>
      <c r="K679" s="2507"/>
      <c r="L679" s="2507"/>
      <c r="M679" s="2507"/>
      <c r="N679" s="2507"/>
      <c r="O679" s="2507"/>
      <c r="P679" s="2507"/>
      <c r="Q679" s="2507"/>
      <c r="R679" s="2507"/>
      <c r="S679" s="2507"/>
      <c r="T679" s="2507"/>
      <c r="U679" s="2507"/>
      <c r="V679" s="2507"/>
      <c r="W679" s="2507"/>
      <c r="X679" s="2507"/>
      <c r="Y679" s="2507"/>
      <c r="Z679" s="2507"/>
      <c r="AA679" s="2507"/>
      <c r="AB679" s="2507"/>
      <c r="AC679" s="2507"/>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507" t="s">
        <v>1424</v>
      </c>
      <c r="F681" s="2507"/>
      <c r="G681" s="2507"/>
      <c r="H681" s="2507"/>
      <c r="I681" s="2507"/>
      <c r="J681" s="2507"/>
      <c r="K681" s="2507"/>
      <c r="L681" s="2507"/>
      <c r="M681" s="2507"/>
      <c r="N681" s="2507"/>
      <c r="O681" s="2507"/>
      <c r="P681" s="2507"/>
      <c r="Q681" s="2507"/>
      <c r="R681" s="2507"/>
      <c r="S681" s="2507"/>
      <c r="T681" s="2507"/>
      <c r="U681" s="2507"/>
      <c r="V681" s="2507"/>
      <c r="W681" s="2507"/>
      <c r="X681" s="2507"/>
      <c r="Y681" s="2507"/>
      <c r="Z681" s="2507"/>
      <c r="AA681" s="2507"/>
      <c r="AB681" s="2507"/>
      <c r="AC681" s="2507"/>
      <c r="AD681" s="536"/>
      <c r="AE681" s="536"/>
      <c r="AF681" s="2452" t="s">
        <v>1425</v>
      </c>
      <c r="AG681" s="2452"/>
      <c r="AH681" s="2452"/>
      <c r="AI681" s="2452"/>
      <c r="AJ681" s="2452"/>
      <c r="AK681" s="2452"/>
      <c r="AL681" s="2452"/>
      <c r="AM681" s="596"/>
      <c r="AN681" s="597"/>
      <c r="AO681" s="611" t="s">
        <v>687</v>
      </c>
      <c r="AP681" s="550">
        <v>3</v>
      </c>
    </row>
    <row r="682" spans="1:42" s="550" customFormat="1" ht="12.75" customHeight="1">
      <c r="A682" s="679"/>
      <c r="B682" s="536"/>
      <c r="C682" s="931"/>
      <c r="D682" s="663"/>
      <c r="E682" s="2507"/>
      <c r="F682" s="2507"/>
      <c r="G682" s="2507"/>
      <c r="H682" s="2507"/>
      <c r="I682" s="2507"/>
      <c r="J682" s="2507"/>
      <c r="K682" s="2507"/>
      <c r="L682" s="2507"/>
      <c r="M682" s="2507"/>
      <c r="N682" s="2507"/>
      <c r="O682" s="2507"/>
      <c r="P682" s="2507"/>
      <c r="Q682" s="2507"/>
      <c r="R682" s="2507"/>
      <c r="S682" s="2507"/>
      <c r="T682" s="2507"/>
      <c r="U682" s="2507"/>
      <c r="V682" s="2507"/>
      <c r="W682" s="2507"/>
      <c r="X682" s="2507"/>
      <c r="Y682" s="2507"/>
      <c r="Z682" s="2507"/>
      <c r="AA682" s="2507"/>
      <c r="AB682" s="2507"/>
      <c r="AC682" s="2507"/>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507"/>
      <c r="F683" s="2507"/>
      <c r="G683" s="2507"/>
      <c r="H683" s="2507"/>
      <c r="I683" s="2507"/>
      <c r="J683" s="2507"/>
      <c r="K683" s="2507"/>
      <c r="L683" s="2507"/>
      <c r="M683" s="2507"/>
      <c r="N683" s="2507"/>
      <c r="O683" s="2507"/>
      <c r="P683" s="2507"/>
      <c r="Q683" s="2507"/>
      <c r="R683" s="2507"/>
      <c r="S683" s="2507"/>
      <c r="T683" s="2507"/>
      <c r="U683" s="2507"/>
      <c r="V683" s="2507"/>
      <c r="W683" s="2507"/>
      <c r="X683" s="2507"/>
      <c r="Y683" s="2507"/>
      <c r="Z683" s="2507"/>
      <c r="AA683" s="2507"/>
      <c r="AB683" s="2507"/>
      <c r="AC683" s="2507"/>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36" t="s">
        <v>509</v>
      </c>
      <c r="I685" s="2536"/>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87">
        <f>VLOOKUP($H$685,$AO$633:$AP$640,2,FALSE)</f>
        <v>4</v>
      </c>
      <c r="AK687" s="2489"/>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49</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193</v>
      </c>
    </row>
    <row r="691" spans="1:51" s="550" customFormat="1" ht="12.75" customHeight="1">
      <c r="A691" s="679"/>
      <c r="B691" s="536"/>
      <c r="C691" s="948"/>
      <c r="D691" s="663" t="s">
        <v>687</v>
      </c>
      <c r="E691" s="2543" t="s">
        <v>2190</v>
      </c>
      <c r="F691" s="2543"/>
      <c r="G691" s="2543"/>
      <c r="H691" s="2543"/>
      <c r="I691" s="2543"/>
      <c r="J691" s="2543"/>
      <c r="K691" s="2543"/>
      <c r="L691" s="2543"/>
      <c r="M691" s="2543"/>
      <c r="N691" s="2543"/>
      <c r="O691" s="2543"/>
      <c r="P691" s="2543"/>
      <c r="Q691" s="2543"/>
      <c r="R691" s="2543"/>
      <c r="S691" s="2543"/>
      <c r="T691" s="2543"/>
      <c r="U691" s="2543"/>
      <c r="V691" s="2543"/>
      <c r="W691" s="2543"/>
      <c r="X691" s="2543"/>
      <c r="Y691" s="2543"/>
      <c r="Z691" s="2543"/>
      <c r="AA691" s="2543"/>
      <c r="AB691" s="2543"/>
      <c r="AC691" s="536"/>
      <c r="AD691" s="536"/>
      <c r="AE691" s="536"/>
      <c r="AF691" s="2452" t="s">
        <v>1352</v>
      </c>
      <c r="AG691" s="2452"/>
      <c r="AH691" s="2452"/>
      <c r="AI691" s="2452"/>
      <c r="AJ691" s="2452"/>
      <c r="AK691" s="2452"/>
      <c r="AL691" s="2452"/>
      <c r="AN691" s="597"/>
      <c r="AW691" s="22" t="s">
        <v>2185</v>
      </c>
      <c r="AX691" s="550">
        <f>Application!DE753</f>
        <v>52</v>
      </c>
    </row>
    <row r="692" spans="1:51" s="550" customFormat="1" ht="12.75" customHeight="1">
      <c r="A692" s="679"/>
      <c r="B692" s="536"/>
      <c r="C692" s="948"/>
      <c r="D692" s="663"/>
      <c r="E692" s="2543"/>
      <c r="F692" s="2543"/>
      <c r="G692" s="2543"/>
      <c r="H692" s="2543"/>
      <c r="I692" s="2543"/>
      <c r="J692" s="2543"/>
      <c r="K692" s="2543"/>
      <c r="L692" s="2543"/>
      <c r="M692" s="2543"/>
      <c r="N692" s="2543"/>
      <c r="O692" s="2543"/>
      <c r="P692" s="2543"/>
      <c r="Q692" s="2543"/>
      <c r="R692" s="2543"/>
      <c r="S692" s="2543"/>
      <c r="T692" s="2543"/>
      <c r="U692" s="2543"/>
      <c r="V692" s="2543"/>
      <c r="W692" s="2543"/>
      <c r="X692" s="2543"/>
      <c r="Y692" s="2543"/>
      <c r="Z692" s="2543"/>
      <c r="AA692" s="2543"/>
      <c r="AB692" s="2543"/>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507" t="s">
        <v>2134</v>
      </c>
      <c r="F694" s="2507"/>
      <c r="G694" s="2507"/>
      <c r="H694" s="2507"/>
      <c r="I694" s="2507"/>
      <c r="J694" s="2507"/>
      <c r="K694" s="2507"/>
      <c r="L694" s="2507"/>
      <c r="M694" s="2507"/>
      <c r="N694" s="2507"/>
      <c r="O694" s="2507"/>
      <c r="P694" s="2507"/>
      <c r="Q694" s="2507"/>
      <c r="R694" s="2507"/>
      <c r="S694" s="2507"/>
      <c r="T694" s="2507"/>
      <c r="U694" s="2507"/>
      <c r="V694" s="2507"/>
      <c r="W694" s="2507"/>
      <c r="X694" s="2507"/>
      <c r="Y694" s="2507"/>
      <c r="Z694" s="2507"/>
      <c r="AA694" s="2507"/>
      <c r="AB694" s="2507"/>
      <c r="AC694" s="536"/>
      <c r="AD694" s="536"/>
      <c r="AE694" s="536"/>
      <c r="AF694" s="2452" t="s">
        <v>1352</v>
      </c>
      <c r="AG694" s="2452"/>
      <c r="AH694" s="2452"/>
      <c r="AI694" s="2452"/>
      <c r="AJ694" s="2452"/>
      <c r="AK694" s="2452"/>
      <c r="AL694" s="2452"/>
      <c r="AN694" s="597"/>
      <c r="AW694" s="22" t="s">
        <v>2188</v>
      </c>
      <c r="AX694" s="550">
        <f>AX691+AX692+AX693</f>
        <v>52</v>
      </c>
    </row>
    <row r="695" spans="1:51" s="550" customFormat="1" ht="12.75" customHeight="1">
      <c r="B695" s="536"/>
      <c r="C695" s="940"/>
      <c r="D695" s="663"/>
      <c r="E695" s="2507"/>
      <c r="F695" s="2507"/>
      <c r="G695" s="2507"/>
      <c r="H695" s="2507"/>
      <c r="I695" s="2507"/>
      <c r="J695" s="2507"/>
      <c r="K695" s="2507"/>
      <c r="L695" s="2507"/>
      <c r="M695" s="2507"/>
      <c r="N695" s="2507"/>
      <c r="O695" s="2507"/>
      <c r="P695" s="2507"/>
      <c r="Q695" s="2507"/>
      <c r="R695" s="2507"/>
      <c r="S695" s="2507"/>
      <c r="T695" s="2507"/>
      <c r="U695" s="2507"/>
      <c r="V695" s="2507"/>
      <c r="W695" s="2507"/>
      <c r="X695" s="2507"/>
      <c r="Y695" s="2507"/>
      <c r="Z695" s="2507"/>
      <c r="AA695" s="2507"/>
      <c r="AB695" s="2507"/>
      <c r="AC695" s="536"/>
      <c r="AD695" s="536"/>
      <c r="AE695" s="616"/>
      <c r="AF695" s="536"/>
      <c r="AG695" s="536"/>
      <c r="AH695" s="536"/>
      <c r="AI695" s="536"/>
      <c r="AJ695" s="536"/>
      <c r="AK695" s="536"/>
      <c r="AL695" s="536"/>
      <c r="AN695" s="597"/>
      <c r="AO695" s="2542" t="b">
        <f>IF(Application!D211="Special Needs",IF(AY695&gt;=0.25,TRUE,FALSE),IF(AX695&gt;=0.25,TRUE,FALSE))</f>
        <v>1</v>
      </c>
      <c r="AP695" s="2542"/>
      <c r="AW695" s="22" t="s">
        <v>2189</v>
      </c>
      <c r="AX695" s="550">
        <f>IFERROR(AX694/AX690,0)</f>
        <v>0.26943005181347152</v>
      </c>
      <c r="AY695" s="550">
        <f>IFERROR(AX694/(AX690-AX689),0)</f>
        <v>0.3611111111111111</v>
      </c>
    </row>
    <row r="696" spans="1:51" s="550" customFormat="1" ht="12.75" customHeight="1">
      <c r="B696" s="536"/>
      <c r="C696" s="940"/>
      <c r="E696" s="2507"/>
      <c r="F696" s="2507"/>
      <c r="G696" s="2507"/>
      <c r="H696" s="2507"/>
      <c r="I696" s="2507"/>
      <c r="J696" s="2507"/>
      <c r="K696" s="2507"/>
      <c r="L696" s="2507"/>
      <c r="M696" s="2507"/>
      <c r="N696" s="2507"/>
      <c r="O696" s="2507"/>
      <c r="P696" s="2507"/>
      <c r="Q696" s="2507"/>
      <c r="R696" s="2507"/>
      <c r="S696" s="2507"/>
      <c r="T696" s="2507"/>
      <c r="U696" s="2507"/>
      <c r="V696" s="2507"/>
      <c r="W696" s="2507"/>
      <c r="X696" s="2507"/>
      <c r="Y696" s="2507"/>
      <c r="Z696" s="2507"/>
      <c r="AA696" s="2507"/>
      <c r="AB696" s="2507"/>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7"/>
      <c r="F697" s="2507"/>
      <c r="G697" s="2507"/>
      <c r="H697" s="2507"/>
      <c r="I697" s="2507"/>
      <c r="J697" s="2507"/>
      <c r="K697" s="2507"/>
      <c r="L697" s="2507"/>
      <c r="M697" s="2507"/>
      <c r="N697" s="2507"/>
      <c r="O697" s="2507"/>
      <c r="P697" s="2507"/>
      <c r="Q697" s="2507"/>
      <c r="R697" s="2507"/>
      <c r="S697" s="2507"/>
      <c r="T697" s="2507"/>
      <c r="U697" s="2507"/>
      <c r="V697" s="2507"/>
      <c r="W697" s="2507"/>
      <c r="X697" s="2507"/>
      <c r="Y697" s="2507"/>
      <c r="Z697" s="2507"/>
      <c r="AA697" s="2507"/>
      <c r="AB697" s="2507"/>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507" t="s">
        <v>2135</v>
      </c>
      <c r="F699" s="2507"/>
      <c r="G699" s="2507"/>
      <c r="H699" s="2507"/>
      <c r="I699" s="2507"/>
      <c r="J699" s="2507"/>
      <c r="K699" s="2507"/>
      <c r="L699" s="2507"/>
      <c r="M699" s="2507"/>
      <c r="N699" s="2507"/>
      <c r="O699" s="2507"/>
      <c r="P699" s="2507"/>
      <c r="Q699" s="2507"/>
      <c r="R699" s="2507"/>
      <c r="S699" s="2507"/>
      <c r="T699" s="2507"/>
      <c r="U699" s="2507"/>
      <c r="V699" s="2507"/>
      <c r="W699" s="2507"/>
      <c r="X699" s="2507"/>
      <c r="Y699" s="2507"/>
      <c r="Z699" s="2507"/>
      <c r="AA699" s="2507"/>
      <c r="AB699" s="2507"/>
      <c r="AC699" s="536"/>
      <c r="AD699" s="536"/>
      <c r="AE699" s="536"/>
      <c r="AF699" s="2452" t="s">
        <v>1408</v>
      </c>
      <c r="AG699" s="2452"/>
      <c r="AH699" s="2452"/>
      <c r="AI699" s="2452"/>
      <c r="AJ699" s="2452"/>
      <c r="AK699" s="2452"/>
      <c r="AL699" s="2452"/>
      <c r="AN699" s="597"/>
      <c r="AO699" s="611" t="s">
        <v>509</v>
      </c>
      <c r="AP699" s="550">
        <v>1</v>
      </c>
    </row>
    <row r="700" spans="1:51" s="550" customFormat="1" ht="12" customHeight="1">
      <c r="B700" s="536"/>
      <c r="C700" s="931"/>
      <c r="E700" s="2507"/>
      <c r="F700" s="2507"/>
      <c r="G700" s="2507"/>
      <c r="H700" s="2507"/>
      <c r="I700" s="2507"/>
      <c r="J700" s="2507"/>
      <c r="K700" s="2507"/>
      <c r="L700" s="2507"/>
      <c r="M700" s="2507"/>
      <c r="N700" s="2507"/>
      <c r="O700" s="2507"/>
      <c r="P700" s="2507"/>
      <c r="Q700" s="2507"/>
      <c r="R700" s="2507"/>
      <c r="S700" s="2507"/>
      <c r="T700" s="2507"/>
      <c r="U700" s="2507"/>
      <c r="V700" s="2507"/>
      <c r="W700" s="2507"/>
      <c r="X700" s="2507"/>
      <c r="Y700" s="2507"/>
      <c r="Z700" s="2507"/>
      <c r="AA700" s="2507"/>
      <c r="AB700" s="2507"/>
      <c r="AC700" s="536"/>
      <c r="AD700" s="536"/>
      <c r="AE700" s="616"/>
      <c r="AF700" s="536"/>
      <c r="AG700" s="536"/>
      <c r="AH700" s="536"/>
      <c r="AI700" s="536"/>
      <c r="AJ700" s="536"/>
      <c r="AK700" s="536"/>
      <c r="AL700" s="536"/>
      <c r="AN700" s="597"/>
    </row>
    <row r="701" spans="1:51" s="550" customFormat="1" ht="12" customHeight="1">
      <c r="B701" s="536"/>
      <c r="C701" s="931"/>
      <c r="D701" s="536"/>
      <c r="E701" s="2507"/>
      <c r="F701" s="2507"/>
      <c r="G701" s="2507"/>
      <c r="H701" s="2507"/>
      <c r="I701" s="2507"/>
      <c r="J701" s="2507"/>
      <c r="K701" s="2507"/>
      <c r="L701" s="2507"/>
      <c r="M701" s="2507"/>
      <c r="N701" s="2507"/>
      <c r="O701" s="2507"/>
      <c r="P701" s="2507"/>
      <c r="Q701" s="2507"/>
      <c r="R701" s="2507"/>
      <c r="S701" s="2507"/>
      <c r="T701" s="2507"/>
      <c r="U701" s="2507"/>
      <c r="V701" s="2507"/>
      <c r="W701" s="2507"/>
      <c r="X701" s="2507"/>
      <c r="Y701" s="2507"/>
      <c r="Z701" s="2507"/>
      <c r="AA701" s="2507"/>
      <c r="AB701" s="2507"/>
      <c r="AC701" s="536"/>
      <c r="AD701" s="536"/>
      <c r="AE701" s="616"/>
      <c r="AF701" s="536"/>
      <c r="AG701" s="536"/>
      <c r="AH701" s="536"/>
      <c r="AI701" s="536"/>
      <c r="AJ701" s="536"/>
      <c r="AK701" s="536"/>
      <c r="AL701" s="536"/>
      <c r="AN701" s="597"/>
    </row>
    <row r="702" spans="1:51" s="550" customFormat="1" ht="12" customHeight="1">
      <c r="B702" s="536"/>
      <c r="C702" s="931"/>
      <c r="D702" s="536"/>
      <c r="E702" s="2507"/>
      <c r="F702" s="2507"/>
      <c r="G702" s="2507"/>
      <c r="H702" s="2507"/>
      <c r="I702" s="2507"/>
      <c r="J702" s="2507"/>
      <c r="K702" s="2507"/>
      <c r="L702" s="2507"/>
      <c r="M702" s="2507"/>
      <c r="N702" s="2507"/>
      <c r="O702" s="2507"/>
      <c r="P702" s="2507"/>
      <c r="Q702" s="2507"/>
      <c r="R702" s="2507"/>
      <c r="S702" s="2507"/>
      <c r="T702" s="2507"/>
      <c r="U702" s="2507"/>
      <c r="V702" s="2507"/>
      <c r="W702" s="2507"/>
      <c r="X702" s="2507"/>
      <c r="Y702" s="2507"/>
      <c r="Z702" s="2507"/>
      <c r="AA702" s="2507"/>
      <c r="AB702" s="2507"/>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7"/>
      <c r="F703" s="2507"/>
      <c r="G703" s="2507"/>
      <c r="H703" s="2507"/>
      <c r="I703" s="2507"/>
      <c r="J703" s="2507"/>
      <c r="K703" s="2507"/>
      <c r="L703" s="2507"/>
      <c r="M703" s="2507"/>
      <c r="N703" s="2507"/>
      <c r="O703" s="2507"/>
      <c r="P703" s="2507"/>
      <c r="Q703" s="2507"/>
      <c r="R703" s="2507"/>
      <c r="S703" s="2507"/>
      <c r="T703" s="2507"/>
      <c r="U703" s="2507"/>
      <c r="V703" s="2507"/>
      <c r="W703" s="2507"/>
      <c r="X703" s="2507"/>
      <c r="Y703" s="2507"/>
      <c r="Z703" s="2507"/>
      <c r="AA703" s="2507"/>
      <c r="AB703" s="2507"/>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507" t="s">
        <v>1693</v>
      </c>
      <c r="F705" s="2507"/>
      <c r="G705" s="2507"/>
      <c r="H705" s="2507"/>
      <c r="I705" s="2507"/>
      <c r="J705" s="2507"/>
      <c r="K705" s="2507"/>
      <c r="L705" s="2507"/>
      <c r="M705" s="2507"/>
      <c r="N705" s="2507"/>
      <c r="O705" s="2507"/>
      <c r="P705" s="2507"/>
      <c r="Q705" s="2507"/>
      <c r="R705" s="2507"/>
      <c r="S705" s="2507"/>
      <c r="T705" s="2507"/>
      <c r="U705" s="2507"/>
      <c r="V705" s="2507"/>
      <c r="W705" s="2507"/>
      <c r="X705" s="2507"/>
      <c r="Y705" s="2507"/>
      <c r="Z705" s="2507"/>
      <c r="AA705" s="2507"/>
      <c r="AB705" s="2507"/>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507"/>
      <c r="F706" s="2507"/>
      <c r="G706" s="2507"/>
      <c r="H706" s="2507"/>
      <c r="I706" s="2507"/>
      <c r="J706" s="2507"/>
      <c r="K706" s="2507"/>
      <c r="L706" s="2507"/>
      <c r="M706" s="2507"/>
      <c r="N706" s="2507"/>
      <c r="O706" s="2507"/>
      <c r="P706" s="2507"/>
      <c r="Q706" s="2507"/>
      <c r="R706" s="2507"/>
      <c r="S706" s="2507"/>
      <c r="T706" s="2507"/>
      <c r="U706" s="2507"/>
      <c r="V706" s="2507"/>
      <c r="W706" s="2507"/>
      <c r="X706" s="2507"/>
      <c r="Y706" s="2507"/>
      <c r="Z706" s="2507"/>
      <c r="AA706" s="2507"/>
      <c r="AB706" s="2507"/>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507"/>
      <c r="F707" s="2507"/>
      <c r="G707" s="2507"/>
      <c r="H707" s="2507"/>
      <c r="I707" s="2507"/>
      <c r="J707" s="2507"/>
      <c r="K707" s="2507"/>
      <c r="L707" s="2507"/>
      <c r="M707" s="2507"/>
      <c r="N707" s="2507"/>
      <c r="O707" s="2507"/>
      <c r="P707" s="2507"/>
      <c r="Q707" s="2507"/>
      <c r="R707" s="2507"/>
      <c r="S707" s="2507"/>
      <c r="T707" s="2507"/>
      <c r="U707" s="2507"/>
      <c r="V707" s="2507"/>
      <c r="W707" s="2507"/>
      <c r="X707" s="2507"/>
      <c r="Y707" s="2507"/>
      <c r="Z707" s="2507"/>
      <c r="AA707" s="2507"/>
      <c r="AB707" s="2507"/>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36" t="s">
        <v>509</v>
      </c>
      <c r="I709" s="2536"/>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87">
        <f>VLOOKUP($H$709,$AO$703:$AP$706,2,FALSE)</f>
        <v>3</v>
      </c>
      <c r="AK711" s="2489"/>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44" t="s">
        <v>1695</v>
      </c>
      <c r="F715" s="2544"/>
      <c r="G715" s="2544"/>
      <c r="H715" s="2544"/>
      <c r="I715" s="2544"/>
      <c r="J715" s="2544"/>
      <c r="K715" s="2544"/>
      <c r="L715" s="2544"/>
      <c r="M715" s="2544"/>
      <c r="N715" s="2544"/>
      <c r="O715" s="2544"/>
      <c r="P715" s="2544"/>
      <c r="Q715" s="2544"/>
      <c r="R715" s="2544"/>
      <c r="S715" s="2544"/>
      <c r="T715" s="2544"/>
      <c r="U715" s="2544"/>
      <c r="V715" s="2544"/>
      <c r="W715" s="2544"/>
      <c r="X715" s="2544"/>
      <c r="Y715" s="2544"/>
      <c r="Z715" s="2544"/>
      <c r="AA715" s="2544"/>
      <c r="AB715" s="2544"/>
      <c r="AC715" s="536"/>
      <c r="AD715" s="536"/>
      <c r="AE715" s="536"/>
      <c r="AF715" s="2452" t="s">
        <v>1352</v>
      </c>
      <c r="AG715" s="2452"/>
      <c r="AH715" s="2452"/>
      <c r="AI715" s="2452"/>
      <c r="AJ715" s="2452"/>
      <c r="AK715" s="2452"/>
      <c r="AL715" s="2452"/>
      <c r="AM715" s="550"/>
      <c r="AN715" s="684"/>
      <c r="AP715" s="570" t="s">
        <v>1432</v>
      </c>
    </row>
    <row r="716" spans="1:43" s="570" customFormat="1" ht="11.85" customHeight="1">
      <c r="A716" s="550"/>
      <c r="B716" s="536"/>
      <c r="C716" s="933"/>
      <c r="D716" s="663"/>
      <c r="E716" s="2544"/>
      <c r="F716" s="2544"/>
      <c r="G716" s="2544"/>
      <c r="H716" s="2544"/>
      <c r="I716" s="2544"/>
      <c r="J716" s="2544"/>
      <c r="K716" s="2544"/>
      <c r="L716" s="2544"/>
      <c r="M716" s="2544"/>
      <c r="N716" s="2544"/>
      <c r="O716" s="2544"/>
      <c r="P716" s="2544"/>
      <c r="Q716" s="2544"/>
      <c r="R716" s="2544"/>
      <c r="S716" s="2544"/>
      <c r="T716" s="2544"/>
      <c r="U716" s="2544"/>
      <c r="V716" s="2544"/>
      <c r="W716" s="2544"/>
      <c r="X716" s="2544"/>
      <c r="Y716" s="2544"/>
      <c r="Z716" s="2544"/>
      <c r="AA716" s="2544"/>
      <c r="AB716" s="2544"/>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44"/>
      <c r="F717" s="2544"/>
      <c r="G717" s="2544"/>
      <c r="H717" s="2544"/>
      <c r="I717" s="2544"/>
      <c r="J717" s="2544"/>
      <c r="K717" s="2544"/>
      <c r="L717" s="2544"/>
      <c r="M717" s="2544"/>
      <c r="N717" s="2544"/>
      <c r="O717" s="2544"/>
      <c r="P717" s="2544"/>
      <c r="Q717" s="2544"/>
      <c r="R717" s="2544"/>
      <c r="S717" s="2544"/>
      <c r="T717" s="2544"/>
      <c r="U717" s="2544"/>
      <c r="V717" s="2544"/>
      <c r="W717" s="2544"/>
      <c r="X717" s="2544"/>
      <c r="Y717" s="2544"/>
      <c r="Z717" s="2544"/>
      <c r="AA717" s="2544"/>
      <c r="AB717" s="2544"/>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45" t="s">
        <v>1435</v>
      </c>
      <c r="F719" s="2545"/>
      <c r="G719" s="2545"/>
      <c r="H719" s="2545"/>
      <c r="I719" s="2545"/>
      <c r="J719" s="2545"/>
      <c r="K719" s="2545"/>
      <c r="L719" s="2545"/>
      <c r="M719" s="2545"/>
      <c r="N719" s="2545"/>
      <c r="O719" s="2545"/>
      <c r="P719" s="2545"/>
      <c r="Q719" s="2545"/>
      <c r="R719" s="2545"/>
      <c r="S719" s="2545"/>
      <c r="T719" s="2545"/>
      <c r="U719" s="2545"/>
      <c r="V719" s="2545"/>
      <c r="W719" s="2545"/>
      <c r="X719" s="2545"/>
      <c r="Y719" s="2545"/>
      <c r="Z719" s="2545"/>
      <c r="AA719" s="2545"/>
      <c r="AB719" s="2545"/>
      <c r="AC719" s="536"/>
      <c r="AD719" s="536"/>
      <c r="AE719" s="536"/>
      <c r="AF719" s="2452" t="s">
        <v>1408</v>
      </c>
      <c r="AG719" s="2452"/>
      <c r="AH719" s="2452"/>
      <c r="AI719" s="2452"/>
      <c r="AJ719" s="2452"/>
      <c r="AK719" s="2452"/>
      <c r="AL719" s="2452"/>
      <c r="AM719" s="550"/>
      <c r="AN719" s="685"/>
    </row>
    <row r="720" spans="1:43" s="570" customFormat="1" ht="12.75" customHeight="1">
      <c r="A720" s="550"/>
      <c r="B720" s="536"/>
      <c r="C720" s="933"/>
      <c r="D720" s="536"/>
      <c r="E720" s="2545"/>
      <c r="F720" s="2545"/>
      <c r="G720" s="2545"/>
      <c r="H720" s="2545"/>
      <c r="I720" s="2545"/>
      <c r="J720" s="2545"/>
      <c r="K720" s="2545"/>
      <c r="L720" s="2545"/>
      <c r="M720" s="2545"/>
      <c r="N720" s="2545"/>
      <c r="O720" s="2545"/>
      <c r="P720" s="2545"/>
      <c r="Q720" s="2545"/>
      <c r="R720" s="2545"/>
      <c r="S720" s="2545"/>
      <c r="T720" s="2545"/>
      <c r="U720" s="2545"/>
      <c r="V720" s="2545"/>
      <c r="W720" s="2545"/>
      <c r="X720" s="2545"/>
      <c r="Y720" s="2545"/>
      <c r="Z720" s="2545"/>
      <c r="AA720" s="2545"/>
      <c r="AB720" s="2545"/>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45"/>
      <c r="F721" s="2545"/>
      <c r="G721" s="2545"/>
      <c r="H721" s="2545"/>
      <c r="I721" s="2545"/>
      <c r="J721" s="2545"/>
      <c r="K721" s="2545"/>
      <c r="L721" s="2545"/>
      <c r="M721" s="2545"/>
      <c r="N721" s="2545"/>
      <c r="O721" s="2545"/>
      <c r="P721" s="2545"/>
      <c r="Q721" s="2545"/>
      <c r="R721" s="2545"/>
      <c r="S721" s="2545"/>
      <c r="T721" s="2545"/>
      <c r="U721" s="2545"/>
      <c r="V721" s="2545"/>
      <c r="W721" s="2545"/>
      <c r="X721" s="2545"/>
      <c r="Y721" s="2545"/>
      <c r="Z721" s="2545"/>
      <c r="AA721" s="2545"/>
      <c r="AB721" s="2545"/>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536" t="s">
        <v>591</v>
      </c>
      <c r="I723" s="2536"/>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87">
        <f>VLOOKUP($H$723,$AP$720:$AQ$722,2,FALSE)</f>
        <v>0</v>
      </c>
      <c r="AK725" s="2489"/>
      <c r="AL725" s="595"/>
      <c r="AM725" s="550"/>
      <c r="AN725" s="684"/>
      <c r="AP725" s="2487"/>
      <c r="AQ725" s="2489"/>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507" t="s">
        <v>1696</v>
      </c>
      <c r="F729" s="2507"/>
      <c r="G729" s="2507"/>
      <c r="H729" s="2507"/>
      <c r="I729" s="2507"/>
      <c r="J729" s="2507"/>
      <c r="K729" s="2507"/>
      <c r="L729" s="2507"/>
      <c r="M729" s="2507"/>
      <c r="N729" s="2507"/>
      <c r="O729" s="2507"/>
      <c r="P729" s="2507"/>
      <c r="Q729" s="2507"/>
      <c r="R729" s="2507"/>
      <c r="S729" s="2507"/>
      <c r="T729" s="2507"/>
      <c r="U729" s="2507"/>
      <c r="V729" s="2507"/>
      <c r="W729" s="2507"/>
      <c r="X729" s="2507"/>
      <c r="Y729" s="2507"/>
      <c r="Z729" s="2507"/>
      <c r="AA729" s="2507"/>
      <c r="AB729" s="2507"/>
      <c r="AC729" s="536"/>
      <c r="AD729" s="536"/>
      <c r="AE729" s="536"/>
      <c r="AF729" s="2452" t="s">
        <v>1352</v>
      </c>
      <c r="AG729" s="2452"/>
      <c r="AH729" s="2452"/>
      <c r="AI729" s="2452"/>
      <c r="AJ729" s="2452"/>
      <c r="AK729" s="2452"/>
      <c r="AL729" s="2452"/>
      <c r="AM729" s="550"/>
      <c r="AN729" s="684"/>
      <c r="AT729" s="14"/>
      <c r="AU729" s="14"/>
      <c r="AV729" s="14"/>
      <c r="AW729" s="14"/>
      <c r="AX729" s="14"/>
      <c r="AY729" s="14"/>
      <c r="AZ729" s="14"/>
    </row>
    <row r="730" spans="1:81" s="570" customFormat="1">
      <c r="A730" s="550"/>
      <c r="B730" s="536"/>
      <c r="C730" s="933"/>
      <c r="D730" s="663"/>
      <c r="E730" s="2507"/>
      <c r="F730" s="2507"/>
      <c r="G730" s="2507"/>
      <c r="H730" s="2507"/>
      <c r="I730" s="2507"/>
      <c r="J730" s="2507"/>
      <c r="K730" s="2507"/>
      <c r="L730" s="2507"/>
      <c r="M730" s="2507"/>
      <c r="N730" s="2507"/>
      <c r="O730" s="2507"/>
      <c r="P730" s="2507"/>
      <c r="Q730" s="2507"/>
      <c r="R730" s="2507"/>
      <c r="S730" s="2507"/>
      <c r="T730" s="2507"/>
      <c r="U730" s="2507"/>
      <c r="V730" s="2507"/>
      <c r="W730" s="2507"/>
      <c r="X730" s="2507"/>
      <c r="Y730" s="2507"/>
      <c r="Z730" s="2507"/>
      <c r="AA730" s="2507"/>
      <c r="AB730" s="2507"/>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507" t="s">
        <v>1439</v>
      </c>
      <c r="F732" s="2507"/>
      <c r="G732" s="2507"/>
      <c r="H732" s="2507"/>
      <c r="I732" s="2507"/>
      <c r="J732" s="2507"/>
      <c r="K732" s="2507"/>
      <c r="L732" s="2507"/>
      <c r="M732" s="2507"/>
      <c r="N732" s="2507"/>
      <c r="O732" s="2507"/>
      <c r="P732" s="2507"/>
      <c r="Q732" s="2507"/>
      <c r="R732" s="2507"/>
      <c r="S732" s="2507"/>
      <c r="T732" s="2507"/>
      <c r="U732" s="2507"/>
      <c r="V732" s="2507"/>
      <c r="W732" s="2507"/>
      <c r="X732" s="2507"/>
      <c r="Y732" s="2507"/>
      <c r="Z732" s="2507"/>
      <c r="AA732" s="2507"/>
      <c r="AB732" s="2507"/>
      <c r="AC732" s="536"/>
      <c r="AD732" s="536"/>
      <c r="AE732" s="536"/>
      <c r="AF732" s="2452" t="s">
        <v>1408</v>
      </c>
      <c r="AG732" s="2452"/>
      <c r="AH732" s="2452"/>
      <c r="AI732" s="2452"/>
      <c r="AJ732" s="2452"/>
      <c r="AK732" s="2452"/>
      <c r="AL732" s="2452"/>
      <c r="AM732" s="550"/>
      <c r="AN732" s="684"/>
      <c r="AT732" s="14"/>
      <c r="AU732" s="14"/>
      <c r="AV732" s="14"/>
      <c r="AW732" s="14"/>
      <c r="AX732" s="14"/>
      <c r="AY732" s="14"/>
      <c r="AZ732" s="14"/>
    </row>
    <row r="733" spans="1:81" s="570" customFormat="1">
      <c r="A733" s="550"/>
      <c r="B733" s="536"/>
      <c r="C733" s="933"/>
      <c r="D733" s="536"/>
      <c r="E733" s="2507"/>
      <c r="F733" s="2507"/>
      <c r="G733" s="2507"/>
      <c r="H733" s="2507"/>
      <c r="I733" s="2507"/>
      <c r="J733" s="2507"/>
      <c r="K733" s="2507"/>
      <c r="L733" s="2507"/>
      <c r="M733" s="2507"/>
      <c r="N733" s="2507"/>
      <c r="O733" s="2507"/>
      <c r="P733" s="2507"/>
      <c r="Q733" s="2507"/>
      <c r="R733" s="2507"/>
      <c r="S733" s="2507"/>
      <c r="T733" s="2507"/>
      <c r="U733" s="2507"/>
      <c r="V733" s="2507"/>
      <c r="W733" s="2507"/>
      <c r="X733" s="2507"/>
      <c r="Y733" s="2507"/>
      <c r="Z733" s="2507"/>
      <c r="AA733" s="2507"/>
      <c r="AB733" s="2507"/>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36" t="s">
        <v>591</v>
      </c>
      <c r="I735" s="2536"/>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87">
        <f>VLOOKUP($H$735,$AO$666:$AP$668,2,FALSE)</f>
        <v>0</v>
      </c>
      <c r="AK737" s="2489"/>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507" t="s">
        <v>1442</v>
      </c>
      <c r="F741" s="2507"/>
      <c r="G741" s="2507"/>
      <c r="H741" s="2507"/>
      <c r="I741" s="2507"/>
      <c r="J741" s="2507"/>
      <c r="K741" s="2507"/>
      <c r="L741" s="2507"/>
      <c r="M741" s="2507"/>
      <c r="N741" s="2507"/>
      <c r="O741" s="2507"/>
      <c r="P741" s="2507"/>
      <c r="Q741" s="2507"/>
      <c r="R741" s="2507"/>
      <c r="S741" s="2507"/>
      <c r="T741" s="2507"/>
      <c r="U741" s="2507"/>
      <c r="V741" s="2507"/>
      <c r="W741" s="2507"/>
      <c r="X741" s="2507"/>
      <c r="Y741" s="2507"/>
      <c r="Z741" s="2507"/>
      <c r="AA741" s="2507"/>
      <c r="AB741" s="2507"/>
      <c r="AC741" s="536"/>
      <c r="AD741" s="536"/>
      <c r="AE741" s="536"/>
      <c r="AF741" s="2452" t="s">
        <v>1352</v>
      </c>
      <c r="AG741" s="2452"/>
      <c r="AH741" s="2452"/>
      <c r="AI741" s="2452"/>
      <c r="AJ741" s="2452"/>
      <c r="AK741" s="2452"/>
      <c r="AL741" s="2452"/>
      <c r="AM741" s="550"/>
      <c r="AN741" s="684"/>
      <c r="AT741" s="14"/>
      <c r="AU741" s="14"/>
      <c r="AV741" s="14"/>
      <c r="AW741" s="14"/>
      <c r="AX741" s="14"/>
      <c r="AY741" s="14"/>
      <c r="AZ741" s="14"/>
    </row>
    <row r="742" spans="1:81" s="570" customFormat="1">
      <c r="A742" s="550"/>
      <c r="B742" s="536"/>
      <c r="C742" s="931"/>
      <c r="D742" s="663"/>
      <c r="E742" s="2507"/>
      <c r="F742" s="2507"/>
      <c r="G742" s="2507"/>
      <c r="H742" s="2507"/>
      <c r="I742" s="2507"/>
      <c r="J742" s="2507"/>
      <c r="K742" s="2507"/>
      <c r="L742" s="2507"/>
      <c r="M742" s="2507"/>
      <c r="N742" s="2507"/>
      <c r="O742" s="2507"/>
      <c r="P742" s="2507"/>
      <c r="Q742" s="2507"/>
      <c r="R742" s="2507"/>
      <c r="S742" s="2507"/>
      <c r="T742" s="2507"/>
      <c r="U742" s="2507"/>
      <c r="V742" s="2507"/>
      <c r="W742" s="2507"/>
      <c r="X742" s="2507"/>
      <c r="Y742" s="2507"/>
      <c r="Z742" s="2507"/>
      <c r="AA742" s="2507"/>
      <c r="AB742" s="2507"/>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7"/>
      <c r="F743" s="2507"/>
      <c r="G743" s="2507"/>
      <c r="H743" s="2507"/>
      <c r="I743" s="2507"/>
      <c r="J743" s="2507"/>
      <c r="K743" s="2507"/>
      <c r="L743" s="2507"/>
      <c r="M743" s="2507"/>
      <c r="N743" s="2507"/>
      <c r="O743" s="2507"/>
      <c r="P743" s="2507"/>
      <c r="Q743" s="2507"/>
      <c r="R743" s="2507"/>
      <c r="S743" s="2507"/>
      <c r="T743" s="2507"/>
      <c r="U743" s="2507"/>
      <c r="V743" s="2507"/>
      <c r="W743" s="2507"/>
      <c r="X743" s="2507"/>
      <c r="Y743" s="2507"/>
      <c r="Z743" s="2507"/>
      <c r="AA743" s="2507"/>
      <c r="AB743" s="2507"/>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7"/>
      <c r="F744" s="2507"/>
      <c r="G744" s="2507"/>
      <c r="H744" s="2507"/>
      <c r="I744" s="2507"/>
      <c r="J744" s="2507"/>
      <c r="K744" s="2507"/>
      <c r="L744" s="2507"/>
      <c r="M744" s="2507"/>
      <c r="N744" s="2507"/>
      <c r="O744" s="2507"/>
      <c r="P744" s="2507"/>
      <c r="Q744" s="2507"/>
      <c r="R744" s="2507"/>
      <c r="S744" s="2507"/>
      <c r="T744" s="2507"/>
      <c r="U744" s="2507"/>
      <c r="V744" s="2507"/>
      <c r="W744" s="2507"/>
      <c r="X744" s="2507"/>
      <c r="Y744" s="2507"/>
      <c r="Z744" s="2507"/>
      <c r="AA744" s="2507"/>
      <c r="AB744" s="2507"/>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507" t="s">
        <v>1443</v>
      </c>
      <c r="F746" s="2507"/>
      <c r="G746" s="2507"/>
      <c r="H746" s="2507"/>
      <c r="I746" s="2507"/>
      <c r="J746" s="2507"/>
      <c r="K746" s="2507"/>
      <c r="L746" s="2507"/>
      <c r="M746" s="2507"/>
      <c r="N746" s="2507"/>
      <c r="O746" s="2507"/>
      <c r="P746" s="2507"/>
      <c r="Q746" s="2507"/>
      <c r="R746" s="2507"/>
      <c r="S746" s="2507"/>
      <c r="T746" s="2507"/>
      <c r="U746" s="2507"/>
      <c r="V746" s="2507"/>
      <c r="W746" s="2507"/>
      <c r="X746" s="2507"/>
      <c r="Y746" s="2507"/>
      <c r="Z746" s="2507"/>
      <c r="AA746" s="2507"/>
      <c r="AB746" s="575"/>
      <c r="AC746" s="536"/>
      <c r="AD746" s="536"/>
      <c r="AE746" s="536"/>
      <c r="AF746" s="2452" t="s">
        <v>1408</v>
      </c>
      <c r="AG746" s="2452"/>
      <c r="AH746" s="2452"/>
      <c r="AI746" s="2452"/>
      <c r="AJ746" s="2452"/>
      <c r="AK746" s="2452"/>
      <c r="AL746" s="2452"/>
      <c r="AM746" s="550"/>
      <c r="AN746" s="684"/>
      <c r="AO746" s="30"/>
      <c r="AP746" s="14"/>
    </row>
    <row r="747" spans="1:81" s="570" customFormat="1">
      <c r="A747" s="550"/>
      <c r="B747" s="536"/>
      <c r="C747" s="931"/>
      <c r="D747" s="663"/>
      <c r="E747" s="2507"/>
      <c r="F747" s="2507"/>
      <c r="G747" s="2507"/>
      <c r="H747" s="2507"/>
      <c r="I747" s="2507"/>
      <c r="J747" s="2507"/>
      <c r="K747" s="2507"/>
      <c r="L747" s="2507"/>
      <c r="M747" s="2507"/>
      <c r="N747" s="2507"/>
      <c r="O747" s="2507"/>
      <c r="P747" s="2507"/>
      <c r="Q747" s="2507"/>
      <c r="R747" s="2507"/>
      <c r="S747" s="2507"/>
      <c r="T747" s="2507"/>
      <c r="U747" s="2507"/>
      <c r="V747" s="2507"/>
      <c r="W747" s="2507"/>
      <c r="X747" s="2507"/>
      <c r="Y747" s="2507"/>
      <c r="Z747" s="2507"/>
      <c r="AA747" s="2507"/>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7"/>
      <c r="F748" s="2507"/>
      <c r="G748" s="2507"/>
      <c r="H748" s="2507"/>
      <c r="I748" s="2507"/>
      <c r="J748" s="2507"/>
      <c r="K748" s="2507"/>
      <c r="L748" s="2507"/>
      <c r="M748" s="2507"/>
      <c r="N748" s="2507"/>
      <c r="O748" s="2507"/>
      <c r="P748" s="2507"/>
      <c r="Q748" s="2507"/>
      <c r="R748" s="2507"/>
      <c r="S748" s="2507"/>
      <c r="T748" s="2507"/>
      <c r="U748" s="2507"/>
      <c r="V748" s="2507"/>
      <c r="W748" s="2507"/>
      <c r="X748" s="2507"/>
      <c r="Y748" s="2507"/>
      <c r="Z748" s="2507"/>
      <c r="AA748" s="2507"/>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7"/>
      <c r="F749" s="2507"/>
      <c r="G749" s="2507"/>
      <c r="H749" s="2507"/>
      <c r="I749" s="2507"/>
      <c r="J749" s="2507"/>
      <c r="K749" s="2507"/>
      <c r="L749" s="2507"/>
      <c r="M749" s="2507"/>
      <c r="N749" s="2507"/>
      <c r="O749" s="2507"/>
      <c r="P749" s="2507"/>
      <c r="Q749" s="2507"/>
      <c r="R749" s="2507"/>
      <c r="S749" s="2507"/>
      <c r="T749" s="2507"/>
      <c r="U749" s="2507"/>
      <c r="V749" s="2507"/>
      <c r="W749" s="2507"/>
      <c r="X749" s="2507"/>
      <c r="Y749" s="2507"/>
      <c r="Z749" s="2507"/>
      <c r="AA749" s="2507"/>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36" t="s">
        <v>591</v>
      </c>
      <c r="I751" s="2536"/>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87">
        <f>VLOOKUP($H$751,$AO$680:$AP$682,2,FALSE)</f>
        <v>0</v>
      </c>
      <c r="AK753" s="2489"/>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507" t="s">
        <v>1445</v>
      </c>
      <c r="F757" s="2507"/>
      <c r="G757" s="2507"/>
      <c r="H757" s="2507"/>
      <c r="I757" s="2507"/>
      <c r="J757" s="2507"/>
      <c r="K757" s="2507"/>
      <c r="L757" s="2507"/>
      <c r="M757" s="2507"/>
      <c r="N757" s="2507"/>
      <c r="O757" s="2507"/>
      <c r="P757" s="2507"/>
      <c r="Q757" s="2507"/>
      <c r="R757" s="2507"/>
      <c r="S757" s="2507"/>
      <c r="T757" s="2507"/>
      <c r="U757" s="2507"/>
      <c r="V757" s="2507"/>
      <c r="W757" s="2507"/>
      <c r="X757" s="2507"/>
      <c r="Y757" s="2507"/>
      <c r="Z757" s="2507"/>
      <c r="AA757" s="2507"/>
      <c r="AB757" s="2507"/>
      <c r="AC757" s="536"/>
      <c r="AD757" s="536"/>
      <c r="AE757" s="536"/>
      <c r="AF757" s="2452" t="s">
        <v>1408</v>
      </c>
      <c r="AG757" s="2452"/>
      <c r="AH757" s="2452"/>
      <c r="AI757" s="2452"/>
      <c r="AJ757" s="2452"/>
      <c r="AK757" s="2452"/>
      <c r="AL757" s="2452"/>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7"/>
      <c r="F758" s="2507"/>
      <c r="G758" s="2507"/>
      <c r="H758" s="2507"/>
      <c r="I758" s="2507"/>
      <c r="J758" s="2507"/>
      <c r="K758" s="2507"/>
      <c r="L758" s="2507"/>
      <c r="M758" s="2507"/>
      <c r="N758" s="2507"/>
      <c r="O758" s="2507"/>
      <c r="P758" s="2507"/>
      <c r="Q758" s="2507"/>
      <c r="R758" s="2507"/>
      <c r="S758" s="2507"/>
      <c r="T758" s="2507"/>
      <c r="U758" s="2507"/>
      <c r="V758" s="2507"/>
      <c r="W758" s="2507"/>
      <c r="X758" s="2507"/>
      <c r="Y758" s="2507"/>
      <c r="Z758" s="2507"/>
      <c r="AA758" s="2507"/>
      <c r="AB758" s="2507"/>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507" t="s">
        <v>1446</v>
      </c>
      <c r="F760" s="2507"/>
      <c r="G760" s="2507"/>
      <c r="H760" s="2507"/>
      <c r="I760" s="2507"/>
      <c r="J760" s="2507"/>
      <c r="K760" s="2507"/>
      <c r="L760" s="2507"/>
      <c r="M760" s="2507"/>
      <c r="N760" s="2507"/>
      <c r="O760" s="2507"/>
      <c r="P760" s="2507"/>
      <c r="Q760" s="2507"/>
      <c r="R760" s="2507"/>
      <c r="S760" s="2507"/>
      <c r="T760" s="2507"/>
      <c r="U760" s="2507"/>
      <c r="V760" s="2507"/>
      <c r="W760" s="2507"/>
      <c r="X760" s="2507"/>
      <c r="Y760" s="2507"/>
      <c r="Z760" s="2507"/>
      <c r="AA760" s="2507"/>
      <c r="AB760" s="2507"/>
      <c r="AC760" s="536"/>
      <c r="AD760" s="536"/>
      <c r="AE760" s="536"/>
      <c r="AF760" s="2452" t="s">
        <v>1425</v>
      </c>
      <c r="AG760" s="2452"/>
      <c r="AH760" s="2452"/>
      <c r="AI760" s="2452"/>
      <c r="AJ760" s="2452"/>
      <c r="AK760" s="2452"/>
      <c r="AL760" s="2452"/>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7"/>
      <c r="F761" s="2507"/>
      <c r="G761" s="2507"/>
      <c r="H761" s="2507"/>
      <c r="I761" s="2507"/>
      <c r="J761" s="2507"/>
      <c r="K761" s="2507"/>
      <c r="L761" s="2507"/>
      <c r="M761" s="2507"/>
      <c r="N761" s="2507"/>
      <c r="O761" s="2507"/>
      <c r="P761" s="2507"/>
      <c r="Q761" s="2507"/>
      <c r="R761" s="2507"/>
      <c r="S761" s="2507"/>
      <c r="T761" s="2507"/>
      <c r="U761" s="2507"/>
      <c r="V761" s="2507"/>
      <c r="W761" s="2507"/>
      <c r="X761" s="2507"/>
      <c r="Y761" s="2507"/>
      <c r="Z761" s="2507"/>
      <c r="AA761" s="2507"/>
      <c r="AB761" s="2507"/>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36" t="s">
        <v>509</v>
      </c>
      <c r="I763" s="2536"/>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87">
        <f>VLOOKUP($H$763,$AO$697:$AP$699,2,FALSE)</f>
        <v>1</v>
      </c>
      <c r="AK765" s="2489"/>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507" t="s">
        <v>1692</v>
      </c>
      <c r="F769" s="2507"/>
      <c r="G769" s="2507"/>
      <c r="H769" s="2507"/>
      <c r="I769" s="2507"/>
      <c r="J769" s="2507"/>
      <c r="K769" s="2507"/>
      <c r="L769" s="2507"/>
      <c r="M769" s="2507"/>
      <c r="N769" s="2507"/>
      <c r="O769" s="2507"/>
      <c r="P769" s="2507"/>
      <c r="Q769" s="2507"/>
      <c r="R769" s="2507"/>
      <c r="S769" s="2507"/>
      <c r="T769" s="2507"/>
      <c r="U769" s="2507"/>
      <c r="V769" s="2507"/>
      <c r="W769" s="2507"/>
      <c r="X769" s="2507"/>
      <c r="Y769" s="2507"/>
      <c r="Z769" s="2507"/>
      <c r="AA769" s="2507"/>
      <c r="AB769" s="2507"/>
      <c r="AC769" s="2507"/>
      <c r="AD769" s="2507"/>
      <c r="AE769" s="536"/>
      <c r="AF769" s="2452" t="s">
        <v>1408</v>
      </c>
      <c r="AG769" s="2452"/>
      <c r="AH769" s="2452"/>
      <c r="AI769" s="2452"/>
      <c r="AJ769" s="2452"/>
      <c r="AK769" s="2452"/>
      <c r="AL769" s="2452"/>
      <c r="AM769" s="613"/>
      <c r="AN769" s="684"/>
      <c r="AO769" s="550" t="s">
        <v>591</v>
      </c>
      <c r="AP769" s="673">
        <v>0</v>
      </c>
    </row>
    <row r="770" spans="1:81" s="570" customFormat="1" ht="13.7" customHeight="1">
      <c r="A770" s="550"/>
      <c r="B770" s="616"/>
      <c r="C770" s="940"/>
      <c r="D770" s="663"/>
      <c r="E770" s="2507"/>
      <c r="F770" s="2507"/>
      <c r="G770" s="2507"/>
      <c r="H770" s="2507"/>
      <c r="I770" s="2507"/>
      <c r="J770" s="2507"/>
      <c r="K770" s="2507"/>
      <c r="L770" s="2507"/>
      <c r="M770" s="2507"/>
      <c r="N770" s="2507"/>
      <c r="O770" s="2507"/>
      <c r="P770" s="2507"/>
      <c r="Q770" s="2507"/>
      <c r="R770" s="2507"/>
      <c r="S770" s="2507"/>
      <c r="T770" s="2507"/>
      <c r="U770" s="2507"/>
      <c r="V770" s="2507"/>
      <c r="W770" s="2507"/>
      <c r="X770" s="2507"/>
      <c r="Y770" s="2507"/>
      <c r="Z770" s="2507"/>
      <c r="AA770" s="2507"/>
      <c r="AB770" s="2507"/>
      <c r="AC770" s="2507"/>
      <c r="AD770" s="2507"/>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507"/>
      <c r="F771" s="2507"/>
      <c r="G771" s="2507"/>
      <c r="H771" s="2507"/>
      <c r="I771" s="2507"/>
      <c r="J771" s="2507"/>
      <c r="K771" s="2507"/>
      <c r="L771" s="2507"/>
      <c r="M771" s="2507"/>
      <c r="N771" s="2507"/>
      <c r="O771" s="2507"/>
      <c r="P771" s="2507"/>
      <c r="Q771" s="2507"/>
      <c r="R771" s="2507"/>
      <c r="S771" s="2507"/>
      <c r="T771" s="2507"/>
      <c r="U771" s="2507"/>
      <c r="V771" s="2507"/>
      <c r="W771" s="2507"/>
      <c r="X771" s="2507"/>
      <c r="Y771" s="2507"/>
      <c r="Z771" s="2507"/>
      <c r="AA771" s="2507"/>
      <c r="AB771" s="2507"/>
      <c r="AC771" s="2507"/>
      <c r="AD771" s="2507"/>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7"/>
      <c r="F772" s="2507"/>
      <c r="G772" s="2507"/>
      <c r="H772" s="2507"/>
      <c r="I772" s="2507"/>
      <c r="J772" s="2507"/>
      <c r="K772" s="2507"/>
      <c r="L772" s="2507"/>
      <c r="M772" s="2507"/>
      <c r="N772" s="2507"/>
      <c r="O772" s="2507"/>
      <c r="P772" s="2507"/>
      <c r="Q772" s="2507"/>
      <c r="R772" s="2507"/>
      <c r="S772" s="2507"/>
      <c r="T772" s="2507"/>
      <c r="U772" s="2507"/>
      <c r="V772" s="2507"/>
      <c r="W772" s="2507"/>
      <c r="X772" s="2507"/>
      <c r="Y772" s="2507"/>
      <c r="Z772" s="2507"/>
      <c r="AA772" s="2507"/>
      <c r="AB772" s="2507"/>
      <c r="AC772" s="2507"/>
      <c r="AD772" s="2507"/>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46" t="s">
        <v>1697</v>
      </c>
      <c r="F774" s="2546"/>
      <c r="G774" s="2546"/>
      <c r="H774" s="2546"/>
      <c r="I774" s="2546"/>
      <c r="J774" s="2546"/>
      <c r="K774" s="2546"/>
      <c r="L774" s="2546"/>
      <c r="M774" s="2546"/>
      <c r="N774" s="2546"/>
      <c r="O774" s="2546"/>
      <c r="P774" s="2546"/>
      <c r="Q774" s="2546"/>
      <c r="R774" s="2546"/>
      <c r="S774" s="2546"/>
      <c r="T774" s="2546"/>
      <c r="U774" s="2546"/>
      <c r="V774" s="2546"/>
      <c r="W774" s="2546"/>
      <c r="X774" s="2546"/>
      <c r="Y774" s="2546"/>
      <c r="Z774" s="2546"/>
      <c r="AA774" s="2546"/>
      <c r="AB774" s="2546"/>
      <c r="AC774" s="2546"/>
      <c r="AD774" s="2546"/>
      <c r="AE774" s="536"/>
      <c r="AF774" s="2452" t="s">
        <v>1352</v>
      </c>
      <c r="AG774" s="2452"/>
      <c r="AH774" s="2452"/>
      <c r="AI774" s="2452"/>
      <c r="AJ774" s="2452"/>
      <c r="AK774" s="2452"/>
      <c r="AL774" s="2452"/>
      <c r="AM774" s="613"/>
      <c r="AN774" s="597"/>
    </row>
    <row r="775" spans="1:81" s="550" customFormat="1" ht="12.75" customHeight="1">
      <c r="B775" s="616"/>
      <c r="C775" s="940"/>
      <c r="D775" s="663"/>
      <c r="E775" s="2546"/>
      <c r="F775" s="2546"/>
      <c r="G775" s="2546"/>
      <c r="H775" s="2546"/>
      <c r="I775" s="2546"/>
      <c r="J775" s="2546"/>
      <c r="K775" s="2546"/>
      <c r="L775" s="2546"/>
      <c r="M775" s="2546"/>
      <c r="N775" s="2546"/>
      <c r="O775" s="2546"/>
      <c r="P775" s="2546"/>
      <c r="Q775" s="2546"/>
      <c r="R775" s="2546"/>
      <c r="S775" s="2546"/>
      <c r="T775" s="2546"/>
      <c r="U775" s="2546"/>
      <c r="V775" s="2546"/>
      <c r="W775" s="2546"/>
      <c r="X775" s="2546"/>
      <c r="Y775" s="2546"/>
      <c r="Z775" s="2546"/>
      <c r="AA775" s="2546"/>
      <c r="AB775" s="2546"/>
      <c r="AC775" s="2546"/>
      <c r="AD775" s="2546"/>
      <c r="AE775" s="594"/>
      <c r="AF775" s="594"/>
      <c r="AG775" s="594"/>
      <c r="AH775" s="594"/>
      <c r="AI775" s="594"/>
      <c r="AJ775" s="594"/>
      <c r="AK775" s="594"/>
      <c r="AL775" s="594"/>
      <c r="AM775" s="613"/>
      <c r="AN775" s="597"/>
    </row>
    <row r="776" spans="1:81" s="550" customFormat="1" ht="12.75" customHeight="1">
      <c r="B776" s="616"/>
      <c r="C776" s="940"/>
      <c r="D776" s="663"/>
      <c r="E776" s="2546"/>
      <c r="F776" s="2546"/>
      <c r="G776" s="2546"/>
      <c r="H776" s="2546"/>
      <c r="I776" s="2546"/>
      <c r="J776" s="2546"/>
      <c r="K776" s="2546"/>
      <c r="L776" s="2546"/>
      <c r="M776" s="2546"/>
      <c r="N776" s="2546"/>
      <c r="O776" s="2546"/>
      <c r="P776" s="2546"/>
      <c r="Q776" s="2546"/>
      <c r="R776" s="2546"/>
      <c r="S776" s="2546"/>
      <c r="T776" s="2546"/>
      <c r="U776" s="2546"/>
      <c r="V776" s="2546"/>
      <c r="W776" s="2546"/>
      <c r="X776" s="2546"/>
      <c r="Y776" s="2546"/>
      <c r="Z776" s="2546"/>
      <c r="AA776" s="2546"/>
      <c r="AB776" s="2546"/>
      <c r="AC776" s="2546"/>
      <c r="AD776" s="2546"/>
      <c r="AE776" s="594"/>
      <c r="AF776" s="594"/>
      <c r="AG776" s="594"/>
      <c r="AH776" s="594"/>
      <c r="AI776" s="594"/>
      <c r="AJ776" s="594"/>
      <c r="AK776" s="594"/>
      <c r="AL776" s="594"/>
      <c r="AM776" s="613"/>
      <c r="AN776" s="597"/>
    </row>
    <row r="777" spans="1:81" s="550" customFormat="1" ht="12.75" customHeight="1">
      <c r="B777" s="616"/>
      <c r="C777" s="940"/>
      <c r="D777" s="663"/>
      <c r="E777" s="2546"/>
      <c r="F777" s="2546"/>
      <c r="G777" s="2546"/>
      <c r="H777" s="2546"/>
      <c r="I777" s="2546"/>
      <c r="J777" s="2546"/>
      <c r="K777" s="2546"/>
      <c r="L777" s="2546"/>
      <c r="M777" s="2546"/>
      <c r="N777" s="2546"/>
      <c r="O777" s="2546"/>
      <c r="P777" s="2546"/>
      <c r="Q777" s="2546"/>
      <c r="R777" s="2546"/>
      <c r="S777" s="2546"/>
      <c r="T777" s="2546"/>
      <c r="U777" s="2546"/>
      <c r="V777" s="2546"/>
      <c r="W777" s="2546"/>
      <c r="X777" s="2546"/>
      <c r="Y777" s="2546"/>
      <c r="Z777" s="2546"/>
      <c r="AA777" s="2546"/>
      <c r="AB777" s="2546"/>
      <c r="AC777" s="2546"/>
      <c r="AD777" s="2546"/>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36" t="s">
        <v>591</v>
      </c>
      <c r="I779" s="2536"/>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87">
        <f>VLOOKUP($H$779,$AO$769:$AP$771,2,FALSE)</f>
        <v>0</v>
      </c>
      <c r="AK781" s="2489"/>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507" t="s">
        <v>2033</v>
      </c>
      <c r="F785" s="2507"/>
      <c r="G785" s="2507"/>
      <c r="H785" s="2507"/>
      <c r="I785" s="2507"/>
      <c r="J785" s="2507"/>
      <c r="K785" s="2507"/>
      <c r="L785" s="2507"/>
      <c r="M785" s="2507"/>
      <c r="N785" s="2507"/>
      <c r="O785" s="2507"/>
      <c r="P785" s="2507"/>
      <c r="Q785" s="2507"/>
      <c r="R785" s="2507"/>
      <c r="S785" s="2507"/>
      <c r="T785" s="2507"/>
      <c r="U785" s="2507"/>
      <c r="V785" s="2507"/>
      <c r="W785" s="2507"/>
      <c r="X785" s="2507"/>
      <c r="Y785" s="2507"/>
      <c r="Z785" s="2507"/>
      <c r="AA785" s="2507"/>
      <c r="AB785" s="2507"/>
      <c r="AC785" s="2507"/>
      <c r="AD785" s="2507"/>
      <c r="AE785" s="536"/>
      <c r="AF785" s="2452" t="s">
        <v>1352</v>
      </c>
      <c r="AG785" s="2452"/>
      <c r="AH785" s="2452"/>
      <c r="AI785" s="2452"/>
      <c r="AJ785" s="2452"/>
      <c r="AK785" s="2452"/>
      <c r="AL785" s="2452"/>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507"/>
      <c r="F786" s="2507"/>
      <c r="G786" s="2507"/>
      <c r="H786" s="2507"/>
      <c r="I786" s="2507"/>
      <c r="J786" s="2507"/>
      <c r="K786" s="2507"/>
      <c r="L786" s="2507"/>
      <c r="M786" s="2507"/>
      <c r="N786" s="2507"/>
      <c r="O786" s="2507"/>
      <c r="P786" s="2507"/>
      <c r="Q786" s="2507"/>
      <c r="R786" s="2507"/>
      <c r="S786" s="2507"/>
      <c r="T786" s="2507"/>
      <c r="U786" s="2507"/>
      <c r="V786" s="2507"/>
      <c r="W786" s="2507"/>
      <c r="X786" s="2507"/>
      <c r="Y786" s="2507"/>
      <c r="Z786" s="2507"/>
      <c r="AA786" s="2507"/>
      <c r="AB786" s="2507"/>
      <c r="AC786" s="2507"/>
      <c r="AD786" s="2507"/>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7"/>
      <c r="F787" s="2507"/>
      <c r="G787" s="2507"/>
      <c r="H787" s="2507"/>
      <c r="I787" s="2507"/>
      <c r="J787" s="2507"/>
      <c r="K787" s="2507"/>
      <c r="L787" s="2507"/>
      <c r="M787" s="2507"/>
      <c r="N787" s="2507"/>
      <c r="O787" s="2507"/>
      <c r="P787" s="2507"/>
      <c r="Q787" s="2507"/>
      <c r="R787" s="2507"/>
      <c r="S787" s="2507"/>
      <c r="T787" s="2507"/>
      <c r="U787" s="2507"/>
      <c r="V787" s="2507"/>
      <c r="W787" s="2507"/>
      <c r="X787" s="2507"/>
      <c r="Y787" s="2507"/>
      <c r="Z787" s="2507"/>
      <c r="AA787" s="2507"/>
      <c r="AB787" s="2507"/>
      <c r="AC787" s="2507"/>
      <c r="AD787" s="2507"/>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7"/>
      <c r="F788" s="2507"/>
      <c r="G788" s="2507"/>
      <c r="H788" s="2507"/>
      <c r="I788" s="2507"/>
      <c r="J788" s="2507"/>
      <c r="K788" s="2507"/>
      <c r="L788" s="2507"/>
      <c r="M788" s="2507"/>
      <c r="N788" s="2507"/>
      <c r="O788" s="2507"/>
      <c r="P788" s="2507"/>
      <c r="Q788" s="2507"/>
      <c r="R788" s="2507"/>
      <c r="S788" s="2507"/>
      <c r="T788" s="2507"/>
      <c r="U788" s="2507"/>
      <c r="V788" s="2507"/>
      <c r="W788" s="2507"/>
      <c r="X788" s="2507"/>
      <c r="Y788" s="2507"/>
      <c r="Z788" s="2507"/>
      <c r="AA788" s="2507"/>
      <c r="AB788" s="2507"/>
      <c r="AC788" s="2507"/>
      <c r="AD788" s="2507"/>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36" t="s">
        <v>591</v>
      </c>
      <c r="I790" s="2536"/>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87">
        <f>VLOOKUP($H$790,$AO$784:$AP$785,2,FALSE)</f>
        <v>0</v>
      </c>
      <c r="AK792" s="2489"/>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87">
        <f>IF(($AJ$621+$AJ$640+$AJ$652+$AJ$687+$AJ$711+$AJ$725+$AJ$737+$AJ$753+$AJ$765+$AJ$781+AJ792)&gt;10,10,($AJ$621+$AJ$640+$AJ$652+$AJ$687+$AJ$711+$AJ$725+$AJ$737+$AJ$753+$AJ$765+$AJ$781+AJ792))</f>
        <v>10</v>
      </c>
      <c r="AL794" s="2488"/>
      <c r="AM794" s="2489"/>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80" t="s">
        <v>1568</v>
      </c>
      <c r="B797" s="2581"/>
      <c r="C797" s="2581"/>
      <c r="D797" s="2581"/>
      <c r="E797" s="2581"/>
      <c r="F797" s="2581"/>
      <c r="G797" s="2581"/>
      <c r="H797" s="2581"/>
      <c r="I797" s="2581"/>
      <c r="J797" s="2581"/>
      <c r="K797" s="2581"/>
      <c r="L797" s="2581"/>
      <c r="M797" s="2581"/>
      <c r="N797" s="2581"/>
      <c r="O797" s="2581"/>
      <c r="P797" s="2581"/>
      <c r="Q797" s="2581"/>
      <c r="R797" s="2581"/>
      <c r="S797" s="2581"/>
      <c r="T797" s="2581"/>
      <c r="U797" s="2581"/>
      <c r="V797" s="2581"/>
      <c r="W797" s="2581"/>
      <c r="X797" s="2581"/>
      <c r="Y797" s="2581"/>
      <c r="Z797" s="2581"/>
      <c r="AA797" s="2581"/>
      <c r="AB797" s="2581"/>
      <c r="AC797" s="2581"/>
      <c r="AD797" s="2581"/>
      <c r="AE797" s="2581"/>
      <c r="AF797" s="2581"/>
      <c r="AG797" s="2581"/>
      <c r="AH797" s="2581"/>
      <c r="AI797" s="2581"/>
      <c r="AJ797" s="2581"/>
      <c r="AK797" s="2581"/>
      <c r="AL797" s="2581"/>
      <c r="AM797" s="2581"/>
    </row>
    <row r="798" spans="1:81">
      <c r="A798" s="2582"/>
      <c r="B798" s="2582"/>
      <c r="C798" s="2582"/>
      <c r="D798" s="2582"/>
      <c r="E798" s="2582"/>
      <c r="F798" s="2582"/>
      <c r="G798" s="2582"/>
      <c r="H798" s="2582"/>
      <c r="I798" s="2582"/>
      <c r="J798" s="2582"/>
      <c r="K798" s="2582"/>
      <c r="L798" s="2582"/>
      <c r="M798" s="2582"/>
      <c r="N798" s="2582"/>
      <c r="O798" s="2582"/>
      <c r="P798" s="2582"/>
      <c r="Q798" s="2582"/>
      <c r="R798" s="2582"/>
      <c r="S798" s="2582"/>
      <c r="T798" s="2582"/>
      <c r="U798" s="2582"/>
      <c r="V798" s="2582"/>
      <c r="W798" s="2582"/>
      <c r="X798" s="2582"/>
      <c r="Y798" s="2582"/>
      <c r="Z798" s="2582"/>
      <c r="AA798" s="2582"/>
      <c r="AB798" s="2582"/>
      <c r="AC798" s="2582"/>
      <c r="AD798" s="2582"/>
      <c r="AE798" s="2582"/>
      <c r="AF798" s="2582"/>
      <c r="AG798" s="2582"/>
      <c r="AH798" s="2582"/>
      <c r="AI798" s="2582"/>
      <c r="AJ798" s="2582"/>
      <c r="AK798" s="2582"/>
      <c r="AL798" s="2582"/>
      <c r="AM798" s="2582"/>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8"/>
      <c r="B800" s="2528"/>
      <c r="C800" s="2528"/>
      <c r="D800" s="2528"/>
      <c r="E800" s="2528"/>
      <c r="F800" s="2528"/>
      <c r="G800" s="2528"/>
      <c r="H800" s="2528"/>
      <c r="I800" s="2528"/>
      <c r="J800" s="2528"/>
      <c r="K800" s="2528"/>
      <c r="L800" s="2528"/>
      <c r="M800" s="2528"/>
      <c r="N800" s="2528"/>
      <c r="O800" s="2528"/>
      <c r="P800" s="2528"/>
      <c r="Q800" s="2528"/>
      <c r="R800" s="2528"/>
      <c r="S800" s="2528"/>
      <c r="T800" s="2528"/>
      <c r="U800" s="2528"/>
      <c r="V800" s="2528"/>
      <c r="W800" s="2528"/>
      <c r="X800" s="2528"/>
      <c r="Y800" s="2528"/>
      <c r="Z800" s="2528"/>
      <c r="AA800" s="2528"/>
      <c r="AB800" s="2528"/>
      <c r="AC800" s="2528"/>
      <c r="AD800" s="2528"/>
      <c r="AE800" s="2528"/>
      <c r="AF800" s="2528"/>
      <c r="AG800" s="2528"/>
      <c r="AH800" s="2528"/>
      <c r="AI800" s="2528"/>
      <c r="AJ800" s="2528"/>
      <c r="AK800" s="2528"/>
      <c r="AL800" s="2528"/>
      <c r="AM800" s="2528"/>
      <c r="AP800" s="816"/>
      <c r="AQ800" s="816"/>
    </row>
    <row r="801" spans="1:81">
      <c r="A801" s="2528"/>
      <c r="B801" s="2528"/>
      <c r="C801" s="2528"/>
      <c r="D801" s="2528"/>
      <c r="E801" s="2528"/>
      <c r="F801" s="2528"/>
      <c r="G801" s="2528"/>
      <c r="H801" s="2528"/>
      <c r="I801" s="2528"/>
      <c r="J801" s="2528"/>
      <c r="K801" s="2528"/>
      <c r="L801" s="2528"/>
      <c r="M801" s="2528"/>
      <c r="N801" s="2528"/>
      <c r="O801" s="2528"/>
      <c r="P801" s="2528"/>
      <c r="Q801" s="2528"/>
      <c r="R801" s="2528"/>
      <c r="S801" s="2528"/>
      <c r="T801" s="2528"/>
      <c r="U801" s="2528"/>
      <c r="V801" s="2528"/>
      <c r="W801" s="2528"/>
      <c r="X801" s="2528"/>
      <c r="Y801" s="2528"/>
      <c r="Z801" s="2528"/>
      <c r="AA801" s="2528"/>
      <c r="AB801" s="2528"/>
      <c r="AC801" s="2528"/>
      <c r="AD801" s="2528"/>
      <c r="AE801" s="2528"/>
      <c r="AF801" s="2528"/>
      <c r="AG801" s="2528"/>
      <c r="AH801" s="2528"/>
      <c r="AI801" s="2528"/>
      <c r="AJ801" s="2528"/>
      <c r="AK801" s="2528"/>
      <c r="AL801" s="2528"/>
      <c r="AM801" s="2528"/>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83" t="s">
        <v>1569</v>
      </c>
      <c r="U802" s="2584"/>
      <c r="V802" s="2584"/>
      <c r="W802" s="2584"/>
      <c r="X802" s="2584"/>
      <c r="Y802" s="2585"/>
      <c r="Z802" s="2583" t="s">
        <v>1570</v>
      </c>
      <c r="AA802" s="2584"/>
      <c r="AB802" s="2584"/>
      <c r="AC802" s="2584"/>
      <c r="AD802" s="2584"/>
      <c r="AE802" s="2585"/>
      <c r="AF802" s="2583" t="s">
        <v>1571</v>
      </c>
      <c r="AG802" s="2584"/>
      <c r="AH802" s="2584"/>
      <c r="AI802" s="2584"/>
      <c r="AJ802" s="2584"/>
      <c r="AK802" s="2585"/>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6"/>
      <c r="U803" s="2587"/>
      <c r="V803" s="2587"/>
      <c r="W803" s="2587"/>
      <c r="X803" s="2587"/>
      <c r="Y803" s="2588"/>
      <c r="Z803" s="2586"/>
      <c r="AA803" s="2587"/>
      <c r="AB803" s="2587"/>
      <c r="AC803" s="2587"/>
      <c r="AD803" s="2587"/>
      <c r="AE803" s="2588"/>
      <c r="AF803" s="2586"/>
      <c r="AG803" s="2587"/>
      <c r="AH803" s="2587"/>
      <c r="AI803" s="2587"/>
      <c r="AJ803" s="2587"/>
      <c r="AK803" s="2588"/>
      <c r="AL803" s="818"/>
      <c r="AM803" s="596"/>
      <c r="AO803" s="816"/>
      <c r="AP803" s="816"/>
      <c r="AQ803" s="816"/>
    </row>
    <row r="804" spans="1:81">
      <c r="A804" s="819" t="s">
        <v>757</v>
      </c>
      <c r="B804" s="2563" t="s">
        <v>1304</v>
      </c>
      <c r="C804" s="2563"/>
      <c r="D804" s="2563"/>
      <c r="E804" s="2563"/>
      <c r="F804" s="2563"/>
      <c r="G804" s="2563"/>
      <c r="H804" s="2563"/>
      <c r="I804" s="2563"/>
      <c r="J804" s="2563"/>
      <c r="K804" s="2563"/>
      <c r="L804" s="2563"/>
      <c r="M804" s="2563"/>
      <c r="N804" s="2563"/>
      <c r="O804" s="2563"/>
      <c r="P804" s="2563"/>
      <c r="Q804" s="2563"/>
      <c r="R804" s="2563"/>
      <c r="S804" s="2564"/>
      <c r="T804" s="2565">
        <f>AK62</f>
        <v>0</v>
      </c>
      <c r="U804" s="2566"/>
      <c r="V804" s="2566"/>
      <c r="W804" s="2566"/>
      <c r="X804" s="2566"/>
      <c r="Y804" s="2567"/>
      <c r="Z804" s="2568">
        <v>20</v>
      </c>
      <c r="AA804" s="2566"/>
      <c r="AB804" s="2566"/>
      <c r="AC804" s="2566"/>
      <c r="AD804" s="2566"/>
      <c r="AE804" s="2567"/>
      <c r="AF804" s="2549">
        <f>IF(T804&gt;Z804,Z804,T804)</f>
        <v>0</v>
      </c>
      <c r="AG804" s="2549"/>
      <c r="AH804" s="2549"/>
      <c r="AI804" s="2549"/>
      <c r="AJ804" s="2549"/>
      <c r="AK804" s="2549"/>
      <c r="AL804" s="818"/>
      <c r="AM804" s="596"/>
      <c r="AO804" s="816"/>
      <c r="AP804" s="816"/>
      <c r="AQ804" s="816"/>
    </row>
    <row r="805" spans="1:81">
      <c r="A805" s="819" t="s">
        <v>1541</v>
      </c>
      <c r="B805" s="2563" t="s">
        <v>1313</v>
      </c>
      <c r="C805" s="2563"/>
      <c r="D805" s="2563"/>
      <c r="E805" s="2563"/>
      <c r="F805" s="2563"/>
      <c r="G805" s="2563"/>
      <c r="H805" s="2563"/>
      <c r="I805" s="2563"/>
      <c r="J805" s="2563"/>
      <c r="K805" s="2563"/>
      <c r="L805" s="2563"/>
      <c r="M805" s="2563"/>
      <c r="N805" s="2563"/>
      <c r="O805" s="2563"/>
      <c r="P805" s="2563"/>
      <c r="Q805" s="2563"/>
      <c r="R805" s="2563"/>
      <c r="S805" s="2564"/>
      <c r="T805" s="2565">
        <f>AK84</f>
        <v>10</v>
      </c>
      <c r="U805" s="2566"/>
      <c r="V805" s="2566"/>
      <c r="W805" s="2566"/>
      <c r="X805" s="2566"/>
      <c r="Y805" s="2567"/>
      <c r="Z805" s="2568">
        <v>10</v>
      </c>
      <c r="AA805" s="2566"/>
      <c r="AB805" s="2566"/>
      <c r="AC805" s="2566"/>
      <c r="AD805" s="2566"/>
      <c r="AE805" s="2567"/>
      <c r="AF805" s="2549">
        <f>IF(T805&gt;Z805,Z805,T805)</f>
        <v>10</v>
      </c>
      <c r="AG805" s="2549"/>
      <c r="AH805" s="2549"/>
      <c r="AI805" s="2549"/>
      <c r="AJ805" s="2549"/>
      <c r="AK805" s="2549"/>
      <c r="AL805" s="818"/>
      <c r="AM805" s="596"/>
      <c r="AO805" s="816"/>
      <c r="AP805" s="816"/>
      <c r="AQ805" s="816"/>
    </row>
    <row r="806" spans="1:81">
      <c r="A806" s="819" t="s">
        <v>1550</v>
      </c>
      <c r="B806" s="2563" t="s">
        <v>1323</v>
      </c>
      <c r="C806" s="2563"/>
      <c r="D806" s="2563"/>
      <c r="E806" s="2563"/>
      <c r="F806" s="2563"/>
      <c r="G806" s="2563"/>
      <c r="H806" s="2563"/>
      <c r="I806" s="2563"/>
      <c r="J806" s="2563"/>
      <c r="K806" s="2563"/>
      <c r="L806" s="2563"/>
      <c r="M806" s="2563"/>
      <c r="N806" s="2563"/>
      <c r="O806" s="2563"/>
      <c r="P806" s="2563"/>
      <c r="Q806" s="2563"/>
      <c r="R806" s="2563"/>
      <c r="S806" s="2564"/>
      <c r="T806" s="2565">
        <f ca="1">AK109</f>
        <v>20</v>
      </c>
      <c r="U806" s="2566"/>
      <c r="V806" s="2566"/>
      <c r="W806" s="2566"/>
      <c r="X806" s="2566"/>
      <c r="Y806" s="2567"/>
      <c r="Z806" s="2568">
        <v>20</v>
      </c>
      <c r="AA806" s="2566"/>
      <c r="AB806" s="2566"/>
      <c r="AC806" s="2566"/>
      <c r="AD806" s="2566"/>
      <c r="AE806" s="2567"/>
      <c r="AF806" s="2549">
        <f ca="1">IF(T806&gt;Z806,Z806,T806)</f>
        <v>20</v>
      </c>
      <c r="AG806" s="2549"/>
      <c r="AH806" s="2549"/>
      <c r="AI806" s="2549"/>
      <c r="AJ806" s="2549"/>
      <c r="AK806" s="2549"/>
      <c r="AL806" s="818"/>
      <c r="AM806" s="596"/>
      <c r="AO806" s="816"/>
      <c r="AP806" s="816"/>
      <c r="AQ806" s="816"/>
    </row>
    <row r="807" spans="1:81">
      <c r="A807" s="819" t="s">
        <v>1572</v>
      </c>
      <c r="B807" s="2563" t="s">
        <v>1333</v>
      </c>
      <c r="C807" s="2563"/>
      <c r="D807" s="2563"/>
      <c r="E807" s="2563"/>
      <c r="F807" s="2563"/>
      <c r="G807" s="2563"/>
      <c r="H807" s="2563"/>
      <c r="I807" s="2563"/>
      <c r="J807" s="2563"/>
      <c r="K807" s="2563"/>
      <c r="L807" s="2563"/>
      <c r="M807" s="2563"/>
      <c r="N807" s="2563"/>
      <c r="O807" s="2563"/>
      <c r="P807" s="2563"/>
      <c r="Q807" s="2563"/>
      <c r="R807" s="2563"/>
      <c r="S807" s="2564"/>
      <c r="T807" s="2565">
        <f>AK143</f>
        <v>10</v>
      </c>
      <c r="U807" s="2566"/>
      <c r="V807" s="2566"/>
      <c r="W807" s="2566"/>
      <c r="X807" s="2566"/>
      <c r="Y807" s="2567"/>
      <c r="Z807" s="2568">
        <v>10</v>
      </c>
      <c r="AA807" s="2566"/>
      <c r="AB807" s="2566"/>
      <c r="AC807" s="2566"/>
      <c r="AD807" s="2566"/>
      <c r="AE807" s="2567"/>
      <c r="AF807" s="2549">
        <f>IF(T807&gt;Z807,Z807,T807)</f>
        <v>10</v>
      </c>
      <c r="AG807" s="2549"/>
      <c r="AH807" s="2549"/>
      <c r="AI807" s="2549"/>
      <c r="AJ807" s="2549"/>
      <c r="AK807" s="2549"/>
      <c r="AL807" s="818"/>
      <c r="AM807" s="596"/>
      <c r="AO807" s="816"/>
      <c r="AP807" s="816"/>
      <c r="AQ807" s="816"/>
    </row>
    <row r="808" spans="1:81">
      <c r="A808" s="820" t="s">
        <v>1573</v>
      </c>
      <c r="B808" s="2563" t="s">
        <v>1574</v>
      </c>
      <c r="C808" s="2563"/>
      <c r="D808" s="2563"/>
      <c r="E808" s="2563"/>
      <c r="F808" s="2563"/>
      <c r="G808" s="2563"/>
      <c r="H808" s="2563"/>
      <c r="I808" s="2563"/>
      <c r="J808" s="2563"/>
      <c r="K808" s="2563"/>
      <c r="L808" s="2563"/>
      <c r="M808" s="2563"/>
      <c r="N808" s="2563"/>
      <c r="O808" s="2563"/>
      <c r="P808" s="2563"/>
      <c r="Q808" s="2563"/>
      <c r="R808" s="2563"/>
      <c r="S808" s="2564"/>
      <c r="T808" s="2589">
        <f>SUM(T809:Y810)</f>
        <v>10</v>
      </c>
      <c r="U808" s="2589"/>
      <c r="V808" s="2589"/>
      <c r="W808" s="2589"/>
      <c r="X808" s="2589"/>
      <c r="Y808" s="2589"/>
      <c r="Z808" s="2549">
        <v>10</v>
      </c>
      <c r="AA808" s="2549"/>
      <c r="AB808" s="2549"/>
      <c r="AC808" s="2549"/>
      <c r="AD808" s="2549"/>
      <c r="AE808" s="2549"/>
      <c r="AF808" s="2549">
        <f>IF(T808&gt;Z808,Z808,T808)</f>
        <v>10</v>
      </c>
      <c r="AG808" s="2549"/>
      <c r="AH808" s="2549"/>
      <c r="AI808" s="2549"/>
      <c r="AJ808" s="2549"/>
      <c r="AK808" s="2549"/>
      <c r="AL808" s="818"/>
      <c r="AM808" s="596"/>
    </row>
    <row r="809" spans="1:81">
      <c r="A809" s="535"/>
      <c r="B809" s="601"/>
      <c r="C809" s="2590" t="s">
        <v>1575</v>
      </c>
      <c r="D809" s="2590"/>
      <c r="E809" s="2590"/>
      <c r="F809" s="2590"/>
      <c r="G809" s="2590"/>
      <c r="H809" s="2590"/>
      <c r="I809" s="2590"/>
      <c r="J809" s="2590"/>
      <c r="K809" s="2590"/>
      <c r="L809" s="2590"/>
      <c r="M809" s="2590"/>
      <c r="N809" s="2590"/>
      <c r="O809" s="2590"/>
      <c r="P809" s="2590"/>
      <c r="Q809" s="2590"/>
      <c r="R809" s="2590"/>
      <c r="S809" s="2591"/>
      <c r="T809" s="2482">
        <f>AJ166</f>
        <v>7</v>
      </c>
      <c r="U809" s="2482"/>
      <c r="V809" s="2482"/>
      <c r="W809" s="2482"/>
      <c r="X809" s="2482"/>
      <c r="Y809" s="2482"/>
      <c r="Z809" s="2483">
        <v>7</v>
      </c>
      <c r="AA809" s="2483"/>
      <c r="AB809" s="2483"/>
      <c r="AC809" s="2483"/>
      <c r="AD809" s="2483"/>
      <c r="AE809" s="2483"/>
      <c r="AF809" s="2592"/>
      <c r="AG809" s="2592"/>
      <c r="AH809" s="2592"/>
      <c r="AI809" s="2592"/>
      <c r="AJ809" s="2592"/>
      <c r="AK809" s="2592"/>
      <c r="AL809" s="818"/>
      <c r="AM809" s="596"/>
    </row>
    <row r="810" spans="1:81">
      <c r="A810" s="600"/>
      <c r="B810" s="601"/>
      <c r="C810" s="2590" t="s">
        <v>1576</v>
      </c>
      <c r="D810" s="2590"/>
      <c r="E810" s="2590"/>
      <c r="F810" s="2590"/>
      <c r="G810" s="2590"/>
      <c r="H810" s="2590"/>
      <c r="I810" s="2590"/>
      <c r="J810" s="2590"/>
      <c r="K810" s="2590"/>
      <c r="L810" s="2590"/>
      <c r="M810" s="2590"/>
      <c r="N810" s="2590"/>
      <c r="O810" s="2590"/>
      <c r="P810" s="2590"/>
      <c r="Q810" s="2590"/>
      <c r="R810" s="2590"/>
      <c r="S810" s="2591"/>
      <c r="T810" s="2482">
        <f>AJ180</f>
        <v>3</v>
      </c>
      <c r="U810" s="2482"/>
      <c r="V810" s="2482"/>
      <c r="W810" s="2482"/>
      <c r="X810" s="2482"/>
      <c r="Y810" s="2482"/>
      <c r="Z810" s="2483">
        <v>3</v>
      </c>
      <c r="AA810" s="2483"/>
      <c r="AB810" s="2483"/>
      <c r="AC810" s="2483"/>
      <c r="AD810" s="2483"/>
      <c r="AE810" s="2483"/>
      <c r="AF810" s="2592"/>
      <c r="AG810" s="2592"/>
      <c r="AH810" s="2592"/>
      <c r="AI810" s="2592"/>
      <c r="AJ810" s="2592"/>
      <c r="AK810" s="2592"/>
      <c r="AL810" s="818"/>
      <c r="AM810" s="596"/>
      <c r="AO810" s="550"/>
    </row>
    <row r="811" spans="1:81">
      <c r="A811" s="820" t="s">
        <v>1361</v>
      </c>
      <c r="B811" s="2563" t="s">
        <v>1577</v>
      </c>
      <c r="C811" s="2563"/>
      <c r="D811" s="2563"/>
      <c r="E811" s="2563"/>
      <c r="F811" s="2563"/>
      <c r="G811" s="2563"/>
      <c r="H811" s="2563"/>
      <c r="I811" s="2563"/>
      <c r="J811" s="2563"/>
      <c r="K811" s="2563"/>
      <c r="L811" s="2563"/>
      <c r="M811" s="2563"/>
      <c r="N811" s="2563"/>
      <c r="O811" s="2563"/>
      <c r="P811" s="2563"/>
      <c r="Q811" s="2563"/>
      <c r="R811" s="2563"/>
      <c r="S811" s="2564"/>
      <c r="T811" s="2589">
        <f>AK191</f>
        <v>10</v>
      </c>
      <c r="U811" s="2589"/>
      <c r="V811" s="2589"/>
      <c r="W811" s="2589"/>
      <c r="X811" s="2589"/>
      <c r="Y811" s="2589"/>
      <c r="Z811" s="2549">
        <v>10</v>
      </c>
      <c r="AA811" s="2549"/>
      <c r="AB811" s="2549"/>
      <c r="AC811" s="2549"/>
      <c r="AD811" s="2549"/>
      <c r="AE811" s="2549"/>
      <c r="AF811" s="2549">
        <f>IF(T811&gt;Z811,Z811,T811)</f>
        <v>10</v>
      </c>
      <c r="AG811" s="2549"/>
      <c r="AH811" s="2549"/>
      <c r="AI811" s="2549"/>
      <c r="AJ811" s="2549"/>
      <c r="AK811" s="2549"/>
      <c r="AL811" s="818"/>
      <c r="AM811" s="596"/>
    </row>
    <row r="812" spans="1:81">
      <c r="A812" s="819" t="s">
        <v>1370</v>
      </c>
      <c r="B812" s="2563" t="s">
        <v>1371</v>
      </c>
      <c r="C812" s="2563"/>
      <c r="D812" s="2563"/>
      <c r="E812" s="2563"/>
      <c r="F812" s="2563"/>
      <c r="G812" s="2563"/>
      <c r="H812" s="2563"/>
      <c r="I812" s="2563"/>
      <c r="J812" s="2563"/>
      <c r="K812" s="2563"/>
      <c r="L812" s="2563"/>
      <c r="M812" s="2563"/>
      <c r="N812" s="2563"/>
      <c r="O812" s="2563"/>
      <c r="P812" s="2563"/>
      <c r="Q812" s="2563"/>
      <c r="R812" s="2563"/>
      <c r="S812" s="2564"/>
      <c r="T812" s="2589">
        <f>AK273</f>
        <v>8</v>
      </c>
      <c r="U812" s="2589"/>
      <c r="V812" s="2589"/>
      <c r="W812" s="2589"/>
      <c r="X812" s="2589"/>
      <c r="Y812" s="2589"/>
      <c r="Z812" s="2568">
        <v>8</v>
      </c>
      <c r="AA812" s="2566"/>
      <c r="AB812" s="2566"/>
      <c r="AC812" s="2566"/>
      <c r="AD812" s="2566"/>
      <c r="AE812" s="2567"/>
      <c r="AF812" s="2549">
        <f>IF(T812&gt;Z812,Z812,T812)</f>
        <v>8</v>
      </c>
      <c r="AG812" s="2549"/>
      <c r="AH812" s="2549"/>
      <c r="AI812" s="2549"/>
      <c r="AJ812" s="2549"/>
      <c r="AK812" s="2549"/>
      <c r="AL812" s="818"/>
      <c r="AM812" s="596"/>
    </row>
    <row r="813" spans="1:81" s="534" customFormat="1" hidden="1">
      <c r="A813" s="820" t="s">
        <v>589</v>
      </c>
      <c r="B813" s="2563" t="s">
        <v>1578</v>
      </c>
      <c r="C813" s="2563"/>
      <c r="D813" s="2563"/>
      <c r="E813" s="2563"/>
      <c r="F813" s="2563"/>
      <c r="G813" s="2563"/>
      <c r="H813" s="2563"/>
      <c r="I813" s="2563"/>
      <c r="J813" s="2563"/>
      <c r="K813" s="2563"/>
      <c r="L813" s="2563"/>
      <c r="M813" s="2563"/>
      <c r="N813" s="2563"/>
      <c r="O813" s="2563"/>
      <c r="P813" s="2563"/>
      <c r="Q813" s="2563"/>
      <c r="R813" s="2563"/>
      <c r="S813" s="2564"/>
      <c r="T813" s="2589">
        <f>IF(AK535&gt;5,5,AK535)</f>
        <v>0</v>
      </c>
      <c r="U813" s="2589"/>
      <c r="V813" s="2589"/>
      <c r="W813" s="2589"/>
      <c r="X813" s="2589"/>
      <c r="Y813" s="2589"/>
      <c r="Z813" s="2549">
        <v>5</v>
      </c>
      <c r="AA813" s="2549"/>
      <c r="AB813" s="2549"/>
      <c r="AC813" s="2549"/>
      <c r="AD813" s="2549"/>
      <c r="AE813" s="2549"/>
      <c r="AF813" s="2549">
        <f>IF(T813&gt;Z813,5,T813)</f>
        <v>0</v>
      </c>
      <c r="AG813" s="2549"/>
      <c r="AH813" s="2549"/>
      <c r="AI813" s="2549"/>
      <c r="AJ813" s="2549"/>
      <c r="AK813" s="2549"/>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63" t="s">
        <v>1579</v>
      </c>
      <c r="C814" s="2563"/>
      <c r="D814" s="2563"/>
      <c r="E814" s="2563"/>
      <c r="F814" s="2563"/>
      <c r="G814" s="2563"/>
      <c r="H814" s="2563"/>
      <c r="I814" s="2563"/>
      <c r="J814" s="2563"/>
      <c r="K814" s="2563"/>
      <c r="L814" s="2563"/>
      <c r="M814" s="2563"/>
      <c r="N814" s="2563"/>
      <c r="O814" s="2563"/>
      <c r="P814" s="2563"/>
      <c r="Q814" s="2563"/>
      <c r="R814" s="2563"/>
      <c r="S814" s="2564"/>
      <c r="T814" s="2589">
        <f>AK285</f>
        <v>10</v>
      </c>
      <c r="U814" s="2589"/>
      <c r="V814" s="2589"/>
      <c r="W814" s="2589"/>
      <c r="X814" s="2589"/>
      <c r="Y814" s="2589"/>
      <c r="Z814" s="2549">
        <v>10</v>
      </c>
      <c r="AA814" s="2549"/>
      <c r="AB814" s="2549"/>
      <c r="AC814" s="2549"/>
      <c r="AD814" s="2549"/>
      <c r="AE814" s="2549"/>
      <c r="AF814" s="2595">
        <f>IF(T814&gt;Z814,Z814,T814)</f>
        <v>10</v>
      </c>
      <c r="AG814" s="2596"/>
      <c r="AH814" s="2596"/>
      <c r="AI814" s="2596"/>
      <c r="AJ814" s="2596"/>
      <c r="AK814" s="2597"/>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63" t="s">
        <v>1381</v>
      </c>
      <c r="C815" s="2563"/>
      <c r="D815" s="2563"/>
      <c r="E815" s="2563"/>
      <c r="F815" s="2563"/>
      <c r="G815" s="2563"/>
      <c r="H815" s="2563"/>
      <c r="I815" s="2563"/>
      <c r="J815" s="2563"/>
      <c r="K815" s="2563"/>
      <c r="L815" s="2563"/>
      <c r="M815" s="2563"/>
      <c r="N815" s="2563"/>
      <c r="O815" s="2563"/>
      <c r="P815" s="2563"/>
      <c r="Q815" s="2563"/>
      <c r="R815" s="2563"/>
      <c r="S815" s="2564"/>
      <c r="T815" s="2589">
        <f>AK338</f>
        <v>9</v>
      </c>
      <c r="U815" s="2589"/>
      <c r="V815" s="2589"/>
      <c r="W815" s="2589"/>
      <c r="X815" s="2589"/>
      <c r="Y815" s="2589"/>
      <c r="Z815" s="2595">
        <v>10</v>
      </c>
      <c r="AA815" s="2596"/>
      <c r="AB815" s="2596"/>
      <c r="AC815" s="2596"/>
      <c r="AD815" s="2596"/>
      <c r="AE815" s="2597"/>
      <c r="AF815" s="2595">
        <f>IF(T815&gt;Z815,Z815,T815)</f>
        <v>9</v>
      </c>
      <c r="AG815" s="2596"/>
      <c r="AH815" s="2596"/>
      <c r="AI815" s="2596"/>
      <c r="AJ815" s="2596"/>
      <c r="AK815" s="2597"/>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82">
        <f>AK338</f>
        <v>9</v>
      </c>
      <c r="U816" s="2482"/>
      <c r="V816" s="2482"/>
      <c r="W816" s="2482"/>
      <c r="X816" s="2482"/>
      <c r="Y816" s="2482"/>
      <c r="Z816" s="2487">
        <v>20</v>
      </c>
      <c r="AA816" s="2488"/>
      <c r="AB816" s="2488"/>
      <c r="AC816" s="2488"/>
      <c r="AD816" s="2488"/>
      <c r="AE816" s="2489"/>
      <c r="AF816" s="2592"/>
      <c r="AG816" s="2592"/>
      <c r="AH816" s="2592"/>
      <c r="AI816" s="2592"/>
      <c r="AJ816" s="2592"/>
      <c r="AK816" s="2592"/>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63" t="s">
        <v>845</v>
      </c>
      <c r="C817" s="2563"/>
      <c r="D817" s="2563"/>
      <c r="E817" s="2563"/>
      <c r="F817" s="2563"/>
      <c r="G817" s="2563"/>
      <c r="H817" s="2563"/>
      <c r="I817" s="2563"/>
      <c r="J817" s="2563"/>
      <c r="K817" s="2563"/>
      <c r="L817" s="2563"/>
      <c r="M817" s="2563"/>
      <c r="N817" s="2563"/>
      <c r="O817" s="2563"/>
      <c r="P817" s="2563"/>
      <c r="Q817" s="2563"/>
      <c r="R817" s="2563"/>
      <c r="S817" s="2564"/>
      <c r="T817" s="2589">
        <f>AK469</f>
        <v>10</v>
      </c>
      <c r="U817" s="2589"/>
      <c r="V817" s="2589"/>
      <c r="W817" s="2589"/>
      <c r="X817" s="2589"/>
      <c r="Y817" s="2589"/>
      <c r="Z817" s="2595">
        <v>10</v>
      </c>
      <c r="AA817" s="2596"/>
      <c r="AB817" s="2596"/>
      <c r="AC817" s="2596"/>
      <c r="AD817" s="2596"/>
      <c r="AE817" s="2597"/>
      <c r="AF817" s="2549">
        <f>IF(T817&gt;Z817,Z817,T817)</f>
        <v>10</v>
      </c>
      <c r="AG817" s="2549"/>
      <c r="AH817" s="2549"/>
      <c r="AI817" s="2549"/>
      <c r="AJ817" s="2549"/>
      <c r="AK817" s="2549"/>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63" t="s">
        <v>1559</v>
      </c>
      <c r="C818" s="2563"/>
      <c r="D818" s="2563"/>
      <c r="E818" s="2563"/>
      <c r="F818" s="2563"/>
      <c r="G818" s="2563"/>
      <c r="H818" s="2563"/>
      <c r="I818" s="2563"/>
      <c r="J818" s="2563"/>
      <c r="K818" s="2563"/>
      <c r="L818" s="2563"/>
      <c r="M818" s="2563"/>
      <c r="N818" s="2563"/>
      <c r="O818" s="2563"/>
      <c r="P818" s="2563"/>
      <c r="Q818" s="2563"/>
      <c r="R818" s="2563"/>
      <c r="S818" s="2564"/>
      <c r="T818" s="2589">
        <f>AK559</f>
        <v>12</v>
      </c>
      <c r="U818" s="2589"/>
      <c r="V818" s="2589"/>
      <c r="W818" s="2589"/>
      <c r="X818" s="2589"/>
      <c r="Y818" s="2589"/>
      <c r="Z818" s="2595">
        <v>12</v>
      </c>
      <c r="AA818" s="2596"/>
      <c r="AB818" s="2596"/>
      <c r="AC818" s="2596"/>
      <c r="AD818" s="2596"/>
      <c r="AE818" s="2597"/>
      <c r="AF818" s="2549">
        <f>IF(T818&gt;Z818,Z818,T818)</f>
        <v>12</v>
      </c>
      <c r="AG818" s="2549"/>
      <c r="AH818" s="2549"/>
      <c r="AI818" s="2549"/>
      <c r="AJ818" s="2549"/>
      <c r="AK818" s="2549"/>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63" t="s">
        <v>1581</v>
      </c>
      <c r="C819" s="2563"/>
      <c r="D819" s="2563"/>
      <c r="E819" s="2563"/>
      <c r="F819" s="2563"/>
      <c r="G819" s="2563"/>
      <c r="H819" s="2563"/>
      <c r="I819" s="2563"/>
      <c r="J819" s="2563"/>
      <c r="K819" s="2563"/>
      <c r="L819" s="2563"/>
      <c r="M819" s="2563"/>
      <c r="N819" s="2563"/>
      <c r="O819" s="2563"/>
      <c r="P819" s="2563"/>
      <c r="Q819" s="2563"/>
      <c r="R819" s="2563"/>
      <c r="S819" s="2564"/>
      <c r="T819" s="2589">
        <f>AK794</f>
        <v>10</v>
      </c>
      <c r="U819" s="2589"/>
      <c r="V819" s="2589"/>
      <c r="W819" s="2589"/>
      <c r="X819" s="2589"/>
      <c r="Y819" s="2589"/>
      <c r="Z819" s="2595">
        <v>10</v>
      </c>
      <c r="AA819" s="2596"/>
      <c r="AB819" s="2596"/>
      <c r="AC819" s="2596"/>
      <c r="AD819" s="2596"/>
      <c r="AE819" s="2597"/>
      <c r="AF819" s="2549">
        <f>IF(T819&gt;Z819,Z819,T819)</f>
        <v>10</v>
      </c>
      <c r="AG819" s="2549"/>
      <c r="AH819" s="2549"/>
      <c r="AI819" s="2549"/>
      <c r="AJ819" s="2549"/>
      <c r="AK819" s="2549"/>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93" t="s">
        <v>1582</v>
      </c>
      <c r="B820" s="2563"/>
      <c r="C820" s="2563"/>
      <c r="D820" s="2563"/>
      <c r="E820" s="2563"/>
      <c r="F820" s="2563"/>
      <c r="G820" s="2563"/>
      <c r="H820" s="2563"/>
      <c r="I820" s="2563"/>
      <c r="J820" s="2563"/>
      <c r="K820" s="2563"/>
      <c r="L820" s="2563"/>
      <c r="M820" s="2563"/>
      <c r="N820" s="2563"/>
      <c r="O820" s="2563"/>
      <c r="P820" s="2563"/>
      <c r="Q820" s="2563"/>
      <c r="R820" s="2563"/>
      <c r="S820" s="2564"/>
      <c r="T820" s="2594"/>
      <c r="U820" s="2594"/>
      <c r="V820" s="2594"/>
      <c r="W820" s="2594"/>
      <c r="X820" s="2594"/>
      <c r="Y820" s="2594"/>
      <c r="Z820" s="2483" t="s">
        <v>1583</v>
      </c>
      <c r="AA820" s="2483"/>
      <c r="AB820" s="2483"/>
      <c r="AC820" s="2483"/>
      <c r="AD820" s="2483"/>
      <c r="AE820" s="2483"/>
      <c r="AF820" s="2595">
        <f>IF(T820&gt;0,T820,0)</f>
        <v>0</v>
      </c>
      <c r="AG820" s="2596"/>
      <c r="AH820" s="2596"/>
      <c r="AI820" s="2596"/>
      <c r="AJ820" s="2596"/>
      <c r="AK820" s="2597"/>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8" t="s">
        <v>1584</v>
      </c>
      <c r="B821" s="2599"/>
      <c r="C821" s="2599"/>
      <c r="D821" s="2599"/>
      <c r="E821" s="2599"/>
      <c r="F821" s="2599"/>
      <c r="G821" s="2599"/>
      <c r="H821" s="2599"/>
      <c r="I821" s="2599"/>
      <c r="J821" s="2599"/>
      <c r="K821" s="2599"/>
      <c r="L821" s="2599"/>
      <c r="M821" s="2599"/>
      <c r="N821" s="2599"/>
      <c r="O821" s="2599"/>
      <c r="P821" s="2599"/>
      <c r="Q821" s="2599"/>
      <c r="R821" s="2599"/>
      <c r="S821" s="2599"/>
      <c r="T821" s="2599"/>
      <c r="U821" s="2599"/>
      <c r="V821" s="2599"/>
      <c r="W821" s="2599"/>
      <c r="X821" s="2599"/>
      <c r="Y821" s="2599"/>
      <c r="Z821" s="2599"/>
      <c r="AA821" s="2599"/>
      <c r="AB821" s="2599"/>
      <c r="AC821" s="2599"/>
      <c r="AD821" s="2599"/>
      <c r="AE821" s="2600"/>
      <c r="AF821" s="2604">
        <f ca="1">SUM(AF804:AK819)-AF820</f>
        <v>119</v>
      </c>
      <c r="AG821" s="2605"/>
      <c r="AH821" s="2605"/>
      <c r="AI821" s="2605"/>
      <c r="AJ821" s="2605"/>
      <c r="AK821" s="2606"/>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601"/>
      <c r="B822" s="2602"/>
      <c r="C822" s="2602"/>
      <c r="D822" s="2602"/>
      <c r="E822" s="2602"/>
      <c r="F822" s="2602"/>
      <c r="G822" s="2602"/>
      <c r="H822" s="2602"/>
      <c r="I822" s="2602"/>
      <c r="J822" s="2602"/>
      <c r="K822" s="2602"/>
      <c r="L822" s="2602"/>
      <c r="M822" s="2602"/>
      <c r="N822" s="2602"/>
      <c r="O822" s="2602"/>
      <c r="P822" s="2602"/>
      <c r="Q822" s="2602"/>
      <c r="R822" s="2602"/>
      <c r="S822" s="2602"/>
      <c r="T822" s="2602"/>
      <c r="U822" s="2602"/>
      <c r="V822" s="2602"/>
      <c r="W822" s="2602"/>
      <c r="X822" s="2602"/>
      <c r="Y822" s="2602"/>
      <c r="Z822" s="2602"/>
      <c r="AA822" s="2602"/>
      <c r="AB822" s="2602"/>
      <c r="AC822" s="2602"/>
      <c r="AD822" s="2602"/>
      <c r="AE822" s="2603"/>
      <c r="AF822" s="2607"/>
      <c r="AG822" s="2608"/>
      <c r="AH822" s="2608"/>
      <c r="AI822" s="2608"/>
      <c r="AJ822" s="2608"/>
      <c r="AK822" s="2609"/>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2025-05-14T19:22:11Z</cp:lastPrinted>
  <dcterms:created xsi:type="dcterms:W3CDTF">2007-12-27T18:26:28Z</dcterms:created>
  <dcterms:modified xsi:type="dcterms:W3CDTF">2025-06-05T17:46:50Z</dcterms:modified>
</cp:coreProperties>
</file>