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1E1D0631-A86B-4B03-B1BE-1A84FDFB8A31}" xr6:coauthVersionLast="47" xr6:coauthVersionMax="47" xr10:uidLastSave="{00000000-0000-0000-0000-000000000000}"/>
  <bookViews>
    <workbookView xWindow="-120" yWindow="-120" windowWidth="25440" windowHeight="1539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Post-award Instructions" sheetId="12" r:id="rId12"/>
    <sheet name="15 Year Pro Forma" sheetId="7"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2">'15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2"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03" i="3" l="1"/>
  <c r="AC216" i="23"/>
  <c r="Y216" i="23"/>
  <c r="U216" i="23"/>
  <c r="BQ102" i="23"/>
  <c r="BQ101" i="23"/>
  <c r="N11" i="23"/>
  <c r="W879" i="3"/>
  <c r="W855" i="3"/>
  <c r="W847" i="3"/>
  <c r="W862" i="3"/>
  <c r="W872" i="3"/>
  <c r="L44" i="21"/>
  <c r="M44" i="21"/>
  <c r="R44" i="21" s="1" a="1"/>
  <c r="R44" i="21" s="1"/>
  <c r="N44" i="21"/>
  <c r="L45" i="21"/>
  <c r="M45" i="21"/>
  <c r="O45" i="21" s="1"/>
  <c r="N45" i="21"/>
  <c r="U45" i="21"/>
  <c r="L46" i="21"/>
  <c r="M46" i="21"/>
  <c r="O46" i="21" s="1"/>
  <c r="N46" i="21"/>
  <c r="L47" i="21"/>
  <c r="M47" i="21"/>
  <c r="O47" i="21" s="1"/>
  <c r="N47" i="21"/>
  <c r="L48" i="21"/>
  <c r="M48" i="21"/>
  <c r="O48" i="21" s="1"/>
  <c r="N48" i="21"/>
  <c r="U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R51" i="21" l="1" a="1"/>
  <c r="R51" i="21" s="1"/>
  <c r="P52" i="21" a="1"/>
  <c r="P52" i="21" s="1"/>
  <c r="S47" i="21"/>
  <c r="R49" i="21" a="1"/>
  <c r="R49" i="21" s="1"/>
  <c r="T45" i="21"/>
  <c r="R48" i="21" a="1"/>
  <c r="R48" i="21" s="1"/>
  <c r="U50" i="21"/>
  <c r="O50" i="21"/>
  <c r="P51" i="21" a="1"/>
  <c r="P51" i="21" s="1"/>
  <c r="P49" i="21" a="1"/>
  <c r="P49" i="21" s="1"/>
  <c r="R47" i="21" a="1"/>
  <c r="R47" i="21" s="1"/>
  <c r="U53" i="21"/>
  <c r="O51" i="21"/>
  <c r="O49" i="21"/>
  <c r="T53" i="21"/>
  <c r="R53" i="21" a="1"/>
  <c r="R53" i="21" s="1"/>
  <c r="U46" i="21"/>
  <c r="T46" i="21"/>
  <c r="S50" i="21"/>
  <c r="T48" i="21"/>
  <c r="S46" i="21"/>
  <c r="S52" i="21"/>
  <c r="P50" i="21" a="1"/>
  <c r="P50" i="21" s="1"/>
  <c r="S48" i="21"/>
  <c r="P48" i="21" a="1"/>
  <c r="P48" i="21" s="1"/>
  <c r="U51" i="21"/>
  <c r="U49" i="21"/>
  <c r="S45" i="2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M27" i="21"/>
  <c r="M28" i="21"/>
  <c r="M29" i="21"/>
  <c r="M30" i="21"/>
  <c r="M31" i="21"/>
  <c r="M32" i="21"/>
  <c r="M33" i="21"/>
  <c r="M34" i="21"/>
  <c r="M35" i="2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B36" i="4"/>
  <c r="B66" i="4"/>
  <c r="B67" i="4"/>
  <c r="B68" i="4"/>
  <c r="B69" i="4"/>
  <c r="R66" i="4"/>
  <c r="S66" i="4" s="1"/>
  <c r="R67" i="4"/>
  <c r="S67" i="4" s="1"/>
  <c r="R68" i="4"/>
  <c r="S68" i="4" s="1"/>
  <c r="E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D36" i="11" s="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9"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R84" i="4"/>
  <c r="S84" i="4" s="1"/>
  <c r="B59" i="4"/>
  <c r="C80" i="11"/>
  <c r="C81" i="11"/>
  <c r="B80" i="11"/>
  <c r="B81" i="11"/>
  <c r="I96" i="13"/>
  <c r="J96" i="13"/>
  <c r="J81" i="13"/>
  <c r="I81" i="13"/>
  <c r="G81" i="13"/>
  <c r="F81" i="13"/>
  <c r="D81" i="13"/>
  <c r="C81" i="13"/>
  <c r="H80" i="13"/>
  <c r="B80" i="13"/>
  <c r="R80" i="4"/>
  <c r="S80" i="4" s="1"/>
  <c r="E80" i="13" s="1"/>
  <c r="R79" i="4"/>
  <c r="S79" i="4" s="1"/>
  <c r="E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1" i="13"/>
  <c r="E84" i="13"/>
  <c r="E53" i="13"/>
  <c r="E52" i="13"/>
  <c r="E51" i="13"/>
  <c r="E50" i="13"/>
  <c r="E49" i="13"/>
  <c r="E48" i="13"/>
  <c r="E47" i="13"/>
  <c r="E46" i="13"/>
  <c r="E43" i="13"/>
  <c r="E37" i="13"/>
  <c r="E33" i="13"/>
  <c r="E30"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S95" i="4" s="1"/>
  <c r="E95" i="13" s="1"/>
  <c r="R94" i="4"/>
  <c r="S94" i="4" s="1"/>
  <c r="E94" i="13" s="1"/>
  <c r="R93" i="4"/>
  <c r="S93" i="4" s="1"/>
  <c r="E93" i="13" s="1"/>
  <c r="R92" i="4"/>
  <c r="S92" i="4" s="1"/>
  <c r="E92" i="13" s="1"/>
  <c r="R90" i="4"/>
  <c r="S90" i="4" s="1"/>
  <c r="E90" i="13" s="1"/>
  <c r="R89" i="4"/>
  <c r="S89" i="4" s="1"/>
  <c r="E89" i="13" s="1"/>
  <c r="R88" i="4"/>
  <c r="R87" i="4"/>
  <c r="S87" i="4" s="1"/>
  <c r="E87" i="13" s="1"/>
  <c r="R86" i="4"/>
  <c r="S86" i="4" s="1"/>
  <c r="E86" i="13" s="1"/>
  <c r="R85" i="4"/>
  <c r="S85" i="4" s="1"/>
  <c r="E85" i="13" s="1"/>
  <c r="R83" i="4"/>
  <c r="R76" i="4"/>
  <c r="R75" i="4"/>
  <c r="R72" i="4"/>
  <c r="R73" i="4"/>
  <c r="R74" i="4"/>
  <c r="R69" i="4"/>
  <c r="R65" i="4"/>
  <c r="S65" i="4" s="1"/>
  <c r="E65" i="13" s="1"/>
  <c r="R61" i="4"/>
  <c r="R60" i="4"/>
  <c r="R59" i="4"/>
  <c r="R58" i="4"/>
  <c r="R57" i="4"/>
  <c r="R56" i="4"/>
  <c r="R53" i="4"/>
  <c r="R52" i="4"/>
  <c r="R51" i="4"/>
  <c r="R50" i="4"/>
  <c r="R49" i="4"/>
  <c r="R48" i="4"/>
  <c r="R47" i="4"/>
  <c r="R46" i="4"/>
  <c r="R45" i="4"/>
  <c r="S45" i="4" s="1"/>
  <c r="S54" i="4" s="1"/>
  <c r="E54" i="13" s="1"/>
  <c r="R43" i="4"/>
  <c r="R41" i="4"/>
  <c r="S41" i="4" s="1"/>
  <c r="E41" i="13" s="1"/>
  <c r="R40" i="4"/>
  <c r="S40" i="4" s="1"/>
  <c r="S42" i="4" s="1"/>
  <c r="E42" i="13" s="1"/>
  <c r="R37" i="4"/>
  <c r="S37" i="4" s="1"/>
  <c r="R35" i="4"/>
  <c r="S35" i="4" s="1"/>
  <c r="E35" i="13" s="1"/>
  <c r="R34" i="4"/>
  <c r="S34" i="4" s="1"/>
  <c r="E34" i="13" s="1"/>
  <c r="R33" i="4"/>
  <c r="S33" i="4" s="1"/>
  <c r="R32" i="4"/>
  <c r="S32" i="4" s="1"/>
  <c r="E32" i="13" s="1"/>
  <c r="R31" i="4"/>
  <c r="S31" i="4" s="1"/>
  <c r="E31" i="13" s="1"/>
  <c r="R30" i="4"/>
  <c r="S30" i="4"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Z902" i="3"/>
  <c r="D35" i="11"/>
  <c r="S96" i="4" l="1"/>
  <c r="E96" i="13" s="1"/>
  <c r="S38" i="4"/>
  <c r="E38" i="13" s="1"/>
  <c r="E40" i="13"/>
  <c r="E45" i="13"/>
  <c r="S104" i="4"/>
  <c r="S81" i="4"/>
  <c r="E81" i="13" s="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43" i="11" l="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5" i="21" l="1"/>
  <c r="P35" i="21" s="1" a="1"/>
  <c r="P35" i="21" s="1"/>
  <c r="S35" i="21" s="1"/>
  <c r="O34" i="21"/>
  <c r="P34" i="21" s="1" a="1"/>
  <c r="P34" i="21" s="1"/>
  <c r="S34" i="21" s="1"/>
  <c r="O33" i="21"/>
  <c r="P33" i="21" s="1" a="1"/>
  <c r="P33" i="21" s="1"/>
  <c r="S33" i="21" s="1"/>
  <c r="O32" i="21"/>
  <c r="P32" i="21" s="1" a="1"/>
  <c r="P32" i="21" s="1"/>
  <c r="S32" i="21" s="1"/>
  <c r="O31" i="21"/>
  <c r="P31" i="21" s="1" a="1"/>
  <c r="P31" i="21" s="1"/>
  <c r="S31" i="21" s="1"/>
  <c r="O30" i="21"/>
  <c r="P30" i="21" s="1" a="1"/>
  <c r="P30" i="21" s="1"/>
  <c r="S30" i="21" s="1"/>
  <c r="O29" i="2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D13" i="11"/>
  <c r="B97" i="13"/>
  <c r="B97" i="4"/>
  <c r="AZ1046" i="3"/>
  <c r="S105" i="4"/>
  <c r="E97" i="13"/>
  <c r="B105" i="13"/>
  <c r="AG269" i="20"/>
  <c r="O58" i="7"/>
  <c r="Q53" i="7"/>
  <c r="T105" i="4"/>
  <c r="H97" i="13"/>
  <c r="P29" i="21" a="1"/>
  <c r="P29" i="21" s="1"/>
  <c r="S29" i="21" s="1"/>
  <c r="P20" i="21" a="1"/>
  <c r="P20" i="21" s="1"/>
  <c r="S20" i="21" s="1"/>
  <c r="DU755" i="3"/>
  <c r="O756" i="3" s="1"/>
  <c r="BG753" i="3"/>
  <c r="BU753" i="3"/>
  <c r="AH753" i="3" s="1"/>
  <c r="BE43" i="3" s="1"/>
  <c r="E35" i="7"/>
  <c r="BT753" i="3"/>
  <c r="AX695" i="20"/>
  <c r="AO695" i="20" s="1"/>
  <c r="BH718" i="3"/>
  <c r="DX670" i="3"/>
  <c r="E130" i="20" s="1"/>
  <c r="E133" i="20" s="1"/>
  <c r="E136" i="20" s="1"/>
  <c r="AW122" i="20"/>
  <c r="AK191" i="20"/>
  <c r="T811" i="20" s="1"/>
  <c r="AF811" i="20" s="1"/>
  <c r="BE76" i="3" s="1"/>
  <c r="T805" i="20"/>
  <c r="AF805" i="20" s="1"/>
  <c r="BE72" i="3" s="1"/>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C454" i="3"/>
  <c r="N185" i="23"/>
  <c r="BE22" i="3"/>
  <c r="AB49" i="15"/>
  <c r="AB54" i="15" s="1"/>
  <c r="AB55" i="15" s="1"/>
  <c r="S107" i="4"/>
  <c r="E105" i="13"/>
  <c r="BA1056" i="3"/>
  <c r="AZ1051" i="3"/>
  <c r="H105" i="13"/>
  <c r="T107" i="4"/>
  <c r="H107" i="13" s="1"/>
  <c r="Q58" i="7"/>
  <c r="S53" i="7"/>
  <c r="AG270" i="20"/>
  <c r="AK273" i="20" s="1"/>
  <c r="T812" i="20" s="1"/>
  <c r="AF812" i="20" s="1"/>
  <c r="BE77" i="3" s="1"/>
  <c r="G45" i="21"/>
  <c r="G47" i="21" s="1"/>
  <c r="E10" i="21" s="1"/>
  <c r="E11" i="21"/>
  <c r="AP705" i="20"/>
  <c r="AJ711" i="20" s="1"/>
  <c r="AK794" i="20" s="1"/>
  <c r="T819" i="20" s="1"/>
  <c r="AF819" i="20" s="1"/>
  <c r="BE82" i="3" s="1"/>
  <c r="AP706" i="20"/>
  <c r="I4" i="7"/>
  <c r="I5" i="7" s="1"/>
  <c r="K9" i="7"/>
  <c r="E11" i="7"/>
  <c r="E37" i="7" s="1"/>
  <c r="E49" i="7" s="1"/>
  <c r="AJ992" i="3"/>
  <c r="AJ1041" i="3" s="1"/>
  <c r="E138" i="20"/>
  <c r="E139" i="20" s="1"/>
  <c r="AK143" i="20" s="1"/>
  <c r="T807" i="20" s="1"/>
  <c r="AF807" i="20" s="1"/>
  <c r="BE74" i="3" s="1"/>
  <c r="AB991" i="3"/>
  <c r="DU802" i="3"/>
  <c r="U373" i="20" s="1"/>
  <c r="P421" i="3"/>
  <c r="I6" i="7"/>
  <c r="G7" i="7"/>
  <c r="G11" i="7" s="1"/>
  <c r="G37" i="7" s="1"/>
  <c r="M22" i="7"/>
  <c r="M35" i="7" s="1"/>
  <c r="O15" i="7"/>
  <c r="M9" i="7"/>
  <c r="O8" i="7"/>
  <c r="G27" i="21"/>
  <c r="F26" i="21"/>
  <c r="AC456" i="3" l="1"/>
  <c r="BE44" i="3"/>
  <c r="F457" i="3"/>
  <c r="AD11" i="15"/>
  <c r="AD23" i="15" s="1"/>
  <c r="AD26" i="15" s="1"/>
  <c r="AD28" i="15" s="1"/>
  <c r="AI11" i="15"/>
  <c r="AI23" i="15" s="1"/>
  <c r="AI26" i="15" s="1"/>
  <c r="AI28" i="15"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U58" i="7"/>
  <c r="W53" i="7"/>
  <c r="AJ1053" i="3"/>
  <c r="AA1057" i="3" s="1"/>
  <c r="G1058" i="3" s="1"/>
  <c r="AP552" i="20"/>
  <c r="AP554" i="20" s="1"/>
  <c r="Y69" i="15"/>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l="1"/>
  <c r="E93" i="20"/>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<sst xmlns="http://schemas.openxmlformats.org/spreadsheetml/2006/main" count="4974" uniqueCount="2717">
  <si>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</si>
  <si>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</si>
  <si>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</si>
  <si>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</si>
  <si>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</si>
  <si>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</si>
  <si>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</si>
  <si>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</si>
  <si>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</si>
  <si>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</si>
  <si>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</si>
  <si>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</si>
  <si>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</si>
  <si>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</si>
  <si>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</si>
  <si>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</si>
  <si>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</si>
  <si>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</si>
  <si>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</si>
  <si>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</si>
  <si>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</si>
  <si>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</si>
  <si>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</si>
  <si>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</si>
  <si>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</si>
  <si>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</si>
  <si>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</si>
  <si>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</si>
  <si>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</si>
  <si>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</si>
  <si>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</si>
  <si>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</si>
  <si>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</si>
  <si>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</si>
  <si>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</si>
  <si>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</si>
  <si>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</si>
  <si>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</si>
  <si>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</si>
  <si>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</si>
  <si>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</si>
  <si>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</si>
  <si>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</si>
  <si>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</si>
  <si>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</si>
  <si>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</si>
  <si>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</si>
  <si>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</si>
  <si>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</si>
  <si>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</si>
  <si>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</si>
  <si>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</si>
  <si>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</si>
  <si>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</si>
  <si>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</si>
  <si>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</si>
  <si>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</si>
  <si>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</si>
  <si>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</si>
  <si>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</si>
  <si>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</si>
  <si>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</si>
  <si>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</si>
  <si>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</si>
  <si>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</si>
  <si>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</si>
  <si>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</si>
  <si>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</si>
  <si>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</si>
  <si>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</si>
  <si>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</si>
  <si>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</si>
  <si>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</si>
  <si>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</si>
  <si>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</si>
  <si>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</si>
  <si>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</si>
  <si>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</si>
  <si>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</si>
  <si>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</si>
  <si>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</si>
  <si>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</si>
  <si>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</si>
  <si>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</si>
  <si>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</si>
  <si>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</si>
  <si>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</si>
  <si>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</si>
  <si>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</si>
  <si>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</si>
  <si>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</si>
  <si>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</si>
  <si>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</si>
  <si>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</si>
  <si>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</si>
  <si>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</si>
  <si>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</si>
  <si>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</si>
  <si>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</si>
  <si>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</si>
  <si>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</si>
  <si>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</si>
  <si>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</si>
  <si>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</si>
  <si>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</si>
  <si>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</si>
  <si>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</si>
  <si>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</si>
  <si>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</si>
  <si>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</si>
  <si>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</si>
  <si>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</si>
  <si>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</si>
  <si>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</si>
  <si>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</si>
  <si>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</si>
  <si>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</si>
  <si>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</si>
  <si>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</si>
  <si>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</si>
  <si>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</si>
  <si>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</si>
  <si>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</si>
  <si>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</si>
  <si>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</si>
  <si>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</si>
  <si>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</si>
  <si>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</si>
  <si>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</si>
  <si>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</si>
  <si>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</si>
  <si>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</si>
  <si>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</si>
  <si>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</si>
  <si>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</si>
  <si>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</si>
  <si>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</si>
  <si>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</si>
  <si>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</si>
  <si>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</si>
  <si>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</si>
  <si>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</si>
  <si>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</si>
  <si>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</si>
  <si>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</si>
  <si>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</si>
  <si>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</si>
  <si>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</si>
  <si>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</si>
  <si>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</si>
  <si>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</si>
  <si>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</si>
  <si>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</si>
  <si>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</si>
  <si>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</si>
  <si>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</si>
  <si>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</si>
  <si>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</si>
  <si>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</si>
  <si>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</si>
  <si>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</si>
  <si>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</si>
  <si>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</si>
  <si>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</si>
  <si>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</si>
  <si>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</si>
  <si>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</si>
  <si>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</si>
  <si>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</si>
  <si>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</si>
  <si>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</si>
  <si>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</si>
  <si>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</si>
  <si>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</si>
  <si>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</si>
  <si>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</si>
  <si>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</si>
  <si>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</si>
  <si>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</si>
  <si>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</si>
  <si>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</si>
  <si>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</si>
  <si>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</si>
  <si>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</si>
  <si>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</si>
  <si>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</si>
  <si>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</si>
  <si>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</si>
  <si>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</si>
  <si>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</si>
  <si>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</si>
  <si>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</si>
  <si>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</si>
  <si>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</si>
  <si>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</si>
  <si>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</si>
  <si>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</si>
  <si>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</si>
  <si>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</si>
  <si>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</si>
  <si>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</si>
  <si>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</si>
  <si>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</si>
  <si>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</si>
  <si>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</si>
  <si>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</si>
  <si>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</si>
  <si>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</si>
  <si>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</si>
  <si>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</si>
  <si>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</si>
  <si>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</si>
  <si>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</si>
  <si>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</si>
  <si>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</si>
  <si>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</si>
  <si>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</si>
  <si>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</si>
  <si>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</si>
  <si>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</si>
  <si>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</si>
  <si>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</si>
  <si>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</si>
  <si>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</si>
  <si>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</si>
  <si>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</si>
  <si>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</si>
  <si>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</si>
  <si>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</si>
  <si>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</si>
  <si>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</si>
  <si>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</si>
  <si>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</si>
  <si>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</si>
  <si>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</si>
  <si>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</si>
  <si>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</si>
  <si>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</si>
  <si>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</si>
  <si>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</si>
  <si>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</si>
  <si>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</si>
  <si>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</si>
  <si>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</si>
  <si>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</si>
  <si>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</si>
  <si>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</si>
  <si>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</si>
  <si>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</si>
  <si>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</si>
  <si>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</si>
  <si>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</si>
  <si>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</si>
  <si>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</si>
  <si>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</si>
  <si>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</si>
  <si>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</si>
  <si>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</si>
  <si>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</si>
  <si>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</si>
  <si>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</si>
  <si>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</si>
  <si>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</si>
  <si>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</si>
  <si>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</si>
  <si>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</si>
  <si>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</si>
  <si>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</si>
  <si>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</si>
  <si>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</si>
  <si>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</si>
  <si>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</si>
  <si>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</si>
  <si>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</si>
  <si>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</si>
  <si>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</si>
  <si>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</si>
  <si>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</si>
  <si>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</si>
  <si>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</si>
  <si>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</si>
  <si>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</si>
  <si>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</si>
  <si>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</si>
  <si>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</si>
  <si>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</si>
  <si>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</si>
  <si>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</si>
  <si>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</si>
  <si>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</si>
  <si>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</si>
  <si>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</si>
  <si>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</si>
  <si>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</si>
  <si>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</si>
  <si>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</si>
  <si>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</si>
  <si>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</si>
  <si>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</si>
  <si>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</si>
  <si>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</si>
  <si>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</si>
  <si>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</si>
  <si>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</si>
  <si>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</si>
  <si>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</si>
  <si>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</si>
  <si>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</si>
  <si>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</si>
  <si>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</si>
  <si>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</si>
  <si>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</si>
  <si>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</si>
  <si>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</si>
  <si>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</si>
  <si>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</si>
  <si>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</si>
  <si>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</si>
  <si>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</si>
  <si>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</si>
  <si>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</si>
  <si>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</si>
  <si>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</si>
  <si>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</si>
  <si>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</si>
  <si>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</si>
  <si>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</si>
  <si>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</si>
  <si>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</si>
  <si>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</si>
  <si>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</si>
  <si>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</si>
  <si>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</si>
  <si>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</si>
  <si>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</si>
  <si>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</si>
  <si>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</si>
  <si>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</si>
  <si>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</si>
  <si>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</si>
  <si>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</si>
  <si>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</si>
  <si>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</si>
  <si>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</si>
  <si>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</si>
  <si>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</si>
  <si>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</si>
  <si>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</si>
  <si>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</si>
  <si>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</si>
  <si>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</si>
  <si>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</si>
  <si>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</si>
  <si>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</si>
  <si>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</si>
  <si>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</si>
  <si>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</si>
  <si>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</si>
  <si>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</si>
  <si>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</si>
  <si>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</si>
  <si>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</si>
  <si>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</si>
  <si>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</si>
  <si>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</si>
  <si>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</si>
  <si>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</si>
  <si>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</si>
  <si>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</si>
  <si>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</si>
  <si>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</si>
  <si>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</si>
  <si>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</si>
  <si>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</si>
  <si>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</si>
  <si>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</si>
  <si>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</si>
  <si>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</si>
  <si>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</si>
  <si>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</si>
  <si>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</si>
  <si>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</si>
  <si>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</si>
  <si>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</si>
  <si>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</si>
  <si>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</si>
  <si>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</si>
  <si>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</si>
  <si>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</si>
  <si>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</si>
  <si>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</si>
  <si>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</si>
  <si>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</si>
  <si>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</si>
  <si>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</si>
  <si>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</si>
  <si>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</si>
  <si>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</si>
  <si>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</si>
  <si>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</si>
  <si>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</si>
  <si>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</si>
  <si>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</si>
  <si>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</si>
  <si>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</si>
  <si>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</si>
  <si>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</si>
  <si>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</si>
  <si>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</si>
  <si>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</si>
  <si>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</si>
  <si>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</si>
  <si>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</si>
  <si>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</si>
  <si>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</si>
  <si>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</si>
  <si>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</si>
  <si>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</si>
  <si>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</si>
  <si>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</si>
  <si>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</si>
  <si>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</si>
  <si>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</si>
  <si>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</si>
  <si>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</si>
  <si>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</si>
  <si>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</si>
  <si>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</si>
  <si>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</si>
  <si>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</si>
  <si>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</si>
  <si>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</si>
  <si>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</si>
  <si>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</si>
  <si>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</si>
  <si>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</si>
  <si>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</si>
  <si>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</si>
  <si>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</si>
  <si>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</si>
  <si>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</si>
  <si>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</si>
  <si>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</si>
  <si>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</si>
  <si>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</si>
  <si>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</si>
  <si>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</si>
  <si>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</si>
  <si>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</si>
  <si>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</si>
  <si>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</si>
  <si>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</si>
  <si>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</si>
  <si>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</si>
  <si>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</si>
  <si>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</si>
  <si>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</si>
  <si>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</si>
  <si>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</si>
  <si>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</si>
  <si>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</si>
  <si>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</si>
  <si>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</si>
  <si>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</si>
  <si>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</si>
  <si>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</si>
  <si>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</si>
  <si>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</si>
  <si>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</si>
  <si>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</si>
  <si>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</si>
  <si>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</si>
  <si>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</si>
  <si>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</si>
  <si>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</si>
  <si>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</si>
  <si>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</si>
  <si>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</si>
  <si>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</si>
  <si>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</si>
  <si>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</si>
  <si>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</si>
  <si>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</si>
  <si>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</si>
  <si>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</si>
  <si>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</si>
  <si>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</si>
  <si>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</si>
  <si>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</si>
  <si>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</si>
  <si>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</si>
  <si>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</si>
  <si>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</si>
  <si>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</si>
  <si>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</si>
  <si>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</si>
  <si>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</si>
  <si>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</si>
  <si>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</si>
  <si>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</si>
  <si>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</si>
  <si>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</si>
  <si>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</si>
  <si>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</si>
  <si>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</si>
  <si>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</si>
  <si>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</si>
  <si>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</si>
  <si>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</si>
  <si>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</si>
  <si>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</si>
  <si>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</si>
  <si>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</si>
  <si>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</si>
  <si>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</si>
  <si>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</si>
  <si>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</si>
  <si>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</si>
  <si>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</si>
  <si>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</si>
  <si>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</si>
  <si>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</si>
  <si>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</si>
  <si>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</si>
  <si>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</si>
  <si>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</si>
  <si>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</si>
  <si>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</si>
  <si>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</si>
  <si>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</si>
  <si>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</si>
  <si>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</si>
  <si>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</si>
  <si>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</si>
  <si>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</si>
  <si>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</si>
  <si>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</si>
  <si>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</si>
  <si>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</si>
  <si>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</si>
  <si>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</si>
  <si>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</si>
  <si>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</si>
  <si>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</si>
  <si>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</si>
  <si>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</si>
  <si>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</si>
  <si>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</si>
  <si>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</si>
  <si>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</si>
  <si>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</si>
  <si>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</si>
  <si>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</si>
  <si>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</si>
  <si>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</si>
  <si>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</si>
  <si>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</si>
  <si>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</si>
  <si>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</si>
  <si>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</si>
  <si>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</si>
  <si>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</si>
  <si>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</si>
  <si>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</si>
  <si>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</si>
  <si>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</si>
  <si>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</si>
  <si>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</si>
  <si>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</si>
  <si>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</si>
  <si>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</si>
  <si>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</si>
  <si>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</si>
  <si>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</si>
  <si>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</si>
  <si>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</si>
  <si>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</si>
  <si>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</si>
  <si>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</si>
  <si>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</si>
  <si>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</si>
  <si>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</si>
  <si>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</si>
  <si>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</si>
  <si>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</si>
  <si>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</si>
  <si>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</si>
  <si>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</si>
  <si>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</si>
  <si>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</si>
  <si>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</si>
  <si>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</si>
  <si>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</si>
  <si>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</si>
  <si>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</si>
  <si>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</si>
  <si>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</si>
  <si>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</si>
  <si>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</si>
  <si>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</si>
  <si>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</si>
  <si>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</si>
  <si>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</si>
  <si>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</si>
  <si>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</si>
  <si>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</si>
  <si>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</si>
  <si>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</si>
  <si>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</si>
  <si>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</si>
  <si>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</si>
  <si>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</si>
  <si>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</si>
  <si>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</si>
  <si>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</si>
  <si>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</si>
  <si>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</si>
  <si>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</si>
  <si>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</si>
  <si>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</si>
  <si>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</si>
  <si>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</si>
  <si>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</si>
  <si>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</si>
  <si>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</si>
  <si>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</si>
  <si>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</si>
  <si>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</si>
  <si>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</si>
  <si>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</si>
  <si>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</si>
  <si>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</si>
  <si>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</si>
  <si>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</si>
  <si>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</si>
  <si>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</si>
  <si>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</si>
  <si>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</si>
  <si>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</si>
  <si>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</si>
  <si>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</si>
  <si>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</si>
  <si>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</si>
  <si>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</si>
  <si>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</si>
  <si>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</si>
  <si>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</si>
  <si>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</si>
  <si>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</si>
  <si>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</si>
  <si>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</si>
  <si>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</si>
  <si>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</si>
  <si>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</si>
  <si>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</si>
  <si>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</si>
  <si>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</si>
  <si>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</si>
  <si>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</si>
  <si>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</si>
  <si>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</si>
  <si>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</si>
  <si>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</si>
  <si>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</si>
  <si>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</si>
  <si>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</si>
  <si>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</si>
  <si>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</si>
  <si>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</si>
  <si>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</si>
  <si>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</si>
  <si>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</si>
  <si>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</si>
  <si>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</si>
  <si>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</si>
  <si>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</si>
  <si>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</si>
  <si>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</si>
  <si>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</si>
  <si>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</si>
  <si>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</si>
  <si>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</si>
  <si>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</si>
  <si>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</si>
  <si>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</si>
  <si>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</si>
  <si>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</si>
  <si>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</si>
  <si>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</si>
  <si>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</si>
  <si>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</si>
  <si>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</si>
  <si>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</si>
  <si>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</si>
  <si>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</si>
  <si>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</si>
  <si>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</si>
  <si>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</si>
  <si>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</si>
  <si>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</si>
  <si>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</si>
  <si>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</si>
  <si>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</si>
  <si>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</si>
  <si>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</si>
  <si>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</si>
  <si>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</si>
  <si>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</si>
  <si>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</si>
  <si>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</si>
  <si>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</si>
  <si>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</si>
  <si>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</si>
  <si>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</si>
  <si>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</si>
  <si>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</si>
  <si>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</si>
  <si>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</si>
  <si>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</si>
  <si>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</si>
  <si>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</si>
  <si>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</si>
  <si>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</si>
  <si>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</si>
  <si>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</si>
  <si>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</si>
  <si>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</si>
  <si>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</si>
  <si>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</si>
  <si>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</si>
  <si>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</si>
  <si>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</si>
  <si>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</si>
  <si>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</si>
  <si>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</si>
  <si>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</si>
  <si>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</si>
  <si>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</si>
  <si>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</si>
  <si>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</si>
  <si>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</si>
  <si>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</si>
  <si>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</si>
  <si>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</si>
  <si>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</si>
  <si>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</si>
  <si>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</si>
  <si>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</si>
  <si>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</si>
  <si>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</si>
  <si>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</si>
  <si>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</si>
  <si>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</si>
  <si>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</si>
  <si>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</si>
  <si>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</si>
  <si>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</si>
  <si>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</si>
  <si>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</si>
  <si>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</si>
  <si>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</si>
  <si>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</si>
  <si>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</si>
  <si>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</si>
  <si>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</si>
  <si>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</si>
  <si>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</si>
  <si>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</si>
  <si>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</si>
  <si>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</si>
  <si>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</si>
  <si>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</si>
  <si>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</si>
  <si>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</si>
  <si>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</si>
  <si>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</si>
  <si>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</si>
  <si>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</si>
  <si>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</si>
  <si>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</si>
  <si>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</si>
  <si>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</si>
  <si>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</si>
  <si>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</si>
  <si>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</si>
  <si>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</si>
  <si>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</si>
  <si>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</si>
  <si>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</si>
  <si>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</si>
  <si>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</si>
  <si>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</si>
  <si>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</si>
  <si>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</si>
  <si>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</si>
  <si>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</si>
  <si>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</si>
  <si>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</si>
  <si>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</si>
  <si>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</si>
  <si>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</si>
  <si>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</si>
  <si>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</si>
  <si>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</si>
  <si>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</si>
  <si>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</si>
  <si>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</si>
  <si>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</si>
  <si>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</si>
  <si>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</si>
  <si>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</si>
  <si>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</si>
  <si>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</si>
  <si>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</si>
  <si>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</si>
  <si>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</si>
  <si>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</si>
  <si>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</si>
  <si>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</si>
  <si>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</si>
  <si>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</si>
  <si>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</si>
  <si>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</si>
  <si>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</si>
  <si>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</si>
  <si>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</si>
  <si>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</si>
  <si>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</si>
  <si>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</si>
  <si>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</si>
  <si>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</si>
  <si>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</si>
  <si>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</si>
  <si>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</si>
  <si>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</si>
  <si>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</si>
  <si>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</si>
  <si>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</si>
  <si>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</si>
  <si>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</si>
  <si>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</si>
  <si>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</si>
  <si>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</si>
  <si>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</si>
  <si>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</si>
  <si>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</si>
  <si>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</si>
  <si>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</si>
  <si>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</si>
  <si>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</si>
  <si>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</si>
  <si>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</si>
  <si>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</si>
  <si>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</si>
  <si>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</si>
  <si>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</si>
  <si>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</si>
  <si>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</si>
  <si>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</si>
  <si>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</si>
  <si>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</si>
  <si>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</si>
  <si>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</si>
  <si>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</si>
  <si>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</si>
  <si>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</si>
  <si>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</si>
  <si>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</si>
  <si>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</si>
  <si>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</si>
  <si>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</si>
  <si>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</si>
  <si>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</si>
  <si>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</si>
  <si>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</si>
  <si>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</si>
  <si>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</si>
  <si>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</si>
  <si>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</si>
  <si>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</si>
  <si>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</si>
  <si>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</si>
  <si>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</si>
  <si>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</si>
  <si>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</si>
  <si>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</si>
  <si>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</si>
  <si>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</si>
  <si>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</si>
  <si>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</si>
  <si>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</si>
  <si>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</si>
  <si>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</si>
  <si>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</si>
  <si>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</si>
  <si>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</si>
  <si>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</si>
  <si>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</si>
  <si>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</si>
  <si>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</si>
  <si>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</si>
  <si>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</si>
  <si>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</si>
  <si>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</si>
  <si>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</si>
  <si>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</si>
  <si>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</si>
  <si>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</si>
  <si>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</si>
  <si>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</si>
  <si>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</si>
  <si>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</si>
  <si>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</si>
  <si>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</si>
  <si>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</si>
  <si>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</si>
  <si>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</si>
  <si>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</si>
  <si>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</si>
  <si>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</si>
  <si>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</si>
  <si>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</si>
  <si>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</si>
  <si>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</si>
  <si>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</si>
  <si>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</si>
  <si>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</si>
  <si>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</si>
  <si>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</si>
  <si>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</si>
  <si>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</si>
  <si>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</si>
  <si>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</si>
  <si>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</si>
  <si>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</si>
  <si>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</si>
  <si>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</si>
  <si>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</si>
  <si>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</si>
  <si>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</si>
  <si>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</si>
  <si>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</si>
  <si>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</si>
  <si>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</si>
  <si>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</si>
  <si>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</si>
  <si>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</si>
  <si>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</si>
  <si>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</si>
  <si>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</si>
  <si>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</si>
  <si>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</si>
  <si>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</si>
  <si>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</si>
  <si>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</si>
  <si>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</si>
  <si>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</si>
  <si>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</si>
  <si>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</si>
  <si>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</si>
  <si>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</si>
  <si>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</si>
  <si>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</si>
  <si>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</si>
  <si>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</si>
  <si>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</si>
  <si>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</si>
  <si>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</si>
  <si>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</si>
  <si>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</si>
  <si>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</si>
  <si>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</si>
  <si>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</si>
  <si>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</si>
  <si>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</si>
  <si>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</si>
  <si>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</si>
  <si>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</si>
  <si>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</si>
  <si>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</si>
  <si>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</si>
  <si>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</si>
  <si>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</si>
  <si>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</si>
  <si>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</si>
  <si>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</si>
  <si>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</si>
  <si>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</si>
  <si>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</si>
  <si>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</si>
  <si>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</si>
  <si>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</si>
  <si>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</si>
  <si>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</si>
  <si>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</si>
  <si>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</si>
  <si>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</si>
  <si>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</si>
  <si>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</si>
  <si>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</si>
  <si>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</si>
  <si>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</si>
  <si>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</si>
  <si>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</si>
  <si>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</si>
  <si>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</si>
  <si>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</si>
  <si>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</si>
  <si>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</si>
  <si>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</si>
  <si>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</si>
  <si>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</si>
  <si>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</si>
  <si>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</si>
  <si>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</si>
  <si>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</si>
  <si>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</si>
  <si>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</si>
  <si>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</si>
  <si>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</si>
  <si>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</si>
  <si>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</si>
  <si>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</si>
  <si>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</si>
  <si>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</si>
  <si>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</si>
  <si>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</si>
  <si>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</si>
  <si>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</si>
  <si>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</si>
  <si>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</si>
  <si>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</si>
  <si>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</si>
  <si>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</si>
  <si>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</si>
  <si>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</si>
  <si>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</si>
  <si>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</si>
  <si>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</si>
  <si>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</si>
  <si>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</si>
  <si>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</si>
  <si>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</si>
  <si>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</si>
  <si>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</si>
  <si>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</si>
  <si>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</si>
  <si>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</si>
  <si>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</si>
  <si>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</si>
  <si>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</si>
  <si>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</si>
  <si>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</si>
  <si>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</si>
  <si>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</si>
  <si>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</si>
  <si>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</si>
  <si>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</si>
  <si>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</si>
  <si>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</si>
  <si>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</si>
  <si>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</si>
  <si>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</si>
  <si>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</si>
  <si>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</si>
  <si>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</si>
  <si>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</si>
  <si>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</si>
  <si>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</si>
  <si>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</si>
  <si>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</si>
  <si>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</si>
  <si>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</si>
  <si>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</si>
  <si>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</si>
  <si>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</si>
  <si>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</si>
  <si>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</si>
  <si>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</si>
  <si>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</si>
  <si>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</si>
  <si>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</si>
  <si>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</si>
  <si>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</si>
  <si>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</si>
  <si>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</si>
  <si>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</si>
  <si>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</si>
  <si>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</si>
  <si>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</si>
  <si>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</si>
  <si>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</si>
  <si>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</si>
  <si>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</si>
  <si>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</si>
  <si>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</si>
  <si>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</si>
  <si>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</si>
  <si>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</si>
  <si>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</si>
  <si>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</si>
  <si>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</si>
  <si>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</si>
  <si>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</si>
  <si>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</si>
  <si>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</si>
  <si>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</si>
  <si>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</si>
  <si>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</si>
  <si>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</si>
  <si>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</si>
  <si>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</si>
  <si>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</si>
  <si>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</si>
  <si>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</si>
  <si>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</si>
  <si>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</si>
  <si>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</si>
  <si>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</si>
  <si>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</si>
  <si>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</si>
  <si>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</si>
  <si>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</si>
  <si>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</si>
  <si>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</si>
  <si>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</si>
  <si>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</si>
  <si>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</si>
  <si>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</si>
  <si>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</si>
  <si>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</si>
  <si>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</si>
  <si>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</si>
  <si>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</si>
  <si>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</si>
  <si>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</si>
  <si>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</si>
  <si>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</si>
  <si>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</si>
  <si>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</si>
  <si>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</si>
  <si>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</si>
  <si>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</si>
  <si>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</si>
  <si>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</si>
  <si>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</si>
  <si>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</si>
  <si>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</si>
  <si>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</si>
  <si>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</si>
  <si>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</si>
  <si>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</si>
  <si>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</si>
  <si>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</si>
  <si>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</si>
  <si>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</si>
  <si>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</si>
  <si>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</si>
  <si>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</si>
  <si>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</si>
  <si>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</si>
  <si>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</si>
  <si>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</si>
  <si>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</si>
  <si>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</si>
  <si>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</si>
  <si>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</si>
  <si>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</si>
  <si>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</si>
  <si>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</si>
  <si>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</si>
  <si>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</si>
  <si>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</si>
  <si>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</si>
  <si>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</si>
  <si>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</si>
  <si>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</si>
  <si>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</si>
  <si>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</si>
  <si>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</si>
  <si>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</si>
  <si>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</si>
  <si>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</si>
  <si>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</si>
  <si>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</si>
  <si>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</si>
  <si>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</si>
  <si>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</si>
  <si>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</si>
  <si>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</si>
  <si>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</si>
  <si>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</si>
  <si>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</si>
  <si>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</si>
  <si>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</si>
  <si>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</si>
  <si>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</si>
  <si>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</si>
  <si>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</si>
  <si>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</si>
  <si>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</si>
  <si>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</si>
  <si>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</si>
  <si>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</si>
  <si>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</si>
  <si>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</si>
  <si>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</si>
  <si>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</si>
  <si>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</si>
  <si>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</si>
  <si>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</si>
  <si>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</si>
  <si>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</si>
  <si>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</si>
  <si>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</si>
  <si>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</si>
  <si>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</si>
  <si>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</si>
  <si>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</si>
  <si>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</si>
  <si>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</si>
  <si>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</si>
  <si>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</si>
  <si>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</si>
  <si>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</si>
  <si>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(Select)</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</si>
  <si>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</si>
  <si>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</si>
  <si>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</si>
  <si>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</si>
  <si>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</si>
  <si>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</si>
  <si>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</si>
  <si>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</si>
  <si>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</si>
  <si>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</si>
  <si>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</si>
  <si>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</si>
  <si>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</si>
  <si>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</si>
  <si>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</si>
  <si>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</si>
  <si>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</si>
  <si>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</si>
  <si>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</si>
  <si>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</si>
  <si>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</si>
  <si>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</si>
  <si>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</si>
  <si>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</si>
  <si>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</si>
  <si>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</si>
  <si>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</si>
  <si>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</si>
  <si>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</si>
  <si>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</si>
  <si>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</si>
  <si>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</si>
  <si>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</si>
  <si>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</si>
  <si>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</si>
  <si>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</si>
  <si>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</si>
  <si>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</si>
  <si>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</si>
  <si>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</si>
  <si>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</si>
  <si>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</si>
  <si>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</si>
  <si>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</si>
  <si>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</si>
  <si>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</si>
  <si>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</si>
  <si>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</si>
  <si>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</si>
  <si>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</si>
  <si>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</si>
  <si>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</si>
  <si>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</si>
  <si>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</si>
  <si>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</si>
  <si>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</si>
  <si>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</si>
  <si>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</si>
  <si>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</si>
  <si>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</si>
  <si>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</si>
  <si>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</si>
  <si>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</si>
  <si>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</si>
  <si>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</si>
  <si>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</si>
  <si>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</si>
  <si>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</si>
  <si>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</si>
  <si>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</si>
  <si>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</si>
  <si>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</si>
  <si>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</si>
  <si>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</si>
  <si>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</si>
  <si>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</si>
  <si>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</si>
  <si>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</si>
  <si>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</si>
  <si>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</si>
  <si>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</si>
  <si>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</si>
  <si>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</si>
  <si>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</si>
  <si>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</si>
  <si>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</si>
  <si>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</si>
  <si>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</si>
  <si>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</si>
  <si>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</si>
  <si>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</si>
  <si>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</si>
  <si>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</si>
  <si>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</si>
  <si>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</si>
  <si>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</si>
  <si>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</si>
  <si>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</si>
  <si>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</si>
  <si>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</si>
  <si>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</si>
  <si>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</si>
  <si>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</si>
  <si>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</si>
  <si>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</si>
  <si>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</si>
  <si>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</si>
  <si>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</si>
  <si>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</si>
  <si>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</si>
  <si>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</si>
  <si>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</si>
  <si>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</si>
  <si>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</si>
  <si>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</si>
  <si>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</si>
  <si>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</si>
  <si>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</si>
  <si>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</si>
  <si>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</si>
  <si>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</si>
  <si>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</si>
  <si>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</si>
  <si>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</si>
  <si>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</si>
  <si>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</si>
  <si>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</si>
  <si>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</si>
  <si>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</si>
  <si>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</si>
  <si>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</si>
  <si>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</si>
  <si>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</si>
  <si>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</si>
  <si>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</si>
  <si>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</si>
  <si>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</si>
  <si>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</si>
  <si>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</si>
  <si>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</si>
  <si>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</si>
  <si>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</si>
  <si>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</si>
  <si>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</si>
  <si>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</si>
  <si>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</si>
  <si>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</si>
  <si>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</si>
  <si>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</si>
  <si>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</si>
  <si>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</si>
  <si>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</si>
  <si>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</si>
  <si>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</si>
  <si>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</si>
  <si>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</si>
  <si>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</si>
  <si>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</si>
  <si>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</si>
  <si>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</si>
  <si>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</si>
  <si>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</si>
  <si>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</si>
  <si>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</si>
  <si>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</si>
  <si>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</si>
  <si>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</si>
  <si>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</si>
  <si>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</si>
  <si>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</si>
  <si>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</si>
  <si>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</si>
  <si>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</si>
  <si>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</si>
  <si>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</si>
  <si>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</si>
  <si>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</si>
  <si>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</si>
  <si>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</si>
  <si>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</si>
  <si>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</si>
  <si>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</si>
  <si>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</si>
  <si>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</si>
  <si>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</si>
  <si>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</si>
  <si>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</si>
  <si>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</si>
  <si>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</si>
  <si>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</si>
  <si>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</si>
  <si>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</si>
  <si>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</si>
  <si>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</si>
  <si>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</si>
  <si>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</si>
  <si>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</si>
  <si>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</si>
  <si>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</si>
  <si>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</si>
  <si>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</si>
  <si>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</si>
  <si>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</si>
  <si>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</si>
  <si>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</si>
  <si>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</si>
  <si>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</si>
  <si>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</si>
  <si>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</si>
  <si>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</si>
  <si>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</si>
  <si>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</si>
  <si>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</si>
  <si>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</si>
  <si>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</si>
  <si>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</si>
  <si>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</si>
  <si>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</si>
  <si>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</si>
  <si>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</si>
  <si>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</si>
  <si>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</si>
  <si>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</si>
  <si>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</si>
  <si>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</si>
  <si>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</si>
  <si>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</si>
  <si>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</si>
  <si>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</si>
  <si>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</si>
  <si>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</si>
  <si>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</si>
  <si>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</si>
  <si>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</si>
  <si>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</si>
  <si>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</si>
  <si>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</si>
  <si>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</si>
  <si>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</si>
  <si>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</si>
  <si>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</si>
  <si>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</si>
  <si>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</si>
  <si>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</si>
  <si>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</si>
  <si>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</si>
  <si>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</si>
  <si>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</si>
  <si>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</si>
  <si>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</si>
  <si>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</si>
  <si>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</si>
  <si>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</si>
  <si>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</si>
  <si>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</si>
  <si>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</si>
  <si>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</si>
  <si>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</si>
  <si>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</si>
  <si>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</si>
  <si>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</si>
  <si>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</si>
  <si>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</si>
  <si>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</si>
  <si>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</si>
  <si>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</si>
  <si>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</si>
  <si>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</si>
  <si>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</si>
  <si>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</si>
  <si>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</si>
  <si>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</si>
  <si>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</si>
  <si>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</si>
  <si>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</si>
  <si>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</si>
  <si>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</si>
  <si>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</si>
  <si>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</si>
  <si>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</si>
  <si>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</si>
  <si>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</si>
  <si>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</si>
  <si>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</si>
  <si>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</si>
  <si>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</si>
  <si>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</si>
  <si>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</si>
  <si>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</si>
  <si>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</si>
  <si>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</si>
  <si>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</si>
  <si>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</si>
  <si>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</si>
  <si>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</si>
  <si>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</si>
  <si>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</si>
  <si>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</si>
  <si>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</si>
  <si>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</si>
  <si>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</si>
  <si>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</si>
  <si>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</si>
  <si>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</si>
  <si>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</si>
  <si>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</si>
  <si>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</si>
  <si>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</si>
  <si>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</si>
  <si>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</si>
  <si>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</si>
  <si>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</si>
  <si>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</si>
  <si>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</si>
  <si>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</si>
  <si>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</si>
  <si>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</si>
  <si>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</si>
  <si>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</si>
  <si>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</si>
  <si>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</si>
  <si>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</si>
  <si>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</si>
  <si>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</si>
  <si>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</si>
  <si>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</si>
  <si>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</si>
  <si>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</si>
  <si>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</si>
  <si>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</si>
  <si>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</si>
  <si>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</si>
  <si>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</si>
  <si>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</si>
  <si>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</si>
  <si>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</si>
  <si>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</si>
  <si>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</si>
  <si>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</si>
  <si>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</si>
  <si>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</si>
  <si>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</si>
  <si>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</si>
  <si>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</si>
  <si>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</si>
  <si>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</si>
  <si>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</si>
  <si>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</si>
  <si>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</si>
  <si>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</si>
  <si>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</si>
  <si>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</si>
  <si>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</si>
  <si>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</si>
  <si>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</si>
  <si>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</si>
  <si>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</si>
  <si>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</si>
  <si>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</si>
  <si>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</si>
  <si>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</si>
  <si>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</si>
  <si>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</si>
  <si>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</si>
  <si>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</si>
  <si>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</si>
  <si>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</si>
  <si>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</si>
  <si>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</si>
  <si>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</si>
  <si>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</si>
  <si>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</si>
  <si>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</si>
  <si>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</si>
  <si>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</si>
  <si>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</si>
  <si>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</si>
  <si>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</si>
  <si>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</si>
  <si>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</si>
  <si>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</si>
  <si>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</si>
  <si>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</si>
  <si>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</si>
  <si>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</si>
  <si>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</si>
  <si>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</si>
  <si>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</si>
  <si>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</si>
  <si>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</si>
  <si>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</si>
  <si>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</si>
  <si>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</si>
  <si>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</si>
  <si>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</si>
  <si>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</si>
  <si>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</si>
  <si>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</si>
  <si>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</si>
  <si>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</si>
  <si>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</si>
  <si>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</si>
  <si>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</si>
  <si>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</si>
  <si>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</si>
  <si>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</si>
  <si>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</si>
  <si>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</si>
  <si>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</si>
  <si>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</si>
  <si>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</si>
  <si>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</si>
  <si>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</si>
  <si>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</si>
  <si>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</si>
  <si>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</si>
  <si>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</si>
  <si>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</si>
  <si>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</si>
  <si>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</si>
  <si>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</si>
  <si>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</si>
  <si>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</si>
  <si>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</si>
  <si>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</si>
  <si>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</si>
  <si>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</si>
  <si>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</si>
  <si>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</si>
  <si>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</si>
  <si>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</si>
  <si>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</si>
  <si>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</si>
  <si>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</si>
  <si>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</si>
  <si>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</si>
  <si>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</si>
  <si>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</si>
  <si>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</si>
  <si>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</si>
  <si>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</si>
  <si>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</si>
  <si>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</si>
  <si>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</si>
  <si>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</si>
  <si>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</si>
  <si>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</si>
  <si>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</si>
  <si>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</si>
  <si>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</si>
  <si>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</si>
  <si>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</si>
  <si>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</si>
  <si>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</si>
  <si>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</si>
  <si>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</si>
  <si>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</si>
  <si>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</si>
  <si>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</si>
  <si>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</si>
  <si>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</si>
  <si>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</si>
  <si>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</si>
  <si>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</si>
  <si>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</si>
  <si>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</si>
  <si>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</si>
  <si>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</si>
  <si>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</si>
  <si>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</si>
  <si>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</si>
  <si>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</si>
  <si>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</si>
  <si>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</si>
  <si>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</si>
  <si>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</si>
  <si>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</si>
  <si>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</si>
  <si>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</si>
  <si>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</si>
  <si>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</si>
  <si>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</si>
  <si>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</si>
  <si>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</si>
  <si>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</si>
  <si>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</si>
  <si>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</si>
  <si>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</si>
  <si>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</si>
  <si>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</si>
  <si>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</si>
  <si>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</si>
  <si>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</si>
  <si>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</si>
  <si>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</si>
  <si>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</si>
  <si>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</si>
  <si>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</si>
  <si>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</si>
  <si>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</si>
  <si>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</si>
  <si>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</si>
  <si>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</si>
  <si>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</si>
  <si>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</si>
  <si>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</si>
  <si>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</si>
  <si>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</si>
  <si>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</si>
  <si>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</si>
  <si>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</si>
  <si>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</si>
  <si>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</si>
  <si>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</si>
  <si>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</si>
  <si>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</si>
  <si>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</si>
  <si>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</si>
  <si>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</si>
  <si>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</si>
  <si>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</si>
  <si>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</si>
  <si>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</si>
  <si>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</si>
  <si>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</si>
  <si>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</si>
  <si>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</si>
  <si>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</si>
  <si>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</si>
  <si>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</si>
  <si>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</si>
  <si>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</si>
  <si>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</si>
  <si>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</si>
  <si>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</si>
  <si>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</si>
  <si>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</si>
  <si>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</si>
  <si>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</si>
  <si>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</si>
  <si>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</si>
  <si>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</si>
  <si>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</si>
  <si>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</si>
  <si>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</si>
  <si>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</si>
  <si>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</si>
  <si>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</si>
  <si>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</si>
  <si>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</si>
  <si>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</si>
  <si>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</si>
  <si>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</si>
  <si>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</si>
  <si>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</si>
  <si>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</si>
  <si>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</si>
  <si>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</si>
  <si>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</si>
  <si>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</si>
  <si>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</si>
  <si>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</si>
  <si>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</si>
  <si>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</si>
  <si>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</si>
  <si>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</si>
  <si>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</si>
  <si>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</si>
  <si>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</si>
  <si>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</si>
  <si>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</si>
  <si>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</si>
  <si>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</si>
  <si>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</si>
  <si>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</si>
  <si>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</si>
  <si>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</si>
  <si>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</si>
  <si>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</si>
  <si>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</si>
  <si>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</si>
  <si>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</si>
  <si>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</si>
  <si>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</si>
  <si>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</si>
  <si>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</si>
  <si>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</si>
  <si>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</si>
  <si>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</si>
  <si>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</si>
  <si>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</si>
  <si>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</si>
  <si>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</si>
  <si>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</si>
  <si>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</si>
  <si>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</si>
  <si>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</si>
  <si>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</si>
  <si>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</si>
  <si>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</si>
  <si>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</si>
  <si>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</si>
  <si>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</si>
  <si>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</si>
  <si>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</si>
  <si>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</si>
  <si>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</si>
  <si>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</si>
  <si>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</si>
  <si>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</si>
  <si>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</si>
  <si>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</si>
  <si>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</si>
  <si>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</si>
  <si>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</si>
  <si>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</si>
  <si>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</si>
  <si>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</si>
  <si>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</si>
  <si>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</si>
  <si>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</si>
  <si>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</si>
  <si>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</si>
  <si>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</si>
  <si>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</si>
  <si>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</si>
  <si>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</si>
  <si>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</si>
  <si>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</si>
  <si>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</si>
  <si>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</si>
  <si>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</si>
  <si>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</si>
  <si>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</si>
  <si>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</si>
  <si>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</si>
  <si>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</si>
  <si>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</si>
  <si>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</si>
  <si>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</si>
  <si>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</si>
  <si>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</si>
  <si>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</si>
  <si>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</si>
  <si>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</si>
  <si>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</si>
  <si>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</si>
  <si>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</si>
  <si>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</si>
  <si>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</si>
  <si>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</si>
  <si>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</si>
  <si>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</si>
  <si>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</si>
  <si>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</si>
  <si>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</si>
  <si>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</si>
  <si>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</si>
  <si>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</si>
  <si>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</si>
  <si>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</si>
  <si>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</si>
  <si>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</si>
  <si>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</si>
  <si>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</si>
  <si>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</si>
  <si>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</si>
  <si>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</si>
  <si>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</si>
  <si>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</si>
  <si>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</si>
  <si>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</si>
  <si>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</si>
  <si>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</si>
  <si>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</si>
  <si>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</si>
  <si>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</si>
  <si>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</si>
  <si>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</si>
  <si>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</si>
  <si>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</si>
  <si>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</si>
  <si>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</si>
  <si>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</si>
  <si>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</si>
  <si>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</si>
  <si>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</si>
  <si>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</si>
  <si>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</si>
  <si>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</si>
  <si>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</si>
  <si>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</si>
  <si>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</si>
  <si>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</si>
  <si>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</si>
  <si>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</si>
  <si>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</si>
  <si>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</si>
  <si>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</si>
  <si>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</si>
  <si>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</si>
  <si>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</si>
  <si>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</si>
  <si>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</si>
  <si>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</si>
  <si>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</si>
  <si>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</si>
  <si>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</si>
  <si>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</si>
  <si>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</si>
  <si>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</si>
  <si>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</si>
  <si>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</si>
  <si>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</si>
  <si>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</si>
  <si>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</si>
  <si>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</si>
  <si>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</si>
  <si>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</si>
  <si>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</si>
  <si>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</si>
  <si>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</si>
  <si>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</si>
  <si>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</si>
  <si>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</si>
  <si>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</si>
  <si>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</si>
  <si>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</si>
  <si>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</si>
  <si>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</si>
  <si>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</si>
  <si>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</si>
  <si>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</si>
  <si>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</si>
  <si>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</si>
  <si>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</si>
  <si>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</si>
  <si>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</si>
  <si>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</si>
  <si>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</si>
  <si>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</si>
  <si>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</si>
  <si>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</si>
  <si>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</si>
  <si>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</si>
  <si>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</si>
  <si>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</si>
  <si>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</si>
  <si>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</si>
  <si>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</si>
  <si>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</si>
  <si>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</si>
  <si>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</si>
  <si>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</si>
  <si>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</si>
  <si>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</si>
  <si>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</si>
  <si>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</si>
  <si>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</si>
  <si>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</si>
  <si>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</si>
  <si>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</si>
  <si>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</si>
  <si>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</si>
  <si>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</si>
  <si>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</si>
  <si>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</si>
  <si>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</si>
  <si>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</si>
  <si>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</si>
  <si>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</si>
  <si>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</si>
  <si>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</si>
  <si>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</si>
  <si>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</si>
  <si>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</si>
  <si>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</si>
  <si>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</si>
  <si>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</si>
  <si>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</si>
  <si>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</si>
  <si>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</si>
  <si>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</si>
  <si>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</si>
  <si>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</si>
  <si>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</si>
  <si>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</si>
  <si>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</si>
  <si>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</si>
  <si>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</si>
  <si>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</si>
  <si>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</si>
  <si>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</si>
  <si>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</si>
  <si>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</si>
  <si>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</si>
  <si>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</si>
  <si>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</si>
  <si>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</si>
  <si>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</si>
  <si>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</si>
  <si>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</si>
  <si>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</si>
  <si>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</si>
  <si>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</si>
  <si>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</si>
  <si>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</si>
  <si>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</si>
  <si>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</si>
  <si>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</si>
  <si>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</si>
  <si>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</si>
  <si>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</si>
  <si>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</si>
  <si>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</si>
  <si>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</si>
  <si>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</si>
  <si>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</si>
  <si>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</si>
  <si>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</si>
  <si>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</si>
  <si>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</si>
  <si>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</si>
  <si>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</si>
  <si>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</si>
  <si>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</si>
  <si>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</si>
  <si>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</si>
  <si>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</si>
  <si>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</si>
  <si>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</si>
  <si>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</si>
  <si>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</si>
  <si>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</si>
  <si>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</si>
  <si>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</si>
  <si>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</si>
  <si>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</si>
  <si>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</si>
  <si>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</si>
  <si>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</si>
  <si>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</si>
  <si>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</si>
  <si>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</si>
  <si>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</si>
  <si>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</si>
  <si>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</si>
  <si>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</si>
  <si>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</si>
  <si>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</si>
  <si>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</si>
  <si>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</si>
  <si>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</si>
  <si>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</si>
  <si>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</si>
  <si>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</si>
  <si>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</si>
  <si>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</si>
  <si>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</si>
  <si>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</si>
  <si>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</si>
  <si>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</si>
  <si>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</si>
  <si>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</si>
  <si>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</si>
  <si>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</si>
  <si>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</si>
  <si>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</si>
  <si>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</si>
  <si>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</si>
  <si>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</si>
  <si>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</si>
  <si>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</si>
  <si>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</si>
  <si>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</si>
  <si>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</si>
  <si>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</si>
  <si>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</si>
  <si>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</si>
  <si>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</si>
  <si>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</si>
  <si>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</si>
  <si>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</si>
  <si>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</si>
  <si>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</si>
  <si>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</si>
  <si>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</si>
  <si>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</si>
  <si>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</si>
  <si>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</si>
  <si>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</si>
  <si>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</si>
  <si>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</si>
  <si>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</si>
  <si>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</si>
  <si>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</si>
  <si>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</si>
  <si>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</si>
  <si>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</si>
  <si>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</si>
  <si>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</si>
  <si>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</si>
  <si>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</si>
  <si>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</si>
  <si>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</si>
  <si>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</si>
  <si>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</si>
  <si>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</si>
  <si>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</si>
  <si>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</si>
  <si>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</si>
  <si>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</si>
  <si>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</si>
  <si>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</si>
  <si>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</si>
  <si>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</si>
  <si>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</si>
  <si>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</si>
  <si>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</si>
  <si>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</si>
  <si>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</si>
  <si>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</si>
  <si>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</si>
  <si>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</si>
  <si>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</si>
  <si>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</si>
  <si>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</si>
  <si>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</si>
  <si>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</si>
  <si>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</si>
  <si>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</si>
  <si>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</si>
  <si>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</si>
  <si>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</si>
  <si>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</si>
  <si>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</si>
  <si>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</si>
  <si>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</si>
  <si>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</si>
  <si>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</si>
  <si>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</si>
  <si>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</si>
  <si>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</si>
  <si>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</si>
  <si>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</si>
  <si>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</si>
  <si>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</si>
  <si>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</si>
  <si>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</si>
  <si>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</si>
  <si>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</si>
  <si>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</si>
  <si>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</si>
  <si>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</si>
  <si>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</si>
  <si>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</si>
  <si>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</si>
  <si>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</si>
  <si>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</si>
  <si>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</si>
  <si>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</si>
  <si>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</si>
  <si>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</si>
  <si>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</si>
  <si>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</si>
  <si>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</si>
  <si>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</si>
  <si>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</si>
  <si>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</si>
  <si>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</si>
  <si>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</si>
  <si>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</si>
  <si>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</si>
  <si>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</si>
  <si>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</si>
  <si>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</si>
  <si>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</si>
  <si>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</si>
  <si>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</si>
  <si>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</si>
  <si>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</si>
  <si>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</si>
  <si>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</si>
  <si>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</si>
  <si>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</si>
  <si>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</si>
  <si>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</si>
  <si>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</si>
  <si>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</si>
  <si>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</si>
  <si>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</si>
  <si>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</si>
  <si>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</si>
  <si>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</si>
  <si>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</si>
  <si>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</si>
  <si>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</si>
  <si>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</si>
  <si>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</si>
  <si>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</si>
  <si>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</si>
  <si>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</si>
  <si>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</si>
  <si>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</si>
  <si>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</si>
  <si>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</si>
  <si>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</si>
  <si>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</si>
  <si>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</si>
  <si>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</si>
  <si>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</si>
  <si>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</si>
  <si>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</si>
  <si>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</si>
  <si>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</si>
  <si>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</si>
  <si>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</si>
  <si>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</si>
  <si>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</si>
  <si>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</si>
  <si>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</si>
  <si>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</si>
  <si>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</si>
  <si>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</si>
  <si>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</si>
  <si>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</si>
  <si>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</si>
  <si>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</si>
  <si>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</si>
  <si>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</si>
  <si>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</si>
  <si>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</si>
  <si>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</si>
  <si>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</si>
  <si>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</si>
  <si>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</si>
  <si>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</si>
  <si>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</si>
  <si>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</si>
  <si>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</si>
  <si>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</si>
  <si>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</si>
  <si>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</si>
  <si>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</si>
  <si>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</si>
  <si>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</si>
  <si>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</si>
  <si>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</si>
  <si>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</si>
  <si>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</si>
  <si>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</si>
  <si>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</si>
  <si>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</si>
  <si>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</si>
  <si>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</si>
  <si>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</si>
  <si>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</si>
  <si>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</si>
  <si>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</si>
  <si>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</si>
  <si>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</si>
  <si>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</si>
  <si>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</si>
  <si>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</si>
  <si>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</si>
  <si>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</si>
  <si>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</si>
  <si>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</si>
  <si>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</si>
  <si>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</si>
  <si>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</si>
  <si>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</si>
  <si>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</si>
  <si>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</si>
  <si>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</si>
  <si>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</si>
  <si>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</si>
  <si>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</si>
  <si>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</si>
  <si>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</si>
  <si>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</si>
  <si>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</si>
  <si>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</si>
  <si>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</si>
  <si>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</si>
  <si>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</si>
  <si>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</si>
  <si>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</si>
  <si>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</si>
  <si>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</si>
  <si>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</si>
  <si>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</si>
  <si>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</si>
  <si>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</si>
  <si>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</si>
  <si>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</si>
  <si>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</si>
  <si>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</si>
  <si>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</si>
  <si>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</si>
  <si>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</si>
  <si>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</si>
  <si>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</si>
  <si>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</si>
  <si>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</si>
  <si>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</si>
  <si>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</si>
  <si>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</si>
  <si>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</si>
  <si>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</si>
  <si>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</si>
  <si>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</si>
  <si>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</si>
  <si>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</si>
  <si>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</si>
  <si>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</si>
  <si>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</si>
  <si>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</si>
  <si>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</si>
  <si>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</si>
  <si>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</si>
  <si>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</si>
  <si>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</si>
  <si>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</si>
  <si>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</si>
  <si>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</si>
  <si>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</si>
  <si>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</si>
  <si>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</si>
  <si>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</si>
  <si>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</si>
  <si>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</si>
  <si>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</si>
  <si>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</si>
  <si>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</si>
  <si>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</si>
  <si>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</si>
  <si>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</si>
  <si>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</si>
  <si>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</si>
  <si>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</si>
  <si>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</si>
  <si>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</si>
  <si>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</si>
  <si>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</si>
  <si>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</si>
  <si>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</si>
  <si>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</si>
  <si>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</si>
  <si>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</si>
  <si>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</si>
  <si>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</si>
  <si>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</si>
  <si>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</si>
  <si>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</si>
  <si>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</si>
  <si>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</si>
  <si>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</si>
  <si>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</si>
  <si>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</si>
  <si>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</si>
  <si>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</si>
  <si>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</si>
  <si>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</si>
  <si>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</si>
  <si>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</si>
  <si>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</si>
  <si>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</si>
  <si>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</si>
  <si>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</si>
  <si>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</si>
  <si>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</si>
  <si>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</si>
  <si>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</si>
  <si>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</si>
  <si>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</si>
  <si>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</si>
  <si>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</si>
  <si>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</si>
  <si>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</si>
  <si>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</si>
  <si>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</si>
  <si>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</si>
  <si>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</si>
  <si>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</si>
  <si>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</si>
  <si>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</si>
  <si>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</si>
  <si>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</si>
  <si>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</si>
  <si>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</si>
  <si>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</si>
  <si>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</si>
  <si>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</si>
  <si>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</si>
  <si>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</si>
  <si>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</si>
  <si>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</si>
  <si>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</si>
  <si>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</si>
  <si>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</si>
  <si>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</si>
  <si>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</si>
  <si>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</si>
  <si>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</si>
  <si>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</si>
  <si>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</si>
  <si>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</si>
  <si>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</si>
  <si>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</si>
  <si>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</si>
  <si>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</si>
  <si>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</si>
  <si>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</si>
  <si>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</si>
  <si>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</si>
  <si>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</si>
  <si>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</si>
  <si>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</si>
  <si>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</si>
  <si>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</si>
  <si>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</si>
  <si>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</si>
  <si>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</si>
  <si>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</si>
  <si>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</si>
  <si>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</si>
  <si>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</si>
  <si>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</si>
  <si>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</si>
  <si>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</si>
  <si>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</si>
  <si>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</si>
  <si>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</si>
  <si>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</si>
  <si>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</si>
  <si>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</si>
  <si>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</si>
  <si>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</si>
  <si>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</si>
  <si>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</si>
  <si>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</si>
  <si>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</si>
  <si>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</si>
  <si>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</si>
  <si>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</si>
  <si>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</si>
  <si>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</si>
  <si>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</si>
  <si>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</si>
  <si>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</si>
  <si>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</si>
  <si>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</si>
  <si>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</si>
  <si>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</si>
  <si>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</si>
  <si>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</si>
  <si>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</si>
  <si>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</si>
  <si>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</si>
  <si>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</si>
  <si>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</si>
  <si>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</si>
  <si>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</si>
  <si>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</si>
  <si>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</si>
  <si>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</si>
  <si>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</si>
  <si>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</si>
  <si>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</si>
  <si>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</si>
  <si>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</si>
  <si>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</si>
  <si>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</si>
  <si>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</si>
  <si>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</si>
  <si>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</si>
  <si>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</si>
  <si>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</si>
  <si>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</si>
  <si>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</si>
  <si>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</si>
  <si>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</si>
  <si>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</si>
  <si>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</si>
  <si>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</si>
  <si>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</si>
  <si>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</si>
  <si>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</si>
  <si>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</si>
  <si>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</si>
  <si>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</si>
  <si>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</si>
  <si>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</si>
  <si>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</si>
  <si>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</si>
  <si>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</si>
  <si>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</si>
  <si>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</si>
  <si>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</si>
  <si>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</si>
  <si>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</si>
  <si>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</si>
  <si>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</si>
  <si>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</si>
  <si>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</si>
  <si>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</si>
  <si>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</si>
  <si>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</si>
  <si>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</si>
  <si>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</si>
  <si>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</si>
  <si>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</si>
  <si>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</si>
  <si>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</si>
  <si>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</si>
  <si>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</si>
  <si>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</si>
  <si>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</si>
  <si>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</si>
  <si>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</si>
  <si>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</si>
  <si>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</si>
  <si>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</si>
  <si>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</si>
  <si>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</si>
  <si>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</si>
  <si>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</si>
  <si>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</si>
  <si>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</si>
  <si>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</si>
  <si>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</si>
  <si>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</si>
  <si>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</si>
  <si>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</si>
  <si>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</si>
  <si>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</si>
  <si>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</si>
  <si>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</si>
  <si>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</si>
  <si>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</si>
  <si>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</si>
  <si>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</si>
  <si>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</si>
  <si>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</si>
  <si>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</si>
  <si>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</si>
  <si>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</si>
  <si>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</si>
  <si>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</si>
  <si>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</si>
  <si>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</si>
  <si>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</si>
  <si>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</si>
  <si>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</si>
  <si>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</si>
  <si>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</si>
  <si>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</si>
  <si>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</si>
  <si>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</si>
  <si>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</si>
  <si>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</si>
  <si>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</si>
  <si>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</si>
  <si>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</si>
  <si>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</si>
  <si>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</si>
  <si>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</si>
  <si>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</si>
  <si>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</si>
  <si>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</si>
  <si>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</si>
  <si>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</si>
  <si>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</si>
  <si>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</si>
  <si>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</si>
  <si>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</si>
  <si>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</si>
  <si>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</si>
  <si>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</si>
  <si>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</si>
  <si>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</si>
  <si>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</si>
  <si>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</si>
  <si>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</si>
  <si>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</si>
  <si>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</si>
  <si>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</si>
  <si>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Westpark Family Affordable Apartments</t>
  </si>
  <si>
    <t>City of Roseville</t>
  </si>
  <si>
    <t>Dominick Casey</t>
  </si>
  <si>
    <t>311 Vernon Street</t>
  </si>
  <si>
    <t>Roseville</t>
  </si>
  <si>
    <t>(916) 774-5362</t>
  </si>
  <si>
    <t>CityManager@roseville.ca.us</t>
  </si>
  <si>
    <t>2801 Westbrook Boulevard</t>
  </si>
  <si>
    <t>496-020-014-000</t>
  </si>
  <si>
    <t>40%/60% Average Income</t>
  </si>
  <si>
    <t>2115 J Street, Suite 201</t>
  </si>
  <si>
    <t>CA</t>
  </si>
  <si>
    <t>Ardie Zahedani</t>
  </si>
  <si>
    <t>az@antoncap.com</t>
  </si>
  <si>
    <t>St. Anton Westpark Affordable, LLC</t>
  </si>
  <si>
    <t>Administrative GP</t>
  </si>
  <si>
    <t>1801 I Street, Suite 200</t>
  </si>
  <si>
    <t>PacH Anton South Holdings, LLC</t>
  </si>
  <si>
    <t>Managing GP</t>
  </si>
  <si>
    <t>Mark A. Wiese</t>
  </si>
  <si>
    <t>mwiese@pacifichousing.com</t>
  </si>
  <si>
    <t>Pacific Housing, Inc.</t>
  </si>
  <si>
    <t>Pacific Housing, Inc</t>
  </si>
  <si>
    <t>St. Anton Communities, LLC</t>
  </si>
  <si>
    <t>Developer</t>
  </si>
  <si>
    <t>Sacramento, CA 95811</t>
  </si>
  <si>
    <t>916-400-2077</t>
  </si>
  <si>
    <t>916-444-9843</t>
  </si>
  <si>
    <t>Graber Rasmussen Architects</t>
  </si>
  <si>
    <t>1725 J Street</t>
  </si>
  <si>
    <t>William Rasmussen</t>
  </si>
  <si>
    <t>wr@graber-rasmussen.com</t>
  </si>
  <si>
    <t>Cox, Castle &amp; Nicholson LLP</t>
  </si>
  <si>
    <t>50 California Street, Suite 3200</t>
  </si>
  <si>
    <t>San Francisco, CA 94111</t>
  </si>
  <si>
    <t>Ofer Elitzur</t>
  </si>
  <si>
    <t>oelitzur@coxcastle.com</t>
  </si>
  <si>
    <t>Hurley Construction, Inc.</t>
  </si>
  <si>
    <t>Tony Patillo</t>
  </si>
  <si>
    <t>tap@antoncap.com</t>
  </si>
  <si>
    <t>Novogradac &amp; Company LLP</t>
  </si>
  <si>
    <t>1160 Battery Street, East Building, Suite 225</t>
  </si>
  <si>
    <t>Melissa Chung</t>
  </si>
  <si>
    <t>Melissa.Chung@novoco.com</t>
  </si>
  <si>
    <t>Valley Energy Consultants</t>
  </si>
  <si>
    <t>2201 San Francisco Drive</t>
  </si>
  <si>
    <t>El Dorado Hills, CA 95762</t>
  </si>
  <si>
    <t>Michael P. McDermott</t>
  </si>
  <si>
    <t>mikem@themcdermottgroup.com</t>
  </si>
  <si>
    <t>Bank of America, N.A.</t>
  </si>
  <si>
    <t>555 California Street, 6th Floor</t>
  </si>
  <si>
    <t>San Francisco, CA 94104</t>
  </si>
  <si>
    <t>Robert A. Reinhardt</t>
  </si>
  <si>
    <t xml:space="preserve">(415) 436-1165  </t>
  </si>
  <si>
    <t>robert.reinhardt@bofa.com</t>
  </si>
  <si>
    <t>Laurin Associates</t>
  </si>
  <si>
    <t>1501 Sports Drive, Suite A</t>
  </si>
  <si>
    <t>Sacramento, CA 95834</t>
  </si>
  <si>
    <t>Stefanie Williams</t>
  </si>
  <si>
    <t>swilliams@laurinassociates.com</t>
  </si>
  <si>
    <t>CalPFA</t>
  </si>
  <si>
    <t>800 S Broadway, Suite 470</t>
  </si>
  <si>
    <t>Walnut Creek, CA 94596</t>
  </si>
  <si>
    <t>Caitlin Lanctot</t>
  </si>
  <si>
    <t xml:space="preserve">clanctot@calpfa.org </t>
  </si>
  <si>
    <t>St. Anton Multifamily, Inc</t>
  </si>
  <si>
    <t>1801 I St., Suite 200</t>
  </si>
  <si>
    <t>Lusy Juvet</t>
  </si>
  <si>
    <t>laj@antoncap.com</t>
  </si>
  <si>
    <t>Peter Geremia, Ardie Zahedani</t>
  </si>
  <si>
    <t>Manager</t>
  </si>
  <si>
    <t>1801 I Street, Suite 200, Sacramento, CA  95811</t>
  </si>
  <si>
    <t>Lennar Homes of California, LLC</t>
  </si>
  <si>
    <t>West Roseville Specific Plan</t>
  </si>
  <si>
    <t>HDR, 21.5 Acre Minimum, no Maximum</t>
  </si>
  <si>
    <t>No change</t>
  </si>
  <si>
    <t>1.5 spaces</t>
  </si>
  <si>
    <t>WNC</t>
  </si>
  <si>
    <t>JPMorgan Chase Bank, N.A.</t>
  </si>
  <si>
    <t>560 Mission Street, 4th Floor</t>
  </si>
  <si>
    <t>Waheed F. Karim</t>
  </si>
  <si>
    <t>(619) 518-2610</t>
  </si>
  <si>
    <t>Construction Loan</t>
  </si>
  <si>
    <t>17782 Sky Park Circle</t>
  </si>
  <si>
    <t>Irvine</t>
  </si>
  <si>
    <t>Jessica Captanis</t>
  </si>
  <si>
    <t>LIHTC Equity</t>
  </si>
  <si>
    <t>Permanent Loan</t>
  </si>
  <si>
    <t>Kristine Stephan</t>
  </si>
  <si>
    <t>Deferred Fee</t>
  </si>
  <si>
    <t>Misc. Income</t>
  </si>
  <si>
    <t>Placer County Housing Authority</t>
  </si>
  <si>
    <t>AC</t>
  </si>
  <si>
    <t>Admin</t>
  </si>
  <si>
    <t>Leasing/Commissions/Rent Allowance</t>
  </si>
  <si>
    <t>Insurance &amp; Business License</t>
  </si>
  <si>
    <t>Other: Closing Costs</t>
  </si>
  <si>
    <t>Not Applicable</t>
  </si>
  <si>
    <t>Provided</t>
  </si>
  <si>
    <t>Recycled Bonds</t>
  </si>
  <si>
    <t>20th</t>
  </si>
  <si>
    <t>May</t>
  </si>
  <si>
    <t>Mark Wiese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</si>
</sst>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16" fillId="5" borderId="9" xfId="0" applyFont="1" applyFill="1" applyBorder="1" applyAlignment="1" applyProtection="1">
      <alignment horizontal="center"/>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166" fontId="16" fillId="5" borderId="4" xfId="0" applyNumberFormat="1" applyFont="1" applyFill="1" applyBorder="1" applyAlignment="1" applyProtection="1">
      <alignment horizontal="left"/>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36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2037</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2038</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2607</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2606</v>
      </c>
      <c r="E18" s="441"/>
      <c r="G18" s="441"/>
      <c r="H18" s="441"/>
      <c r="I18" s="441"/>
      <c r="J18" s="1273" t="s">
        <v>2605</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2039</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2040</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2521</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2144</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2047</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2048</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1248</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2041</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2042</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2043</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1281</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1259</v>
      </c>
      <c r="G131" s="2"/>
      <c r="H131" s="2"/>
      <c r="I131" s="2"/>
      <c r="J131" s="2"/>
      <c r="K131" s="2"/>
      <c r="L131" s="2"/>
      <c r="M131" s="2"/>
      <c r="N131" s="2"/>
    </row>
    <row r="132" spans="4:37" ht="12.75" customHeight="1">
      <c r="E132" s="119" t="s">
        <v>1257</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1258</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2044</v>
      </c>
      <c r="F138" s="2"/>
      <c r="G138" s="2"/>
      <c r="H138" s="2"/>
    </row>
    <row r="139" spans="4:37">
      <c r="E139" t="s">
        <v>112</v>
      </c>
      <c r="F139" t="s">
        <v>52</v>
      </c>
    </row>
    <row r="140" spans="4:37">
      <c r="E140" t="s">
        <v>113</v>
      </c>
      <c r="F140" t="s">
        <v>467</v>
      </c>
    </row>
    <row r="141" spans="4:37"/>
    <row r="142" spans="4:37">
      <c r="D142" s="2" t="s">
        <v>429</v>
      </c>
      <c r="E142" s="2" t="s">
        <v>2045</v>
      </c>
    </row>
    <row r="143" spans="4:37">
      <c r="E143" s="204" t="s">
        <v>2046</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1230</v>
      </c>
      <c r="I340" s="2"/>
      <c r="J340" s="4"/>
      <c r="K340" s="4"/>
      <c r="L340" s="4"/>
      <c r="M340" s="4"/>
      <c r="N340" s="4"/>
      <c r="O340" s="4"/>
      <c r="P340" s="4"/>
      <c r="Q340" s="4"/>
      <c r="R340" s="4"/>
      <c r="S340" s="4"/>
    </row>
    <row r="341" spans="2:37" ht="13.15" customHeight="1">
      <c r="B341" s="2"/>
      <c r="E341" s="1265" t="s">
        <v>1237</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1239</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1238</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1228</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1260</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1261</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1262</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1271</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1277</v>
      </c>
      <c r="F390" s="3"/>
      <c r="G390" s="2"/>
      <c r="I390" s="120"/>
      <c r="J390" s="3"/>
      <c r="K390" s="3"/>
      <c r="L390" s="3"/>
      <c r="M390" s="3"/>
      <c r="N390" s="3"/>
      <c r="O390" s="3"/>
      <c r="P390" s="3"/>
      <c r="Q390" s="3"/>
      <c r="R390" s="3"/>
      <c r="S390" s="3"/>
    </row>
    <row r="391" spans="1:38" ht="13.15" customHeight="1">
      <c r="B391" s="2"/>
      <c r="D391" s="2"/>
      <c r="E391" s="3" t="s">
        <v>1276</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7" workbookViewId="0">
      <selection activeCell="R11" sqref="R1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7" t="s">
        <v>1587</v>
      </c>
      <c r="B1" s="2667"/>
      <c r="C1" s="2667"/>
      <c r="D1" s="2667"/>
      <c r="E1" s="2667"/>
      <c r="F1" s="2667"/>
      <c r="G1" s="2667"/>
      <c r="H1" s="2667"/>
      <c r="I1" s="2667"/>
      <c r="J1" s="2667"/>
    </row>
    <row r="2" spans="1:13" ht="15" customHeight="1" thickBot="1">
      <c r="A2" s="1046"/>
      <c r="B2" s="1046"/>
      <c r="I2" s="1047"/>
      <c r="K2" s="1048"/>
    </row>
    <row r="3" spans="1:13" s="1051" customFormat="1" ht="20.100000000000001" customHeight="1">
      <c r="A3" s="1100"/>
      <c r="B3" s="1101"/>
      <c r="C3" s="1102"/>
      <c r="D3" s="1107"/>
      <c r="E3" s="1102"/>
      <c r="F3" s="1103" t="s">
        <v>1992</v>
      </c>
      <c r="G3" s="1102"/>
      <c r="H3" s="1104">
        <f>E18</f>
        <v>38155548</v>
      </c>
      <c r="I3" s="1105"/>
    </row>
    <row r="4" spans="1:13" s="1051" customFormat="1" ht="20.100000000000001" customHeight="1">
      <c r="B4" s="1094"/>
      <c r="D4" s="1108"/>
      <c r="F4" s="1092" t="s">
        <v>1994</v>
      </c>
      <c r="G4" s="1091" t="s">
        <v>1993</v>
      </c>
      <c r="H4" s="1093">
        <f>I18</f>
        <v>36636421.568627454</v>
      </c>
      <c r="I4" s="1095"/>
      <c r="K4" s="1055"/>
    </row>
    <row r="5" spans="1:13" s="1051" customFormat="1" ht="20.100000000000001" customHeight="1" thickBot="1">
      <c r="B5" s="1096"/>
      <c r="C5" s="1097"/>
      <c r="D5" s="1109"/>
      <c r="E5" s="1098"/>
      <c r="F5" s="1109" t="s">
        <v>1944</v>
      </c>
      <c r="G5" s="1110"/>
      <c r="H5" s="1106">
        <f>IFERROR(H3/H4,0)</f>
        <v>1.0414649238743723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1942</v>
      </c>
      <c r="C8" s="2671"/>
      <c r="D8" s="2671"/>
      <c r="E8" s="2672"/>
      <c r="G8" s="2647" t="s">
        <v>1943</v>
      </c>
      <c r="H8" s="2648"/>
      <c r="I8" s="2649"/>
      <c r="K8" s="1057"/>
    </row>
    <row r="9" spans="1:13" ht="15" customHeight="1">
      <c r="A9" s="1046"/>
      <c r="B9" s="2668" t="s">
        <v>1976</v>
      </c>
      <c r="C9" s="2668"/>
      <c r="D9" s="2668"/>
      <c r="E9" s="1059">
        <f>G33</f>
        <v>11825000</v>
      </c>
      <c r="G9" s="2660" t="s">
        <v>1974</v>
      </c>
      <c r="H9" s="2660"/>
      <c r="I9" s="1060">
        <f>SUMIF(Application!M554:M565,"Loan, Tax-Exempt",Application!AM554:AM565)</f>
        <v>36120000</v>
      </c>
      <c r="K9" s="1061"/>
      <c r="M9" s="1062"/>
    </row>
    <row r="10" spans="1:13" ht="15" customHeight="1" thickBot="1">
      <c r="A10" s="1046"/>
      <c r="B10" s="2668" t="s">
        <v>1977</v>
      </c>
      <c r="C10" s="2668"/>
      <c r="D10" s="2668"/>
      <c r="E10" s="1060">
        <f>G47</f>
        <v>19288548</v>
      </c>
      <c r="G10" s="2674" t="s">
        <v>1945</v>
      </c>
      <c r="H10" s="2674"/>
      <c r="I10" s="1140">
        <f>'Basis &amp; Credits'!AB78</f>
        <v>0</v>
      </c>
      <c r="M10" s="1062"/>
    </row>
    <row r="11" spans="1:13" ht="15" customHeight="1">
      <c r="A11" s="1046"/>
      <c r="B11" s="2661" t="s">
        <v>2266</v>
      </c>
      <c r="C11" s="2662"/>
      <c r="D11" s="2663"/>
      <c r="E11" s="1060">
        <f>SUM(E12,E13)</f>
        <v>420000</v>
      </c>
      <c r="G11" s="2659" t="s">
        <v>1985</v>
      </c>
      <c r="H11" s="2659"/>
      <c r="I11" s="1139">
        <f>I9+I10</f>
        <v>36120000</v>
      </c>
      <c r="M11" s="1062"/>
    </row>
    <row r="12" spans="1:13" ht="15" customHeight="1">
      <c r="A12" s="1063"/>
      <c r="B12" s="2669" t="s">
        <v>2268</v>
      </c>
      <c r="C12" s="2669"/>
      <c r="D12" s="2669"/>
      <c r="E12" s="1165">
        <f>G56</f>
        <v>0</v>
      </c>
      <c r="M12" s="1062"/>
    </row>
    <row r="13" spans="1:13" ht="15" customHeight="1">
      <c r="A13" s="1049"/>
      <c r="B13" s="2669" t="s">
        <v>2269</v>
      </c>
      <c r="C13" s="2669"/>
      <c r="D13" s="2669"/>
      <c r="E13" s="1165">
        <f>G65</f>
        <v>420000</v>
      </c>
      <c r="G13" s="2647" t="s">
        <v>2008</v>
      </c>
      <c r="H13" s="2648"/>
      <c r="I13" s="2649"/>
      <c r="M13" s="1062"/>
    </row>
    <row r="14" spans="1:13" ht="15" customHeight="1">
      <c r="A14" s="1049"/>
      <c r="B14" s="2661" t="s">
        <v>2267</v>
      </c>
      <c r="C14" s="2662"/>
      <c r="D14" s="2663"/>
      <c r="E14" s="1167">
        <f>MAX(E15,E16)+E17</f>
        <v>6622000</v>
      </c>
      <c r="G14" s="2660" t="s">
        <v>139</v>
      </c>
      <c r="H14" s="2660"/>
      <c r="I14" s="1064">
        <f>15%*(AND(G120="Yes",G122&lt;&gt;""))</f>
        <v>0</v>
      </c>
      <c r="M14" s="1062"/>
    </row>
    <row r="15" spans="1:13" ht="15" customHeight="1">
      <c r="A15" s="1049"/>
      <c r="B15" s="2644" t="s">
        <v>2273</v>
      </c>
      <c r="C15" s="2645"/>
      <c r="D15" s="2646"/>
      <c r="E15" s="1165">
        <f>G80</f>
        <v>4730000</v>
      </c>
      <c r="G15" s="1137" t="s">
        <v>1986</v>
      </c>
      <c r="H15" s="1137"/>
      <c r="I15" s="1064">
        <f>IF(Application!AJ1032&gt;0,10%,IF(Application!AJ1036&gt;0,5%,0))</f>
        <v>0</v>
      </c>
      <c r="M15" s="1062"/>
    </row>
    <row r="16" spans="1:13" ht="15" customHeight="1">
      <c r="A16" s="1049"/>
      <c r="B16" s="2644" t="s">
        <v>2272</v>
      </c>
      <c r="C16" s="2645"/>
      <c r="D16" s="2646"/>
      <c r="E16" s="1165">
        <f>G90</f>
        <v>0</v>
      </c>
      <c r="G16" s="2660" t="s">
        <v>1987</v>
      </c>
      <c r="H16" s="2660"/>
      <c r="I16" s="1064">
        <f>G132</f>
        <v>-1.4297385620915032E-2</v>
      </c>
    </row>
    <row r="17" spans="1:21" ht="15" customHeight="1" thickBot="1">
      <c r="A17" s="1049"/>
      <c r="B17" s="2644" t="s">
        <v>2271</v>
      </c>
      <c r="C17" s="2645"/>
      <c r="D17" s="2646"/>
      <c r="E17" s="1165">
        <f>G115</f>
        <v>1892000</v>
      </c>
      <c r="G17" s="2660" t="s">
        <v>2281</v>
      </c>
      <c r="H17" s="2660"/>
      <c r="I17" s="1064">
        <f>IF(AND(G139="Yes",OR(G136,G137)),IF(G143&gt;15%,15%,G143),0)</f>
        <v>0</v>
      </c>
    </row>
    <row r="18" spans="1:21" ht="15" customHeight="1">
      <c r="A18" s="1046"/>
      <c r="B18" s="2673" t="s">
        <v>1941</v>
      </c>
      <c r="C18" s="2673"/>
      <c r="D18" s="2673"/>
      <c r="E18" s="1111">
        <f>SUM(E9:E11,E14)</f>
        <v>38155548</v>
      </c>
      <c r="G18" s="1138" t="s">
        <v>1975</v>
      </c>
      <c r="H18" s="1138"/>
      <c r="I18" s="1112">
        <f>I11-((I11*I14)+(I11*I15)+(I11*I16)+(I11*I17))</f>
        <v>36636421.568627454</v>
      </c>
      <c r="M18" s="1065">
        <f>SUM(Cdlac[Quantity])</f>
        <v>199</v>
      </c>
      <c r="O18" s="1084" t="s">
        <v>583</v>
      </c>
      <c r="P18" s="1044">
        <f>MATCH(Application!T189,Application!CB160:CB217,0)</f>
        <v>31</v>
      </c>
      <c r="T18" s="1065">
        <f>SUM(Cdlac[Population])</f>
        <v>0</v>
      </c>
    </row>
    <row r="19" spans="1:21" ht="15" customHeight="1">
      <c r="A19" s="1046"/>
      <c r="B19" s="1046"/>
      <c r="C19" s="1046"/>
      <c r="D19" s="1046"/>
      <c r="E19" s="1046"/>
      <c r="L19" s="1044" t="s">
        <v>1937</v>
      </c>
      <c r="M19" s="1044" t="s">
        <v>1936</v>
      </c>
      <c r="N19" s="1044" t="s">
        <v>1948</v>
      </c>
      <c r="O19" s="1044" t="s">
        <v>1949</v>
      </c>
      <c r="P19" s="1044" t="s">
        <v>1938</v>
      </c>
      <c r="Q19" s="1044" t="s">
        <v>2264</v>
      </c>
      <c r="R19" s="1044" t="s">
        <v>1939</v>
      </c>
      <c r="S19" s="1044" t="s">
        <v>1950</v>
      </c>
      <c r="T19" s="1044" t="s">
        <v>1956</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723.6</v>
      </c>
      <c r="Q20" s="1164"/>
      <c r="R20" s="1065" cm="1">
        <f t="array" ref="R20">IF(Cdlac[[#This Row],[Quantity]]&gt;0,INDEX(HudFmrs,$P$18,Cdlac[[#This Row],[Bedrooms]]+1),"")</f>
        <v>1777</v>
      </c>
      <c r="S20" s="1065">
        <f>IF(Cdlac[[#This Row],[Quantity]]&gt;0,MAX(0,Cdlac[[#This Row],[Fair Market Rent]]-IF(AND($G$37,$G$38,$G$38&lt;&gt;"",NOT(Cdlac[[#This Row],[Federal]]),Cdlac[[#This Row],[Preservation Rent]]&lt;&gt;""),Cdlac[[#This Row],[Preservation Rent]],Cdlac[[#This Row],[Restricted Rent]])),"")</f>
        <v>1053.4000000000001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6</v>
      </c>
      <c r="N21" s="1071">
        <f>Application!AC719</f>
        <v>0.5</v>
      </c>
      <c r="O21" s="1071">
        <f>IF(Cdlac[[#This Row],[Quantity]]&gt;0,IF(Cdlac[[#This Row],[Federal]],30%,IF(AND(OR(NOT($G$38),$G$38=""),$G$43),40%,Cdlac[[#This Row],[iAMI]])),"")</f>
        <v>0.5</v>
      </c>
      <c r="P21" s="1065" cm="1">
        <f t="array" ref="P21">IF(Cdlac[[#This Row],[Quantity]]&gt;0,INDEX(TcacRents,$P$18,Cdlac[[#This Row],[Bedrooms]]+1)*Cdlac[[#This Row],[AMI]],"")</f>
        <v>1206</v>
      </c>
      <c r="Q21" s="1164"/>
      <c r="R21" s="1065" cm="1">
        <f t="array" ref="R21">IF(Cdlac[[#This Row],[Quantity]]&gt;0,INDEX(HudFmrs,$P$18,Cdlac[[#This Row],[Bedrooms]]+1),"")</f>
        <v>1777</v>
      </c>
      <c r="S21" s="1065">
        <f>IF(Cdlac[[#This Row],[Quantity]]&gt;0,MAX(0,Cdlac[[#This Row],[Fair Market Rent]]-IF(AND($G$37,$G$38,$G$38&lt;&gt;"",NOT(Cdlac[[#This Row],[Federal]]),Cdlac[[#This Row],[Preservation Rent]]&lt;&gt;""),Cdlac[[#This Row],[Preservation Rent]],Cdlac[[#This Row],[Restricted Rent]])),"")</f>
        <v>571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1989</v>
      </c>
      <c r="D22" s="2651" t="s">
        <v>1990</v>
      </c>
      <c r="E22" s="2651" t="s">
        <v>1991</v>
      </c>
      <c r="F22" s="2651" t="s">
        <v>2612</v>
      </c>
      <c r="G22" s="2651" t="s">
        <v>1988</v>
      </c>
      <c r="H22" s="1070"/>
      <c r="I22" s="1069"/>
      <c r="L22" s="1044">
        <f>IFERROR(MIN(4,MATCH(Application!B720,UnitSizes,0)-1),"")</f>
        <v>1</v>
      </c>
      <c r="M22" s="1065">
        <f>Application!G720</f>
        <v>20</v>
      </c>
      <c r="N22" s="1071">
        <f>Application!AC720</f>
        <v>0.6</v>
      </c>
      <c r="O22" s="1071">
        <f>IF(Cdlac[[#This Row],[Quantity]]&gt;0,IF(Cdlac[[#This Row],[Federal]],30%,IF(AND(OR(NOT($G$38),$G$38=""),$G$43),40%,Cdlac[[#This Row],[iAMI]])),"")</f>
        <v>0.6</v>
      </c>
      <c r="P22" s="1065" cm="1">
        <f t="array" ref="P22">IF(Cdlac[[#This Row],[Quantity]]&gt;0,INDEX(TcacRents,$P$18,Cdlac[[#This Row],[Bedrooms]]+1)*Cdlac[[#This Row],[AMI]],"")</f>
        <v>1447.2</v>
      </c>
      <c r="Q22" s="1164"/>
      <c r="R22" s="1065" cm="1">
        <f t="array" ref="R22">IF(Cdlac[[#This Row],[Quantity]]&gt;0,INDEX(HudFmrs,$P$18,Cdlac[[#This Row],[Bedrooms]]+1),"")</f>
        <v>1777</v>
      </c>
      <c r="S22" s="1065">
        <f>IF(Cdlac[[#This Row],[Quantity]]&gt;0,MAX(0,Cdlac[[#This Row],[Fair Market Rent]]-IF(AND($G$37,$G$38,$G$38&lt;&gt;"",NOT(Cdlac[[#This Row],[Federal]]),Cdlac[[#This Row],[Preservation Rent]]&lt;&gt;""),Cdlac[[#This Row],[Preservation Rent]],Cdlac[[#This Row],[Restricted Rent]])),"")</f>
        <v>329.79999999999995</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1</v>
      </c>
      <c r="M23" s="1065">
        <f>Application!G721</f>
        <v>18</v>
      </c>
      <c r="N23" s="1071">
        <f>Application!AC721</f>
        <v>0.7</v>
      </c>
      <c r="O23" s="1071">
        <f>IF(Cdlac[[#This Row],[Quantity]]&gt;0,IF(Cdlac[[#This Row],[Federal]],30%,IF(AND(OR(NOT($G$38),$G$38=""),$G$43),40%,Cdlac[[#This Row],[iAMI]])),"")</f>
        <v>0.7</v>
      </c>
      <c r="P23" s="1065" cm="1">
        <f t="array" ref="P23">IF(Cdlac[[#This Row],[Quantity]]&gt;0,INDEX(TcacRents,$P$18,Cdlac[[#This Row],[Bedrooms]]+1)*Cdlac[[#This Row],[AMI]],"")</f>
        <v>1688.3999999999999</v>
      </c>
      <c r="Q23" s="1164"/>
      <c r="R23" s="1065" cm="1">
        <f t="array" ref="R23">IF(Cdlac[[#This Row],[Quantity]]&gt;0,INDEX(HudFmrs,$P$18,Cdlac[[#This Row],[Bedrooms]]+1),"")</f>
        <v>1777</v>
      </c>
      <c r="S23" s="1065">
        <f>IF(Cdlac[[#This Row],[Quantity]]&gt;0,MAX(0,Cdlac[[#This Row],[Fair Market Rent]]-IF(AND($G$37,$G$38,$G$38&lt;&gt;"",NOT(Cdlac[[#This Row],[Federal]]),Cdlac[[#This Row],[Preservation Rent]]&lt;&gt;""),Cdlac[[#This Row],[Preservation Rent]],Cdlac[[#This Row],[Restricted Rent]])),"")</f>
        <v>88.600000000000136</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5</v>
      </c>
      <c r="N24" s="1071">
        <f>Application!AC722</f>
        <v>0.3</v>
      </c>
      <c r="O24" s="1071">
        <f>IF(Cdlac[[#This Row],[Quantity]]&gt;0,IF(Cdlac[[#This Row],[Federal]],30%,IF(AND(OR(NOT($G$38),$G$38=""),$G$43),40%,Cdlac[[#This Row],[iAMI]])),"")</f>
        <v>0.3</v>
      </c>
      <c r="P24" s="1065" cm="1">
        <f t="array" ref="P24">IF(Cdlac[[#This Row],[Quantity]]&gt;0,INDEX(TcacRents,$P$18,Cdlac[[#This Row],[Bedrooms]]+1)*Cdlac[[#This Row],[AMI]],"")</f>
        <v>723.6</v>
      </c>
      <c r="Q24" s="1164"/>
      <c r="R24" s="1065" cm="1">
        <f t="array" ref="R24">IF(Cdlac[[#This Row],[Quantity]]&gt;0,INDEX(HudFmrs,$P$18,Cdlac[[#This Row],[Bedrooms]]+1),"")</f>
        <v>1777</v>
      </c>
      <c r="S24" s="1065">
        <f>IF(Cdlac[[#This Row],[Quantity]]&gt;0,MAX(0,Cdlac[[#This Row],[Fair Market Rent]]-IF(AND($G$37,$G$38,$G$38&lt;&gt;"",NOT(Cdlac[[#This Row],[Federal]]),Cdlac[[#This Row],[Preservation Rent]]&lt;&gt;""),Cdlac[[#This Row],[Preservation Rent]],Cdlac[[#This Row],[Restricted Rent]])),"")</f>
        <v>1053.4000000000001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99</v>
      </c>
      <c r="F25" s="1072">
        <f>E25</f>
        <v>99</v>
      </c>
      <c r="G25" s="1072">
        <f>D25*F25</f>
        <v>99</v>
      </c>
      <c r="L25" s="1044">
        <f>IFERROR(MIN(4,MATCH(Application!B723,UnitSizes,0)-1),"")</f>
        <v>1</v>
      </c>
      <c r="M25" s="1065">
        <f>Application!G723</f>
        <v>5</v>
      </c>
      <c r="N25" s="1071">
        <f>Application!AC723</f>
        <v>0.5</v>
      </c>
      <c r="O25" s="1071">
        <f>IF(Cdlac[[#This Row],[Quantity]]&gt;0,IF(Cdlac[[#This Row],[Federal]],30%,IF(AND(OR(NOT($G$38),$G$38=""),$G$43),40%,Cdlac[[#This Row],[iAMI]])),"")</f>
        <v>0.5</v>
      </c>
      <c r="P25" s="1065" cm="1">
        <f t="array" ref="P25">IF(Cdlac[[#This Row],[Quantity]]&gt;0,INDEX(TcacRents,$P$18,Cdlac[[#This Row],[Bedrooms]]+1)*Cdlac[[#This Row],[AMI]],"")</f>
        <v>1206</v>
      </c>
      <c r="Q25" s="1164"/>
      <c r="R25" s="1065" cm="1">
        <f t="array" ref="R25">IF(Cdlac[[#This Row],[Quantity]]&gt;0,INDEX(HudFmrs,$P$18,Cdlac[[#This Row],[Bedrooms]]+1),"")</f>
        <v>1777</v>
      </c>
      <c r="S25" s="1065">
        <f>IF(Cdlac[[#This Row],[Quantity]]&gt;0,MAX(0,Cdlac[[#This Row],[Fair Market Rent]]-IF(AND($G$37,$G$38,$G$38&lt;&gt;"",NOT(Cdlac[[#This Row],[Federal]]),Cdlac[[#This Row],[Preservation Rent]]&lt;&gt;""),Cdlac[[#This Row],[Preservation Rent]],Cdlac[[#This Row],[Restricted Rent]])),"")</f>
        <v>571</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50</v>
      </c>
      <c r="F26" s="1075">
        <f>SUM(E26:E28)-SUM(F27:F28)</f>
        <v>50</v>
      </c>
      <c r="G26" s="1072">
        <f>D26*F26</f>
        <v>62.5</v>
      </c>
      <c r="H26" s="1074"/>
      <c r="I26" s="1074"/>
      <c r="L26" s="1044">
        <f>IFERROR(MIN(4,MATCH(Application!B724,UnitSizes,0)-1),"")</f>
        <v>1</v>
      </c>
      <c r="M26" s="1065">
        <f>Application!G724</f>
        <v>20</v>
      </c>
      <c r="N26" s="1071">
        <f>Application!AC724</f>
        <v>0.6</v>
      </c>
      <c r="O26" s="1071">
        <f>IF(Cdlac[[#This Row],[Quantity]]&gt;0,IF(Cdlac[[#This Row],[Federal]],30%,IF(AND(OR(NOT($G$38),$G$38=""),$G$43),40%,Cdlac[[#This Row],[iAMI]])),"")</f>
        <v>0.6</v>
      </c>
      <c r="P26" s="1065" cm="1">
        <f t="array" ref="P26">IF(Cdlac[[#This Row],[Quantity]]&gt;0,INDEX(TcacRents,$P$18,Cdlac[[#This Row],[Bedrooms]]+1)*Cdlac[[#This Row],[AMI]],"")</f>
        <v>1447.2</v>
      </c>
      <c r="Q26" s="1164"/>
      <c r="R26" s="1065" cm="1">
        <f t="array" ref="R26">IF(Cdlac[[#This Row],[Quantity]]&gt;0,INDEX(HudFmrs,$P$18,Cdlac[[#This Row],[Bedrooms]]+1),"")</f>
        <v>1777</v>
      </c>
      <c r="S26" s="1065">
        <f>IF(Cdlac[[#This Row],[Quantity]]&gt;0,MAX(0,Cdlac[[#This Row],[Fair Market Rent]]-IF(AND($G$37,$G$38,$G$38&lt;&gt;"",NOT(Cdlac[[#This Row],[Federal]]),Cdlac[[#This Row],[Preservation Rent]]&lt;&gt;""),Cdlac[[#This Row],[Preservation Rent]],Cdlac[[#This Row],[Restricted Rent]])),"")</f>
        <v>329.79999999999995</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50</v>
      </c>
      <c r="F27" s="1075">
        <f>MIN(E27,ROUNDDOWN(E29*30%,0))</f>
        <v>50</v>
      </c>
      <c r="G27" s="1072">
        <f>D27*F27</f>
        <v>75</v>
      </c>
      <c r="H27" s="1074"/>
      <c r="I27" s="1074"/>
      <c r="L27" s="1044">
        <f>IFERROR(MIN(4,MATCH(Application!B725,UnitSizes,0)-1),"")</f>
        <v>1</v>
      </c>
      <c r="M27" s="1065">
        <f>Application!G725</f>
        <v>19</v>
      </c>
      <c r="N27" s="1071">
        <f>Application!AC725</f>
        <v>0.7</v>
      </c>
      <c r="O27" s="1071">
        <f>IF(Cdlac[[#This Row],[Quantity]]&gt;0,IF(Cdlac[[#This Row],[Federal]],30%,IF(AND(OR(NOT($G$38),$G$38=""),$G$43),40%,Cdlac[[#This Row],[iAMI]])),"")</f>
        <v>0.7</v>
      </c>
      <c r="P27" s="1065" cm="1">
        <f t="array" ref="P27">IF(Cdlac[[#This Row],[Quantity]]&gt;0,INDEX(TcacRents,$P$18,Cdlac[[#This Row],[Bedrooms]]+1)*Cdlac[[#This Row],[AMI]],"")</f>
        <v>1688.3999999999999</v>
      </c>
      <c r="Q27" s="1164"/>
      <c r="R27" s="1065" cm="1">
        <f t="array" ref="R27">IF(Cdlac[[#This Row],[Quantity]]&gt;0,INDEX(HudFmrs,$P$18,Cdlac[[#This Row],[Bedrooms]]+1),"")</f>
        <v>1777</v>
      </c>
      <c r="S27" s="1065">
        <f>IF(Cdlac[[#This Row],[Quantity]]&gt;0,MAX(0,Cdlac[[#This Row],[Fair Market Rent]]-IF(AND($G$37,$G$38,$G$38&lt;&gt;"",NOT(Cdlac[[#This Row],[Federal]]),Cdlac[[#This Row],[Preservation Rent]]&lt;&gt;""),Cdlac[[#This Row],[Preservation Rent]],Cdlac[[#This Row],[Restricted Rent]])),"")</f>
        <v>88.600000000000136</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5</v>
      </c>
      <c r="N28" s="1071">
        <f>Application!AC726</f>
        <v>0.3</v>
      </c>
      <c r="O28" s="1071">
        <f>IF(Cdlac[[#This Row],[Quantity]]&gt;0,IF(Cdlac[[#This Row],[Federal]],30%,IF(AND(OR(NOT($G$38),$G$38=""),$G$43),40%,Cdlac[[#This Row],[iAMI]])),"")</f>
        <v>0.3</v>
      </c>
      <c r="P28" s="1065" cm="1">
        <f t="array" ref="P28">IF(Cdlac[[#This Row],[Quantity]]&gt;0,INDEX(TcacRents,$P$18,Cdlac[[#This Row],[Bedrooms]]+1)*Cdlac[[#This Row],[AMI]],"")</f>
        <v>868.19999999999993</v>
      </c>
      <c r="Q28" s="1164"/>
      <c r="R28" s="1065" cm="1">
        <f t="array" ref="R28">IF(Cdlac[[#This Row],[Quantity]]&gt;0,INDEX(HudFmrs,$P$18,Cdlac[[#This Row],[Bedrooms]]+1),"")</f>
        <v>2206</v>
      </c>
      <c r="S28" s="1065">
        <f>IF(Cdlac[[#This Row],[Quantity]]&gt;0,MAX(0,Cdlac[[#This Row],[Fair Market Rent]]-IF(AND($G$37,$G$38,$G$38&lt;&gt;"",NOT(Cdlac[[#This Row],[Federal]]),Cdlac[[#This Row],[Preservation Rent]]&lt;&gt;""),Cdlac[[#This Row],[Preservation Rent]],Cdlac[[#This Row],[Restricted Rent]])),"")</f>
        <v>1337.8000000000002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3" t="s">
        <v>1588</v>
      </c>
      <c r="D29" s="2654"/>
      <c r="E29" s="1089">
        <f>SUM(E24:E28)</f>
        <v>199</v>
      </c>
      <c r="F29" s="1089">
        <f>SUM(F24:F28)</f>
        <v>199</v>
      </c>
      <c r="G29" s="1090">
        <f>SUMPRODUCT(D24:D28,F24:F28)</f>
        <v>236.5</v>
      </c>
      <c r="H29" s="1074"/>
      <c r="I29" s="1074"/>
      <c r="L29" s="1044">
        <f>IFERROR(MIN(4,MATCH(Application!B727,UnitSizes,0)-1),"")</f>
        <v>2</v>
      </c>
      <c r="M29" s="1065">
        <f>Application!G727</f>
        <v>5</v>
      </c>
      <c r="N29" s="1071">
        <f>Application!AC727</f>
        <v>0.5</v>
      </c>
      <c r="O29" s="1071">
        <f>IF(Cdlac[[#This Row],[Quantity]]&gt;0,IF(Cdlac[[#This Row],[Federal]],30%,IF(AND(OR(NOT($G$38),$G$38=""),$G$43),40%,Cdlac[[#This Row],[iAMI]])),"")</f>
        <v>0.5</v>
      </c>
      <c r="P29" s="1065" cm="1">
        <f t="array" ref="P29">IF(Cdlac[[#This Row],[Quantity]]&gt;0,INDEX(TcacRents,$P$18,Cdlac[[#This Row],[Bedrooms]]+1)*Cdlac[[#This Row],[AMI]],"")</f>
        <v>1447</v>
      </c>
      <c r="Q29" s="1164"/>
      <c r="R29" s="1065" cm="1">
        <f t="array" ref="R29">IF(Cdlac[[#This Row],[Quantity]]&gt;0,INDEX(HudFmrs,$P$18,Cdlac[[#This Row],[Bedrooms]]+1),"")</f>
        <v>2206</v>
      </c>
      <c r="S29" s="1065">
        <f>IF(Cdlac[[#This Row],[Quantity]]&gt;0,MAX(0,Cdlac[[#This Row],[Fair Market Rent]]-IF(AND($G$37,$G$38,$G$38&lt;&gt;"",NOT(Cdlac[[#This Row],[Federal]]),Cdlac[[#This Row],[Preservation Rent]]&lt;&gt;""),Cdlac[[#This Row],[Preservation Rent]],Cdlac[[#This Row],[Restricted Rent]])),"")</f>
        <v>759</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20</v>
      </c>
      <c r="N30" s="1071">
        <f>Application!AC728</f>
        <v>0.6</v>
      </c>
      <c r="O30" s="1071">
        <f>IF(Cdlac[[#This Row],[Quantity]]&gt;0,IF(Cdlac[[#This Row],[Federal]],30%,IF(AND(OR(NOT($G$38),$G$38=""),$G$43),40%,Cdlac[[#This Row],[iAMI]])),"")</f>
        <v>0.6</v>
      </c>
      <c r="P30" s="1065" cm="1">
        <f t="array" ref="P30">IF(Cdlac[[#This Row],[Quantity]]&gt;0,INDEX(TcacRents,$P$18,Cdlac[[#This Row],[Bedrooms]]+1)*Cdlac[[#This Row],[AMI]],"")</f>
        <v>1736.3999999999999</v>
      </c>
      <c r="Q30" s="1164"/>
      <c r="R30" s="1065" cm="1">
        <f t="array" ref="R30">IF(Cdlac[[#This Row],[Quantity]]&gt;0,INDEX(HudFmrs,$P$18,Cdlac[[#This Row],[Bedrooms]]+1),"")</f>
        <v>2206</v>
      </c>
      <c r="S30" s="1065">
        <f>IF(Cdlac[[#This Row],[Quantity]]&gt;0,MAX(0,Cdlac[[#This Row],[Fair Market Rent]]-IF(AND($G$37,$G$38,$G$38&lt;&gt;"",NOT(Cdlac[[#This Row],[Federal]]),Cdlac[[#This Row],[Preservation Rent]]&lt;&gt;""),Cdlac[[#This Row],[Preservation Rent]],Cdlac[[#This Row],[Restricted Rent]])),"")</f>
        <v>469.60000000000014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1988</v>
      </c>
      <c r="G31" s="1114">
        <f>G29</f>
        <v>236.5</v>
      </c>
      <c r="H31" s="1074"/>
      <c r="I31" s="1074"/>
      <c r="L31" s="1044">
        <f>IFERROR(MIN(4,MATCH(Application!B729,UnitSizes,0)-1),"")</f>
        <v>2</v>
      </c>
      <c r="M31" s="1065">
        <f>Application!G729</f>
        <v>20</v>
      </c>
      <c r="N31" s="1071">
        <f>Application!AC729</f>
        <v>0.7</v>
      </c>
      <c r="O31" s="1071">
        <f>IF(Cdlac[[#This Row],[Quantity]]&gt;0,IF(Cdlac[[#This Row],[Federal]],30%,IF(AND(OR(NOT($G$38),$G$38=""),$G$43),40%,Cdlac[[#This Row],[iAMI]])),"")</f>
        <v>0.7</v>
      </c>
      <c r="P31" s="1065" cm="1">
        <f t="array" ref="P31">IF(Cdlac[[#This Row],[Quantity]]&gt;0,INDEX(TcacRents,$P$18,Cdlac[[#This Row],[Bedrooms]]+1)*Cdlac[[#This Row],[AMI]],"")</f>
        <v>2025.8</v>
      </c>
      <c r="Q31" s="1164"/>
      <c r="R31" s="1065" cm="1">
        <f t="array" ref="R31">IF(Cdlac[[#This Row],[Quantity]]&gt;0,INDEX(HudFmrs,$P$18,Cdlac[[#This Row],[Bedrooms]]+1),"")</f>
        <v>2206</v>
      </c>
      <c r="S31" s="1065">
        <f>IF(Cdlac[[#This Row],[Quantity]]&gt;0,MAX(0,Cdlac[[#This Row],[Fair Market Rent]]-IF(AND($G$37,$G$38,$G$38&lt;&gt;"",NOT(Cdlac[[#This Row],[Federal]]),Cdlac[[#This Row],[Preservation Rent]]&lt;&gt;""),Cdlac[[#This Row],[Preservation Rent]],Cdlac[[#This Row],[Restricted Rent]])),"")</f>
        <v>180.20000000000005</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1947</v>
      </c>
      <c r="F32" s="1113" t="s">
        <v>1995</v>
      </c>
      <c r="G32" s="1115">
        <v>50000</v>
      </c>
      <c r="H32" s="1074"/>
      <c r="I32" s="1074"/>
      <c r="L32" s="1044">
        <f>IFERROR(MIN(4,MATCH(Application!B730,UnitSizes,0)-1),"")</f>
        <v>3</v>
      </c>
      <c r="M32" s="1065">
        <f>Application!G730</f>
        <v>5</v>
      </c>
      <c r="N32" s="1071">
        <f>Application!AC730</f>
        <v>0.3</v>
      </c>
      <c r="O32" s="1071">
        <f>IF(Cdlac[[#This Row],[Quantity]]&gt;0,IF(Cdlac[[#This Row],[Federal]],30%,IF(AND(OR(NOT($G$38),$G$38=""),$G$43),40%,Cdlac[[#This Row],[iAMI]])),"")</f>
        <v>0.3</v>
      </c>
      <c r="P32" s="1065" cm="1">
        <f t="array" ref="P32">IF(Cdlac[[#This Row],[Quantity]]&gt;0,INDEX(TcacRents,$P$18,Cdlac[[#This Row],[Bedrooms]]+1)*Cdlac[[#This Row],[AMI]],"")</f>
        <v>1002.5999999999999</v>
      </c>
      <c r="Q32" s="1164"/>
      <c r="R32" s="1065" cm="1">
        <f t="array" ref="R32">IF(Cdlac[[#This Row],[Quantity]]&gt;0,INDEX(HudFmrs,$P$18,Cdlac[[#This Row],[Bedrooms]]+1),"")</f>
        <v>2992</v>
      </c>
      <c r="S32" s="1065">
        <f>IF(Cdlac[[#This Row],[Quantity]]&gt;0,MAX(0,Cdlac[[#This Row],[Fair Market Rent]]-IF(AND($G$37,$G$38,$G$38&lt;&gt;"",NOT(Cdlac[[#This Row],[Federal]]),Cdlac[[#This Row],[Preservation Rent]]&lt;&gt;""),Cdlac[[#This Row],[Preservation Rent]],Cdlac[[#This Row],[Restricted Rent]])),"")</f>
        <v>1989.4</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1981</v>
      </c>
      <c r="F33" s="1046"/>
      <c r="G33" s="1119">
        <f>G32*G31</f>
        <v>11825000</v>
      </c>
      <c r="H33" s="1074"/>
      <c r="I33" s="1074"/>
      <c r="L33" s="1044">
        <f>IFERROR(MIN(4,MATCH(Application!B731,UnitSizes,0)-1),"")</f>
        <v>3</v>
      </c>
      <c r="M33" s="1065">
        <f>Application!G731</f>
        <v>5</v>
      </c>
      <c r="N33" s="1071">
        <f>Application!AC731</f>
        <v>0.5</v>
      </c>
      <c r="O33" s="1071">
        <f>IF(Cdlac[[#This Row],[Quantity]]&gt;0,IF(Cdlac[[#This Row],[Federal]],30%,IF(AND(OR(NOT($G$38),$G$38=""),$G$43),40%,Cdlac[[#This Row],[iAMI]])),"")</f>
        <v>0.5</v>
      </c>
      <c r="P33" s="1065" cm="1">
        <f t="array" ref="P33">IF(Cdlac[[#This Row],[Quantity]]&gt;0,INDEX(TcacRents,$P$18,Cdlac[[#This Row],[Bedrooms]]+1)*Cdlac[[#This Row],[AMI]],"")</f>
        <v>1671</v>
      </c>
      <c r="Q33" s="1164"/>
      <c r="R33" s="1065" cm="1">
        <f t="array" ref="R33">IF(Cdlac[[#This Row],[Quantity]]&gt;0,INDEX(HudFmrs,$P$18,Cdlac[[#This Row],[Bedrooms]]+1),"")</f>
        <v>2992</v>
      </c>
      <c r="S33" s="1065">
        <f>IF(Cdlac[[#This Row],[Quantity]]&gt;0,MAX(0,Cdlac[[#This Row],[Fair Market Rent]]-IF(AND($G$37,$G$38,$G$38&lt;&gt;"",NOT(Cdlac[[#This Row],[Federal]]),Cdlac[[#This Row],[Preservation Rent]]&lt;&gt;""),Cdlac[[#This Row],[Preservation Rent]],Cdlac[[#This Row],[Restricted Rent]])),"")</f>
        <v>1321</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20</v>
      </c>
      <c r="N34" s="1071">
        <f>Application!AC732</f>
        <v>0.6</v>
      </c>
      <c r="O34" s="1071">
        <f>IF(Cdlac[[#This Row],[Quantity]]&gt;0,IF(Cdlac[[#This Row],[Federal]],30%,IF(AND(OR(NOT($G$38),$G$38=""),$G$43),40%,Cdlac[[#This Row],[iAMI]])),"")</f>
        <v>0.6</v>
      </c>
      <c r="P34" s="1065" cm="1">
        <f t="array" ref="P34">IF(Cdlac[[#This Row],[Quantity]]&gt;0,INDEX(TcacRents,$P$18,Cdlac[[#This Row],[Bedrooms]]+1)*Cdlac[[#This Row],[AMI]],"")</f>
        <v>2005.1999999999998</v>
      </c>
      <c r="Q34" s="1164"/>
      <c r="R34" s="1065" cm="1">
        <f t="array" ref="R34">IF(Cdlac[[#This Row],[Quantity]]&gt;0,INDEX(HudFmrs,$P$18,Cdlac[[#This Row],[Bedrooms]]+1),"")</f>
        <v>2992</v>
      </c>
      <c r="S34" s="1065">
        <f>IF(Cdlac[[#This Row],[Quantity]]&gt;0,MAX(0,Cdlac[[#This Row],[Fair Market Rent]]-IF(AND($G$37,$G$38,$G$38&lt;&gt;"",NOT(Cdlac[[#This Row],[Federal]]),Cdlac[[#This Row],[Preservation Rent]]&lt;&gt;""),Cdlac[[#This Row],[Preservation Rent]],Cdlac[[#This Row],[Restricted Rent]])),"")</f>
        <v>986.80000000000018</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3</v>
      </c>
      <c r="M35" s="1065">
        <f>Application!G733</f>
        <v>20</v>
      </c>
      <c r="N35" s="1071">
        <f>Application!AC733</f>
        <v>0.7</v>
      </c>
      <c r="O35" s="1071">
        <f>IF(Cdlac[[#This Row],[Quantity]]&gt;0,IF(Cdlac[[#This Row],[Federal]],30%,IF(AND(OR(NOT($G$38),$G$38=""),$G$43),40%,Cdlac[[#This Row],[iAMI]])),"")</f>
        <v>0.7</v>
      </c>
      <c r="P35" s="1065" cm="1">
        <f t="array" ref="P35">IF(Cdlac[[#This Row],[Quantity]]&gt;0,INDEX(TcacRents,$P$18,Cdlac[[#This Row],[Bedrooms]]+1)*Cdlac[[#This Row],[AMI]],"")</f>
        <v>2339.3999999999996</v>
      </c>
      <c r="Q35" s="1164"/>
      <c r="R35" s="1065" cm="1">
        <f t="array" ref="R35">IF(Cdlac[[#This Row],[Quantity]]&gt;0,INDEX(HudFmrs,$P$18,Cdlac[[#This Row],[Bedrooms]]+1),"")</f>
        <v>2992</v>
      </c>
      <c r="S35" s="1065">
        <f>IF(Cdlac[[#This Row],[Quantity]]&gt;0,MAX(0,Cdlac[[#This Row],[Fair Market Rent]]-IF(AND($G$37,$G$38,$G$38&lt;&gt;"",NOT(Cdlac[[#This Row],[Federal]]),Cdlac[[#This Row],[Preservation Rent]]&lt;&gt;""),Cdlac[[#This Row],[Preservation Rent]],Cdlac[[#This Row],[Restricted Rent]])),"")</f>
        <v>652.60000000000036</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2262</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2263</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2006</v>
      </c>
      <c r="G42" s="1120" cm="1">
        <f t="array" ref="G42">SUMPRODUCT(Cdlac[Quantity],Cdlac[iAMI],IF(Cdlac[Federal],0,1))/SUMIFS(Cdlac[Quantity],Cdlac[Federal],FALSE)</f>
        <v>0.5964824120603015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2001</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1951</v>
      </c>
      <c r="G45" s="1078">
        <f>IFERROR(SUMPRODUCT(Cdlac[Quantity],Cdlac[Delta]),0)</f>
        <v>107158.6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2007</v>
      </c>
      <c r="F46" s="1113" t="s">
        <v>1995</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1946</v>
      </c>
      <c r="F47" s="1046"/>
      <c r="G47" s="1123">
        <f>G45*G46</f>
        <v>19288548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1996</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1997</v>
      </c>
      <c r="G52" s="1114">
        <f>ROUNDDOWN(E29*50%,0)</f>
        <v>99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1957</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1947</v>
      </c>
      <c r="F55" s="1113" t="s">
        <v>1995</v>
      </c>
      <c r="G55" s="1124">
        <v>10000</v>
      </c>
      <c r="M55" s="1065"/>
      <c r="N55" s="1071"/>
      <c r="O55" s="1071"/>
      <c r="P55" s="1065"/>
      <c r="Q55" s="1164"/>
      <c r="R55" s="1065"/>
      <c r="S55" s="1065"/>
    </row>
    <row r="56" spans="2:21" ht="15" customHeight="1">
      <c r="E56" s="1118" t="s">
        <v>1980</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1998</v>
      </c>
      <c r="G60" s="1079">
        <f>SUMIFS(Cdlac[Quantity],Cdlac[iAMI],"&lt;=30%")</f>
        <v>21</v>
      </c>
    </row>
    <row r="61" spans="2:21" ht="15" customHeight="1">
      <c r="E61" s="1117" t="s">
        <v>1997</v>
      </c>
      <c r="G61" s="1079">
        <f>ROUNDDOWN(E29*50%,0)</f>
        <v>99</v>
      </c>
    </row>
    <row r="62" spans="2:21" ht="15" customHeight="1">
      <c r="E62" s="1117"/>
      <c r="G62" s="1079"/>
    </row>
    <row r="63" spans="2:21" ht="15" customHeight="1">
      <c r="E63" s="1117" t="s">
        <v>1957</v>
      </c>
      <c r="G63" s="1114">
        <f>MIN(G60:G61)</f>
        <v>21</v>
      </c>
    </row>
    <row r="64" spans="2:21" ht="15" customHeight="1">
      <c r="E64" s="1117" t="s">
        <v>1947</v>
      </c>
      <c r="F64" s="1113" t="s">
        <v>1995</v>
      </c>
      <c r="G64" s="1124">
        <v>20000</v>
      </c>
    </row>
    <row r="65" spans="2:14" ht="15" customHeight="1">
      <c r="E65" s="1118" t="s">
        <v>1979</v>
      </c>
      <c r="F65" s="1046"/>
      <c r="G65" s="1123">
        <f>G63*G64</f>
        <v>420000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1983</v>
      </c>
      <c r="G69" s="1043" t="s">
        <v>546</v>
      </c>
    </row>
    <row r="70" spans="2:14" ht="15" customHeight="1">
      <c r="C70" s="1077" t="s">
        <v>1984</v>
      </c>
      <c r="G70" s="1081" t="str">
        <f>IF(Application!D211="Large Family","Yes","No")</f>
        <v>Yes</v>
      </c>
    </row>
    <row r="71" spans="2:14" ht="15" customHeight="1" thickBot="1">
      <c r="C71" s="1077" t="s">
        <v>1970</v>
      </c>
      <c r="G71" s="1043" t="s">
        <v>670</v>
      </c>
    </row>
    <row r="72" spans="2:14" ht="15" customHeight="1">
      <c r="C72" s="1077" t="s">
        <v>1971</v>
      </c>
      <c r="G72" s="1044" t="str">
        <f>Application!T193</f>
        <v>High Resource</v>
      </c>
      <c r="L72" s="2664" t="s">
        <v>1972</v>
      </c>
      <c r="M72" s="2665"/>
      <c r="N72" s="1131">
        <v>30000</v>
      </c>
    </row>
    <row r="73" spans="2:14" ht="15" customHeight="1">
      <c r="C73" s="2666" t="s">
        <v>2265</v>
      </c>
      <c r="D73" s="2666"/>
      <c r="E73" s="2666"/>
      <c r="F73" s="2666"/>
      <c r="G73" s="1043" t="s">
        <v>670</v>
      </c>
      <c r="L73" s="2675" t="s">
        <v>1940</v>
      </c>
      <c r="M73" s="2676"/>
      <c r="N73" s="1132">
        <v>20000</v>
      </c>
    </row>
    <row r="74" spans="2:14" ht="15" customHeight="1" thickBot="1">
      <c r="C74" s="2666"/>
      <c r="D74" s="2666"/>
      <c r="E74" s="2666"/>
      <c r="F74" s="2666"/>
      <c r="L74" s="2677" t="s">
        <v>1973</v>
      </c>
      <c r="M74" s="2678"/>
      <c r="N74" s="1133">
        <v>10000</v>
      </c>
    </row>
    <row r="75" spans="2:14" ht="15" customHeight="1">
      <c r="C75" s="1077"/>
    </row>
    <row r="76" spans="2:14" ht="15" customHeight="1">
      <c r="E76" s="1084" t="s">
        <v>2002</v>
      </c>
      <c r="G76" s="1079" t="b">
        <f>OR(AND(COUNTIFS(G70:G71,"Yes")&gt;=1,G69="Yes"),G73="Yes")</f>
        <v>1</v>
      </c>
    </row>
    <row r="77" spans="2:14" ht="15" customHeight="1">
      <c r="E77" s="1084"/>
      <c r="G77" s="1079"/>
    </row>
    <row r="78" spans="2:14" ht="15" customHeight="1">
      <c r="E78" s="1084" t="s">
        <v>1947</v>
      </c>
      <c r="G78" s="1078">
        <f>IFERROR(IF($G$73="Yes",30000,INDEX(N72:N74,MATCH(LEFT(G72,17),L72:L74,0))),0)</f>
        <v>20000</v>
      </c>
    </row>
    <row r="79" spans="2:14" ht="15" customHeight="1">
      <c r="E79" s="1084" t="str">
        <f>E96</f>
        <v>Bedroom-Adjusted Low-Income Units</v>
      </c>
      <c r="F79" s="1113" t="s">
        <v>1995</v>
      </c>
      <c r="G79" s="1114">
        <f>G29</f>
        <v>236.5</v>
      </c>
    </row>
    <row r="80" spans="2:14" ht="15" customHeight="1">
      <c r="D80" s="1046"/>
      <c r="E80" s="1118" t="s">
        <v>2270</v>
      </c>
      <c r="F80" s="1046"/>
      <c r="G80" s="1123">
        <f>G79*G78*G76</f>
        <v>4730000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1978</v>
      </c>
      <c r="G84" s="1043" t="s">
        <v>670</v>
      </c>
    </row>
    <row r="85" spans="2:9" ht="15" customHeight="1">
      <c r="F85" s="1116"/>
    </row>
    <row r="86" spans="2:9" ht="15" customHeight="1">
      <c r="E86" s="1084" t="s">
        <v>2002</v>
      </c>
      <c r="G86" s="1079" t="b">
        <f>G84="Yes"</f>
        <v>0</v>
      </c>
    </row>
    <row r="87" spans="2:9" ht="15" customHeight="1"/>
    <row r="88" spans="2:9" ht="15" customHeight="1">
      <c r="E88" s="1084" t="str">
        <f>E96</f>
        <v>Bedroom-Adjusted Low-Income Units</v>
      </c>
      <c r="G88" s="1114">
        <f>G29</f>
        <v>236.5</v>
      </c>
    </row>
    <row r="89" spans="2:9" ht="15" customHeight="1">
      <c r="E89" s="1084" t="s">
        <v>1947</v>
      </c>
      <c r="F89" s="1113" t="s">
        <v>1995</v>
      </c>
      <c r="G89" s="1050">
        <v>20000</v>
      </c>
    </row>
    <row r="90" spans="2:9" ht="15" customHeight="1">
      <c r="E90" s="1118" t="s">
        <v>2274</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1958</v>
      </c>
      <c r="G94" s="1114">
        <f>VLOOKUP('Points System'!$H$606,'Points System'!$AO$586:$AP$591,2,FALSE)</f>
        <v>0</v>
      </c>
    </row>
    <row r="95" spans="2:9" ht="15" customHeight="1">
      <c r="E95" s="1084" t="s">
        <v>1947</v>
      </c>
      <c r="F95" s="1113" t="s">
        <v>1995</v>
      </c>
      <c r="G95" s="1076">
        <v>4000</v>
      </c>
    </row>
    <row r="96" spans="2:9" ht="15" customHeight="1" thickBot="1">
      <c r="E96" s="1084" t="s">
        <v>1999</v>
      </c>
      <c r="F96" s="1113" t="s">
        <v>1995</v>
      </c>
      <c r="G96" s="1126">
        <f>G29</f>
        <v>236.5</v>
      </c>
    </row>
    <row r="97" spans="2:14" ht="15" customHeight="1">
      <c r="E97" s="1118" t="s">
        <v>1964</v>
      </c>
      <c r="F97" s="1046"/>
      <c r="G97" s="1123">
        <f>G94*G95*G96</f>
        <v>0</v>
      </c>
      <c r="L97" s="1127" t="str">
        <f>'Points System'!H638</f>
        <v>(i)</v>
      </c>
      <c r="M97" s="2683" t="s">
        <v>1407</v>
      </c>
      <c r="N97" s="2684"/>
    </row>
    <row r="98" spans="2:14" ht="15" customHeight="1">
      <c r="C98" s="1077"/>
      <c r="G98" s="1114"/>
      <c r="L98" s="1128" t="str">
        <f>'Points System'!H650</f>
        <v>N/A</v>
      </c>
      <c r="M98" s="2679" t="s">
        <v>1959</v>
      </c>
      <c r="N98" s="2680"/>
    </row>
    <row r="99" spans="2:14" ht="15" customHeight="1">
      <c r="E99" s="1084" t="s">
        <v>2000</v>
      </c>
      <c r="G99" s="1126">
        <f>COUNTIFS(L97:L104,"(i)")</f>
        <v>2</v>
      </c>
      <c r="L99" s="1128" t="str">
        <f>'Points System'!H685</f>
        <v>(iii)</v>
      </c>
      <c r="M99" s="2679" t="s">
        <v>1960</v>
      </c>
      <c r="N99" s="2680"/>
    </row>
    <row r="100" spans="2:14" ht="15" customHeight="1">
      <c r="E100" s="1084" t="s">
        <v>1947</v>
      </c>
      <c r="F100" s="1113" t="s">
        <v>1995</v>
      </c>
      <c r="G100" s="1124">
        <v>4000</v>
      </c>
      <c r="L100" s="1128" t="str">
        <f>IF(OR('Points System'!H709="(ii)",'Points System'!H709="(i)"),"(i)","N/A")</f>
        <v>(i)</v>
      </c>
      <c r="M100" s="2679" t="s">
        <v>1961</v>
      </c>
      <c r="N100" s="2680"/>
    </row>
    <row r="101" spans="2:14" ht="15" customHeight="1">
      <c r="E101" s="1118" t="s">
        <v>1965</v>
      </c>
      <c r="F101" s="1046"/>
      <c r="G101" s="1123">
        <f>G96*G99*G100</f>
        <v>1892000</v>
      </c>
      <c r="L101" s="1129" t="str">
        <f>'Points System'!H723</f>
        <v>N/A</v>
      </c>
      <c r="M101" s="2679" t="s">
        <v>1433</v>
      </c>
      <c r="N101" s="2680"/>
    </row>
    <row r="102" spans="2:14" ht="15" customHeight="1">
      <c r="L102" s="1128" t="str">
        <f>'Points System'!H735</f>
        <v>N/A</v>
      </c>
      <c r="M102" s="2679" t="s">
        <v>1962</v>
      </c>
      <c r="N102" s="2680"/>
    </row>
    <row r="103" spans="2:14" ht="15" customHeight="1">
      <c r="C103" s="1080" t="s">
        <v>1967</v>
      </c>
      <c r="L103" s="1128" t="str">
        <f>'Points System'!H751</f>
        <v>N/A</v>
      </c>
      <c r="M103" s="2679" t="s">
        <v>1963</v>
      </c>
      <c r="N103" s="2680"/>
    </row>
    <row r="104" spans="2:14" ht="15" customHeight="1" thickBot="1">
      <c r="C104" s="1077" t="s">
        <v>1968</v>
      </c>
      <c r="G104" s="1043"/>
      <c r="L104" s="1130" t="str">
        <f>'Points System'!H763</f>
        <v>N/A</v>
      </c>
      <c r="M104" s="2681" t="s">
        <v>1436</v>
      </c>
      <c r="N104" s="2682"/>
    </row>
    <row r="105" spans="2:14" ht="15" customHeight="1">
      <c r="C105" s="1077" t="s">
        <v>1969</v>
      </c>
      <c r="G105" s="1043"/>
    </row>
    <row r="106" spans="2:14" ht="15" customHeight="1">
      <c r="C106" s="1077" t="s">
        <v>2142</v>
      </c>
      <c r="G106" s="1043"/>
    </row>
    <row r="107" spans="2:14" ht="15" customHeight="1">
      <c r="C107" s="1077" t="s">
        <v>2143</v>
      </c>
      <c r="G107" s="1043"/>
    </row>
    <row r="108" spans="2:14" ht="15" customHeight="1"/>
    <row r="109" spans="2:14" ht="15" customHeight="1">
      <c r="B109" s="1078"/>
      <c r="C109" s="1077"/>
      <c r="E109" s="1084" t="s">
        <v>2002</v>
      </c>
      <c r="G109" s="1079" t="b">
        <f>COUNTIFS(G104:G107,"Yes")&gt;=1</f>
        <v>0</v>
      </c>
    </row>
    <row r="110" spans="2:14" ht="15" customHeight="1">
      <c r="E110" s="1077"/>
    </row>
    <row r="111" spans="2:14" ht="15" customHeight="1">
      <c r="E111" s="1084" t="s">
        <v>1999</v>
      </c>
      <c r="F111" s="1113" t="s">
        <v>1995</v>
      </c>
      <c r="G111" s="1114">
        <f>G29</f>
        <v>236.5</v>
      </c>
    </row>
    <row r="112" spans="2:14" ht="15" customHeight="1">
      <c r="E112" s="1084" t="s">
        <v>1947</v>
      </c>
      <c r="F112" s="1113" t="s">
        <v>1995</v>
      </c>
      <c r="G112" s="1124">
        <v>25000</v>
      </c>
    </row>
    <row r="113" spans="2:9" ht="15" customHeight="1">
      <c r="E113" s="1118" t="s">
        <v>1966</v>
      </c>
      <c r="F113" s="1046"/>
      <c r="G113" s="1123">
        <f>G109*G112*G96</f>
        <v>0</v>
      </c>
    </row>
    <row r="114" spans="2:9" ht="15" customHeight="1">
      <c r="C114" s="1077"/>
      <c r="E114" s="1077"/>
    </row>
    <row r="115" spans="2:9" ht="15" customHeight="1">
      <c r="E115" s="1118" t="s">
        <v>2275</v>
      </c>
      <c r="G115" s="1123">
        <f>G113+G101+G97</f>
        <v>1892000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2230</v>
      </c>
      <c r="D119" s="2655"/>
      <c r="E119" s="2655"/>
      <c r="F119" s="2655"/>
    </row>
    <row r="120" spans="2:9" ht="15" customHeight="1">
      <c r="C120" s="2655"/>
      <c r="D120" s="2655"/>
      <c r="E120" s="2655"/>
      <c r="F120" s="2655"/>
      <c r="G120" s="1043"/>
    </row>
    <row r="121" spans="2:9" ht="15" customHeight="1"/>
    <row r="122" spans="2:9" ht="15" customHeight="1">
      <c r="C122" s="1044" t="s">
        <v>2232</v>
      </c>
      <c r="G122" s="2657"/>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2004</v>
      </c>
      <c r="C126" s="1067"/>
      <c r="D126" s="1067"/>
      <c r="E126" s="1067"/>
      <c r="F126" s="1067"/>
      <c r="G126" s="1067"/>
      <c r="H126" s="1067"/>
      <c r="I126" s="1068"/>
    </row>
    <row r="128" spans="2:9">
      <c r="E128" s="1084" t="s">
        <v>583</v>
      </c>
      <c r="G128" s="1044" t="str">
        <f>IF(Application!T189="","",Application!T189)</f>
        <v>Placer</v>
      </c>
    </row>
    <row r="129" spans="2:9">
      <c r="E129" s="1084"/>
      <c r="G129" s="1078"/>
    </row>
    <row r="130" spans="2:9">
      <c r="E130" s="1084" t="str">
        <f>"2-Bedroom "&amp;G128&amp;" County Basis Limit"</f>
        <v>2-Bedroom Placer County Basis Limit</v>
      </c>
      <c r="G130" s="1078">
        <f>Application!R988</f>
        <v>461600</v>
      </c>
    </row>
    <row r="131" spans="2:9">
      <c r="E131" s="1084" t="s">
        <v>2003</v>
      </c>
      <c r="G131" s="1078">
        <f>MEDIAN((Application!CU160:CU217))</f>
        <v>489600</v>
      </c>
    </row>
    <row r="132" spans="2:9" ht="15">
      <c r="D132" s="1046"/>
      <c r="E132" s="1118" t="s">
        <v>2005</v>
      </c>
      <c r="F132" s="1134"/>
      <c r="G132" s="1135">
        <f>((G130-G131)/G131)*0.25</f>
        <v>-1.4297385620915032E-2</v>
      </c>
      <c r="H132" s="1042"/>
      <c r="I132" s="1042"/>
    </row>
    <row r="133" spans="2:9">
      <c r="D133" s="1045"/>
      <c r="E133" s="1045"/>
    </row>
    <row r="134" spans="2:9" ht="15">
      <c r="B134" s="1066" t="s">
        <v>2276</v>
      </c>
      <c r="C134" s="1067"/>
      <c r="D134" s="1067"/>
      <c r="E134" s="1067"/>
      <c r="F134" s="1067"/>
      <c r="G134" s="1067"/>
      <c r="H134" s="1067"/>
      <c r="I134" s="1068"/>
    </row>
    <row r="136" spans="2:9">
      <c r="E136" s="1084" t="s">
        <v>2262</v>
      </c>
      <c r="G136" s="1044" t="b">
        <f>G37</f>
        <v>0</v>
      </c>
    </row>
    <row r="137" spans="2:9">
      <c r="E137" s="1084" t="s">
        <v>2277</v>
      </c>
      <c r="G137" s="1044" t="b">
        <f>OR('Points System'!B52="Yes", 'Points System'!B56="Yes",'Points System'!B58="Yes")</f>
        <v>0</v>
      </c>
    </row>
    <row r="138" spans="2:9">
      <c r="C138" s="2650" t="s">
        <v>2278</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2280</v>
      </c>
      <c r="G141" s="1169"/>
    </row>
    <row r="143" spans="2:9">
      <c r="E143" s="1084" t="s">
        <v>2282</v>
      </c>
      <c r="G143" s="1168">
        <f>IF(I9=0,0,G141/I9)</f>
        <v>0</v>
      </c>
    </row>
    <row r="144" spans="2:9">
      <c r="E144" s="1084" t="s">
        <v>2279</v>
      </c>
      <c r="G144" s="1166">
        <f>I9*0.15</f>
        <v>5418000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1"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910</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911</v>
      </c>
      <c r="B3" s="426" t="s">
        <v>2257</v>
      </c>
      <c r="C3" s="426" t="s">
        <v>2258</v>
      </c>
      <c r="D3" s="1146" t="s">
        <v>2259</v>
      </c>
      <c r="E3" s="204"/>
      <c r="F3" s="1146" t="s">
        <v>912</v>
      </c>
      <c r="G3" s="426" t="s">
        <v>913</v>
      </c>
      <c r="H3" s="427"/>
      <c r="I3" s="426" t="s">
        <v>914</v>
      </c>
      <c r="J3" s="426" t="s">
        <v>915</v>
      </c>
      <c r="K3" s="204"/>
      <c r="L3" s="305"/>
    </row>
    <row r="4" spans="1:12">
      <c r="A4" s="428" t="str">
        <f>Application!B718</f>
        <v>1 Bedroom</v>
      </c>
      <c r="B4" s="1082">
        <f>Application!G718</f>
        <v>6</v>
      </c>
      <c r="C4" s="1162"/>
      <c r="D4" s="428">
        <f>Application!O718</f>
        <v>628</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6</v>
      </c>
      <c r="C5" s="1162"/>
      <c r="D5" s="428">
        <f>Application!O719</f>
        <v>1111</v>
      </c>
      <c r="E5" s="429"/>
      <c r="F5" s="1083"/>
      <c r="G5" s="428">
        <f t="shared" ref="G5:G38" si="2">F5*B5</f>
        <v>0</v>
      </c>
      <c r="H5" s="429"/>
      <c r="I5" s="428" t="str">
        <f t="shared" si="0"/>
        <v/>
      </c>
      <c r="J5" s="428" t="str">
        <f t="shared" si="1"/>
        <v/>
      </c>
      <c r="K5" s="204"/>
      <c r="L5" s="305"/>
    </row>
    <row r="6" spans="1:12">
      <c r="A6" s="428" t="str">
        <f>Application!B720</f>
        <v>1 Bedroom</v>
      </c>
      <c r="B6" s="1082">
        <f>Application!G720</f>
        <v>20</v>
      </c>
      <c r="C6" s="1162"/>
      <c r="D6" s="428">
        <f>Application!O720</f>
        <v>1352</v>
      </c>
      <c r="E6" s="429"/>
      <c r="F6" s="1083"/>
      <c r="G6" s="428">
        <f t="shared" si="2"/>
        <v>0</v>
      </c>
      <c r="H6" s="429"/>
      <c r="I6" s="428" t="str">
        <f t="shared" si="0"/>
        <v/>
      </c>
      <c r="J6" s="428" t="str">
        <f t="shared" si="1"/>
        <v/>
      </c>
      <c r="K6" s="204"/>
      <c r="L6" s="305"/>
    </row>
    <row r="7" spans="1:12">
      <c r="A7" s="428" t="str">
        <f>Application!B721</f>
        <v>1 Bedroom</v>
      </c>
      <c r="B7" s="1082">
        <f>Application!G721</f>
        <v>18</v>
      </c>
      <c r="C7" s="1162"/>
      <c r="D7" s="428">
        <f>Application!O721</f>
        <v>1593</v>
      </c>
      <c r="E7" s="429"/>
      <c r="F7" s="1083"/>
      <c r="G7" s="428">
        <f t="shared" si="2"/>
        <v>0</v>
      </c>
      <c r="H7" s="429"/>
      <c r="I7" s="428" t="str">
        <f t="shared" si="0"/>
        <v/>
      </c>
      <c r="J7" s="428" t="str">
        <f t="shared" si="1"/>
        <v/>
      </c>
      <c r="K7" s="204"/>
      <c r="L7" s="305"/>
    </row>
    <row r="8" spans="1:12">
      <c r="A8" s="428" t="str">
        <f>Application!B722</f>
        <v>1 Bedroom</v>
      </c>
      <c r="B8" s="1082">
        <f>Application!G722</f>
        <v>5</v>
      </c>
      <c r="C8" s="1162"/>
      <c r="D8" s="428">
        <f>Application!O722</f>
        <v>628</v>
      </c>
      <c r="E8" s="429"/>
      <c r="F8" s="1083"/>
      <c r="G8" s="428">
        <f t="shared" si="2"/>
        <v>0</v>
      </c>
      <c r="H8" s="429"/>
      <c r="I8" s="428" t="str">
        <f t="shared" si="0"/>
        <v/>
      </c>
      <c r="J8" s="428" t="str">
        <f t="shared" si="1"/>
        <v/>
      </c>
      <c r="K8" s="204"/>
      <c r="L8" s="305"/>
    </row>
    <row r="9" spans="1:12">
      <c r="A9" s="428" t="str">
        <f>Application!B723</f>
        <v>1 Bedroom</v>
      </c>
      <c r="B9" s="1082">
        <f>Application!G723</f>
        <v>5</v>
      </c>
      <c r="C9" s="1162"/>
      <c r="D9" s="428">
        <f>Application!O723</f>
        <v>1111</v>
      </c>
      <c r="E9" s="429"/>
      <c r="F9" s="1083"/>
      <c r="G9" s="428">
        <f t="shared" si="2"/>
        <v>0</v>
      </c>
      <c r="H9" s="429"/>
      <c r="I9" s="428" t="str">
        <f t="shared" si="0"/>
        <v/>
      </c>
      <c r="J9" s="428" t="str">
        <f t="shared" si="1"/>
        <v/>
      </c>
      <c r="K9" s="204"/>
      <c r="L9" s="305"/>
    </row>
    <row r="10" spans="1:12">
      <c r="A10" s="428" t="str">
        <f>Application!B724</f>
        <v>1 Bedroom</v>
      </c>
      <c r="B10" s="1082">
        <f>Application!G724</f>
        <v>20</v>
      </c>
      <c r="C10" s="1162"/>
      <c r="D10" s="428">
        <f>Application!O724</f>
        <v>1352</v>
      </c>
      <c r="E10" s="429"/>
      <c r="F10" s="1083"/>
      <c r="G10" s="428">
        <f t="shared" si="2"/>
        <v>0</v>
      </c>
      <c r="H10" s="429"/>
      <c r="I10" s="428" t="str">
        <f t="shared" si="0"/>
        <v/>
      </c>
      <c r="J10" s="428" t="str">
        <f t="shared" si="1"/>
        <v/>
      </c>
      <c r="K10" s="204"/>
      <c r="L10" s="305"/>
    </row>
    <row r="11" spans="1:12">
      <c r="A11" s="428" t="str">
        <f>Application!B725</f>
        <v>1 Bedroom</v>
      </c>
      <c r="B11" s="1082">
        <f>Application!G725</f>
        <v>19</v>
      </c>
      <c r="C11" s="1162"/>
      <c r="D11" s="428">
        <f>Application!O725</f>
        <v>1593</v>
      </c>
      <c r="E11" s="429"/>
      <c r="F11" s="1083"/>
      <c r="G11" s="428">
        <f t="shared" si="2"/>
        <v>0</v>
      </c>
      <c r="H11" s="429"/>
      <c r="I11" s="428" t="str">
        <f t="shared" si="0"/>
        <v/>
      </c>
      <c r="J11" s="428" t="str">
        <f t="shared" si="1"/>
        <v/>
      </c>
      <c r="K11" s="204"/>
      <c r="L11" s="305"/>
    </row>
    <row r="12" spans="1:12">
      <c r="A12" s="428" t="str">
        <f>Application!B726</f>
        <v>2 Bedrooms</v>
      </c>
      <c r="B12" s="1082">
        <f>Application!G726</f>
        <v>5</v>
      </c>
      <c r="C12" s="1162"/>
      <c r="D12" s="428">
        <f>Application!O726</f>
        <v>737</v>
      </c>
      <c r="E12" s="429"/>
      <c r="F12" s="1083"/>
      <c r="G12" s="428">
        <f t="shared" si="2"/>
        <v>0</v>
      </c>
      <c r="H12" s="429"/>
      <c r="I12" s="428" t="str">
        <f t="shared" si="0"/>
        <v/>
      </c>
      <c r="J12" s="428" t="str">
        <f t="shared" si="1"/>
        <v/>
      </c>
      <c r="K12" s="204"/>
      <c r="L12" s="305"/>
    </row>
    <row r="13" spans="1:12">
      <c r="A13" s="428" t="str">
        <f>Application!B727</f>
        <v>2 Bedrooms</v>
      </c>
      <c r="B13" s="1082">
        <f>Application!G727</f>
        <v>5</v>
      </c>
      <c r="C13" s="1162"/>
      <c r="D13" s="428">
        <f>Application!O727</f>
        <v>1316</v>
      </c>
      <c r="E13" s="429"/>
      <c r="F13" s="1083"/>
      <c r="G13" s="428">
        <f t="shared" si="2"/>
        <v>0</v>
      </c>
      <c r="H13" s="429"/>
      <c r="I13" s="428" t="str">
        <f t="shared" si="0"/>
        <v/>
      </c>
      <c r="J13" s="428" t="str">
        <f t="shared" si="1"/>
        <v/>
      </c>
      <c r="K13" s="204"/>
      <c r="L13" s="305"/>
    </row>
    <row r="14" spans="1:12">
      <c r="A14" s="428" t="str">
        <f>Application!B728</f>
        <v>2 Bedrooms</v>
      </c>
      <c r="B14" s="1082">
        <f>Application!G728</f>
        <v>20</v>
      </c>
      <c r="C14" s="1162"/>
      <c r="D14" s="428">
        <f>Application!O728</f>
        <v>1606</v>
      </c>
      <c r="E14" s="429"/>
      <c r="F14" s="1083"/>
      <c r="G14" s="428">
        <f t="shared" si="2"/>
        <v>0</v>
      </c>
      <c r="H14" s="429"/>
      <c r="I14" s="428" t="str">
        <f t="shared" si="0"/>
        <v/>
      </c>
      <c r="J14" s="428" t="str">
        <f t="shared" si="1"/>
        <v/>
      </c>
      <c r="K14" s="204"/>
      <c r="L14" s="305"/>
    </row>
    <row r="15" spans="1:12">
      <c r="A15" s="428" t="str">
        <f>Application!B729</f>
        <v>2 Bedrooms</v>
      </c>
      <c r="B15" s="1082">
        <f>Application!G729</f>
        <v>20</v>
      </c>
      <c r="C15" s="1162"/>
      <c r="D15" s="428">
        <f>Application!O729</f>
        <v>1895</v>
      </c>
      <c r="E15" s="429"/>
      <c r="F15" s="1083"/>
      <c r="G15" s="428">
        <f t="shared" si="2"/>
        <v>0</v>
      </c>
      <c r="H15" s="429"/>
      <c r="I15" s="428" t="str">
        <f t="shared" si="0"/>
        <v/>
      </c>
      <c r="J15" s="428" t="str">
        <f t="shared" si="1"/>
        <v/>
      </c>
      <c r="K15" s="204"/>
      <c r="L15" s="305"/>
    </row>
    <row r="16" spans="1:12">
      <c r="A16" s="428" t="str">
        <f>Application!B730</f>
        <v>3 Bedrooms</v>
      </c>
      <c r="B16" s="1082">
        <f>Application!G730</f>
        <v>5</v>
      </c>
      <c r="C16" s="1162"/>
      <c r="D16" s="428">
        <f>Application!O730</f>
        <v>836</v>
      </c>
      <c r="E16" s="429"/>
      <c r="F16" s="1083"/>
      <c r="G16" s="428">
        <f t="shared" si="2"/>
        <v>0</v>
      </c>
      <c r="H16" s="429"/>
      <c r="I16" s="428" t="str">
        <f t="shared" si="0"/>
        <v/>
      </c>
      <c r="J16" s="428" t="str">
        <f t="shared" si="1"/>
        <v/>
      </c>
      <c r="K16" s="204"/>
      <c r="L16" s="305"/>
    </row>
    <row r="17" spans="1:12">
      <c r="A17" s="428" t="str">
        <f>Application!B731</f>
        <v>3 Bedrooms</v>
      </c>
      <c r="B17" s="1082">
        <f>Application!G731</f>
        <v>5</v>
      </c>
      <c r="C17" s="1162"/>
      <c r="D17" s="428">
        <f>Application!O731</f>
        <v>1504</v>
      </c>
      <c r="E17" s="429"/>
      <c r="F17" s="1083"/>
      <c r="G17" s="428">
        <f t="shared" si="2"/>
        <v>0</v>
      </c>
      <c r="H17" s="429"/>
      <c r="I17" s="428" t="str">
        <f t="shared" si="0"/>
        <v/>
      </c>
      <c r="J17" s="428" t="str">
        <f t="shared" si="1"/>
        <v/>
      </c>
      <c r="K17" s="204"/>
      <c r="L17" s="305"/>
    </row>
    <row r="18" spans="1:12">
      <c r="A18" s="428" t="str">
        <f>Application!B732</f>
        <v>3 Bedrooms</v>
      </c>
      <c r="B18" s="1082">
        <f>Application!G732</f>
        <v>20</v>
      </c>
      <c r="C18" s="1162"/>
      <c r="D18" s="428">
        <f>Application!O732</f>
        <v>1839</v>
      </c>
      <c r="E18" s="429"/>
      <c r="F18" s="1083"/>
      <c r="G18" s="428">
        <f t="shared" si="2"/>
        <v>0</v>
      </c>
      <c r="H18" s="429"/>
      <c r="I18" s="428" t="str">
        <f t="shared" si="0"/>
        <v/>
      </c>
      <c r="J18" s="428" t="str">
        <f t="shared" si="1"/>
        <v/>
      </c>
      <c r="K18" s="204"/>
      <c r="L18" s="305"/>
    </row>
    <row r="19" spans="1:12">
      <c r="A19" s="428" t="str">
        <f>Application!B733</f>
        <v>3 Bedrooms</v>
      </c>
      <c r="B19" s="1082">
        <f>Application!G733</f>
        <v>20</v>
      </c>
      <c r="C19" s="1162"/>
      <c r="D19" s="428">
        <f>Application!O733</f>
        <v>2173</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304375</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2260</v>
      </c>
    </row>
    <row r="43" spans="1:12">
      <c r="A43" s="2686" t="s">
        <v>2499</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2261</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51" workbookViewId="0">
      <selection activeCell="E27" sqref="E27"/>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2096</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3671616</v>
      </c>
      <c r="G4" s="219">
        <f>E4*$C$4</f>
        <v>3763406.3999999994</v>
      </c>
      <c r="I4" s="219">
        <f>G4*$C$4</f>
        <v>3857491.5599999991</v>
      </c>
      <c r="K4" s="219">
        <f>I4*$C$4</f>
        <v>3953928.8489999985</v>
      </c>
      <c r="M4" s="219">
        <f>K4*$C$4</f>
        <v>4052777.0702249981</v>
      </c>
      <c r="O4" s="219">
        <f>M4*$C$4</f>
        <v>4154096.4969806229</v>
      </c>
      <c r="Q4" s="219">
        <f>O4*$C$4</f>
        <v>4257948.9094051383</v>
      </c>
      <c r="S4" s="219">
        <f>Q4*$C$4</f>
        <v>4364397.6321402667</v>
      </c>
      <c r="U4" s="219">
        <f>S4*$C$4</f>
        <v>4473507.5729437731</v>
      </c>
      <c r="W4" s="219">
        <f>U4*$C$4</f>
        <v>4585345.262267367</v>
      </c>
      <c r="Y4" s="219">
        <f>W4*$C$4</f>
        <v>4699978.8938240511</v>
      </c>
      <c r="AA4" s="219">
        <f>Y4*$C$4</f>
        <v>4817478.366169652</v>
      </c>
      <c r="AC4" s="219">
        <f>AA4*$C$4</f>
        <v>4937915.3253238928</v>
      </c>
      <c r="AE4" s="219">
        <f>AC4*$C$4</f>
        <v>5061363.2084569894</v>
      </c>
      <c r="AG4" s="219">
        <f>AE4*$C$4</f>
        <v>5187897.2886684136</v>
      </c>
    </row>
    <row r="5" spans="1:34" s="210" customFormat="1" ht="14.25">
      <c r="B5" s="210" t="s">
        <v>839</v>
      </c>
      <c r="C5" s="238">
        <f>IF(Application!$D$211="Special Needs",(((0.1*Application!$T$212)+(0.05*(1-Application!$T$212)))),0.05)</f>
        <v>0.05</v>
      </c>
      <c r="E5" s="221">
        <f>-E4*$C$5</f>
        <v>-183580.80000000002</v>
      </c>
      <c r="F5" s="221"/>
      <c r="G5" s="221">
        <f>-G4*$C$5</f>
        <v>-188170.31999999998</v>
      </c>
      <c r="H5" s="221"/>
      <c r="I5" s="221">
        <f>-I4*$C$5</f>
        <v>-192874.57799999998</v>
      </c>
      <c r="J5" s="221"/>
      <c r="K5" s="221">
        <f>-K4*$C$5</f>
        <v>-197696.44244999994</v>
      </c>
      <c r="L5" s="221"/>
      <c r="M5" s="221">
        <f>-M4*$C$5</f>
        <v>-202638.85351124991</v>
      </c>
      <c r="N5" s="221"/>
      <c r="O5" s="221">
        <f>-O4*$C$5</f>
        <v>-207704.82484903117</v>
      </c>
      <c r="P5" s="221"/>
      <c r="Q5" s="221">
        <f>-Q4*$C$5</f>
        <v>-212897.44547025693</v>
      </c>
      <c r="R5" s="221"/>
      <c r="S5" s="221">
        <f>-S4*$C$5</f>
        <v>-218219.88160701335</v>
      </c>
      <c r="T5" s="221"/>
      <c r="U5" s="221">
        <f>-U4*$C$5</f>
        <v>-223675.37864718866</v>
      </c>
      <c r="V5" s="221"/>
      <c r="W5" s="221">
        <f>-W4*$C$5</f>
        <v>-229267.26311336836</v>
      </c>
      <c r="X5" s="221"/>
      <c r="Y5" s="221">
        <f>-Y4*$C$5</f>
        <v>-234998.94469120257</v>
      </c>
      <c r="Z5" s="221"/>
      <c r="AA5" s="221">
        <f>-AA4*$C$5</f>
        <v>-240873.91830848262</v>
      </c>
      <c r="AB5" s="221"/>
      <c r="AC5" s="221">
        <f>-AC4*$C$5</f>
        <v>-246895.76626619464</v>
      </c>
      <c r="AD5" s="221"/>
      <c r="AE5" s="221">
        <f>-AE4*$C$5</f>
        <v>-253068.16042284947</v>
      </c>
      <c r="AF5" s="221"/>
      <c r="AG5" s="221">
        <f>-AG4*$C$5</f>
        <v>-259394.86443342071</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57000</v>
      </c>
      <c r="F8" s="222"/>
      <c r="G8" s="222">
        <f>E8*$C$8</f>
        <v>58424.999999999993</v>
      </c>
      <c r="H8" s="222"/>
      <c r="I8" s="222">
        <f>G8*$C$8</f>
        <v>59885.624999999985</v>
      </c>
      <c r="J8" s="222"/>
      <c r="K8" s="222">
        <f>I8*$C$8</f>
        <v>61382.765624999978</v>
      </c>
      <c r="L8" s="222"/>
      <c r="M8" s="222">
        <f>K8*$C$8</f>
        <v>62917.334765624975</v>
      </c>
      <c r="N8" s="222"/>
      <c r="O8" s="222">
        <f>M8*$C$8</f>
        <v>64490.268134765596</v>
      </c>
      <c r="P8" s="222"/>
      <c r="Q8" s="222">
        <f>O8*$C$8</f>
        <v>66102.524838134734</v>
      </c>
      <c r="R8" s="222"/>
      <c r="S8" s="222">
        <f>Q8*$C$8</f>
        <v>67755.087959088094</v>
      </c>
      <c r="T8" s="222"/>
      <c r="U8" s="222">
        <f>S8*$C$8</f>
        <v>69448.965158065286</v>
      </c>
      <c r="V8" s="222"/>
      <c r="W8" s="222">
        <f>U8*$C$8</f>
        <v>71185.18928701691</v>
      </c>
      <c r="X8" s="222"/>
      <c r="Y8" s="222">
        <f>W8*$C$8</f>
        <v>72964.81901919232</v>
      </c>
      <c r="Z8" s="222"/>
      <c r="AA8" s="222">
        <f>Y8*$C$8</f>
        <v>74788.939494672115</v>
      </c>
      <c r="AB8" s="222"/>
      <c r="AC8" s="222">
        <f>AA8*$C$8</f>
        <v>76658.662982038906</v>
      </c>
      <c r="AD8" s="222"/>
      <c r="AE8" s="222">
        <f>AC8*$C$8</f>
        <v>78575.129556589876</v>
      </c>
      <c r="AF8" s="222"/>
      <c r="AG8" s="222">
        <f>AE8*$C$8</f>
        <v>80539.507795504614</v>
      </c>
    </row>
    <row r="9" spans="1:34" s="210" customFormat="1" ht="14.25">
      <c r="B9" s="210" t="s">
        <v>839</v>
      </c>
      <c r="C9" s="238">
        <f>IF(Application!$D$211="Special Needs",(((0.1*Application!$T$212)+(0.05*(1-Application!$T$212)))),0.05)</f>
        <v>0.05</v>
      </c>
      <c r="E9" s="221">
        <f>-E8*$C$9</f>
        <v>-2850</v>
      </c>
      <c r="F9" s="221"/>
      <c r="G9" s="221">
        <f>-G8*$C$9</f>
        <v>-2921.25</v>
      </c>
      <c r="H9" s="221"/>
      <c r="I9" s="221">
        <f>-I8*$C$9</f>
        <v>-2994.2812499999995</v>
      </c>
      <c r="J9" s="221"/>
      <c r="K9" s="221">
        <f>-K8*$C$9</f>
        <v>-3069.1382812499992</v>
      </c>
      <c r="L9" s="221"/>
      <c r="M9" s="221">
        <f>-M8*$C$9</f>
        <v>-3145.8667382812491</v>
      </c>
      <c r="N9" s="221"/>
      <c r="O9" s="221">
        <f>-O8*$C$9</f>
        <v>-3224.5134067382801</v>
      </c>
      <c r="P9" s="221"/>
      <c r="Q9" s="221">
        <f>-Q8*$C$9</f>
        <v>-3305.1262419067371</v>
      </c>
      <c r="R9" s="221"/>
      <c r="S9" s="221">
        <f>-S8*$C$9</f>
        <v>-3387.7543979544048</v>
      </c>
      <c r="T9" s="221"/>
      <c r="U9" s="221">
        <f>-U8*$C$9</f>
        <v>-3472.4482579032647</v>
      </c>
      <c r="V9" s="221"/>
      <c r="W9" s="221">
        <f>-W8*$C$9</f>
        <v>-3559.2594643508455</v>
      </c>
      <c r="X9" s="221"/>
      <c r="Y9" s="221">
        <f>-Y8*$C$9</f>
        <v>-3648.2409509596164</v>
      </c>
      <c r="Z9" s="221"/>
      <c r="AA9" s="221">
        <f>-AA8*$C$9</f>
        <v>-3739.4469747336061</v>
      </c>
      <c r="AB9" s="221"/>
      <c r="AC9" s="221">
        <f>-AC8*$C$9</f>
        <v>-3832.9331491019457</v>
      </c>
      <c r="AD9" s="221"/>
      <c r="AE9" s="221">
        <f>-AE8*$C$9</f>
        <v>-3928.7564778294941</v>
      </c>
      <c r="AF9" s="221"/>
      <c r="AG9" s="221">
        <f>-AG8*$C$9</f>
        <v>-4026.9753897752307</v>
      </c>
    </row>
    <row r="10" spans="1:34" s="210" customFormat="1" ht="14.25">
      <c r="A10" s="1143" t="s">
        <v>2225</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3542185.2</v>
      </c>
      <c r="G11" s="223">
        <f>SUM(G4:G10)</f>
        <v>3630739.8299999996</v>
      </c>
      <c r="I11" s="223">
        <f>SUM(I4:I10)</f>
        <v>3721508.3257499989</v>
      </c>
      <c r="K11" s="223">
        <f>SUM(K4:K10)</f>
        <v>3814546.0338937487</v>
      </c>
      <c r="M11" s="223">
        <f>SUM(M4:M10)</f>
        <v>3909909.6847410919</v>
      </c>
      <c r="O11" s="223">
        <f>SUM(O4:O10)</f>
        <v>4007657.4268596191</v>
      </c>
      <c r="Q11" s="223">
        <f>SUM(Q4:Q10)</f>
        <v>4107848.8625311097</v>
      </c>
      <c r="S11" s="223">
        <f>SUM(S4:S10)</f>
        <v>4210545.0840943865</v>
      </c>
      <c r="U11" s="223">
        <f>SUM(U4:U10)</f>
        <v>4315808.7111967457</v>
      </c>
      <c r="W11" s="223">
        <f>SUM(W4:W10)</f>
        <v>4423703.9289766653</v>
      </c>
      <c r="Y11" s="223">
        <f>SUM(Y4:Y10)</f>
        <v>4534296.5272010807</v>
      </c>
      <c r="AA11" s="223">
        <f>SUM(AA4:AA10)</f>
        <v>4647653.9403811079</v>
      </c>
      <c r="AC11" s="223">
        <f>SUM(AC4:AC10)</f>
        <v>4763845.2888906347</v>
      </c>
      <c r="AE11" s="223">
        <f>SUM(AE4:AE10)</f>
        <v>4882941.4211129006</v>
      </c>
      <c r="AG11" s="223">
        <f>SUM(AG4:AG10)</f>
        <v>5005014.9566407222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60000</v>
      </c>
      <c r="G15" s="219">
        <f>E15*$C$14</f>
        <v>62099.999999999993</v>
      </c>
      <c r="I15" s="219">
        <f>G15*$C$14</f>
        <v>64273.499999999985</v>
      </c>
      <c r="K15" s="219">
        <f>I15*$C$14</f>
        <v>66523.07249999998</v>
      </c>
      <c r="M15" s="219">
        <f>K15*$C$14</f>
        <v>68851.38003749997</v>
      </c>
      <c r="O15" s="219">
        <f>M15*$C$14</f>
        <v>71261.17833881246</v>
      </c>
      <c r="Q15" s="219">
        <f>O15*$C$14</f>
        <v>73755.319580670897</v>
      </c>
      <c r="S15" s="219">
        <f>Q15*$C$14</f>
        <v>76336.75576599437</v>
      </c>
      <c r="U15" s="219">
        <f>S15*$C$14</f>
        <v>79008.542217804163</v>
      </c>
      <c r="W15" s="219">
        <f>U15*$C$14</f>
        <v>81773.841195427303</v>
      </c>
      <c r="Y15" s="219">
        <f>W15*$C$14</f>
        <v>84635.925637267253</v>
      </c>
      <c r="AA15" s="219">
        <f>Y15*$C$14</f>
        <v>87598.183034571601</v>
      </c>
      <c r="AC15" s="219">
        <f>AA15*$C$14</f>
        <v>90664.119440781593</v>
      </c>
      <c r="AE15" s="219">
        <f>AC15*$C$14</f>
        <v>93837.363621208948</v>
      </c>
      <c r="AG15" s="219">
        <f>AE15*$C$14</f>
        <v>97121.671347951255</v>
      </c>
    </row>
    <row r="16" spans="1:34" s="210" customFormat="1" ht="14.25">
      <c r="A16" s="210" t="s">
        <v>344</v>
      </c>
      <c r="C16" s="233"/>
      <c r="E16" s="222">
        <f>Application!W849</f>
        <v>106266</v>
      </c>
      <c r="F16" s="222"/>
      <c r="G16" s="222">
        <f t="shared" ref="G16:AG21" si="0">E16*$C$14</f>
        <v>109985.31</v>
      </c>
      <c r="H16" s="222"/>
      <c r="I16" s="222">
        <f t="shared" si="0"/>
        <v>113834.79584999999</v>
      </c>
      <c r="J16" s="222"/>
      <c r="K16" s="222">
        <f t="shared" si="0"/>
        <v>117819.01370474999</v>
      </c>
      <c r="L16" s="222"/>
      <c r="M16" s="222">
        <f t="shared" si="0"/>
        <v>121942.67918441622</v>
      </c>
      <c r="N16" s="222"/>
      <c r="O16" s="222">
        <f t="shared" si="0"/>
        <v>126210.67295587077</v>
      </c>
      <c r="P16" s="222"/>
      <c r="Q16" s="222">
        <f t="shared" si="0"/>
        <v>130628.04650932625</v>
      </c>
      <c r="R16" s="222"/>
      <c r="S16" s="222">
        <f t="shared" si="0"/>
        <v>135200.02813715267</v>
      </c>
      <c r="T16" s="222"/>
      <c r="U16" s="222">
        <f t="shared" si="0"/>
        <v>139932.029121953</v>
      </c>
      <c r="V16" s="222"/>
      <c r="W16" s="222">
        <f t="shared" si="0"/>
        <v>144829.65014122135</v>
      </c>
      <c r="X16" s="222"/>
      <c r="Y16" s="222">
        <f t="shared" si="0"/>
        <v>149898.68789616411</v>
      </c>
      <c r="Z16" s="222"/>
      <c r="AA16" s="222">
        <f t="shared" si="0"/>
        <v>155145.14197252985</v>
      </c>
      <c r="AB16" s="222"/>
      <c r="AC16" s="222">
        <f t="shared" si="0"/>
        <v>160575.22194156839</v>
      </c>
      <c r="AD16" s="222"/>
      <c r="AE16" s="222">
        <f t="shared" si="0"/>
        <v>166195.35470952326</v>
      </c>
      <c r="AF16" s="222"/>
      <c r="AG16" s="222">
        <f t="shared" si="0"/>
        <v>172012.19212435657</v>
      </c>
    </row>
    <row r="17" spans="1:33" s="210" customFormat="1" ht="14.25">
      <c r="A17" s="210" t="s">
        <v>562</v>
      </c>
      <c r="C17" s="233"/>
      <c r="E17" s="222">
        <f>Application!W855</f>
        <v>151200</v>
      </c>
      <c r="F17" s="222"/>
      <c r="G17" s="222">
        <f t="shared" si="0"/>
        <v>156492</v>
      </c>
      <c r="H17" s="222"/>
      <c r="I17" s="222">
        <f t="shared" si="0"/>
        <v>161969.22</v>
      </c>
      <c r="J17" s="222"/>
      <c r="K17" s="222">
        <f t="shared" si="0"/>
        <v>167638.1427</v>
      </c>
      <c r="L17" s="222"/>
      <c r="M17" s="222">
        <f t="shared" si="0"/>
        <v>173505.47769449998</v>
      </c>
      <c r="N17" s="222"/>
      <c r="O17" s="222">
        <f t="shared" si="0"/>
        <v>179578.16941380745</v>
      </c>
      <c r="P17" s="222"/>
      <c r="Q17" s="222">
        <f t="shared" si="0"/>
        <v>185863.40534329071</v>
      </c>
      <c r="R17" s="222"/>
      <c r="S17" s="222">
        <f t="shared" si="0"/>
        <v>192368.62453030588</v>
      </c>
      <c r="T17" s="222"/>
      <c r="U17" s="222">
        <f t="shared" si="0"/>
        <v>199101.52638886656</v>
      </c>
      <c r="V17" s="222"/>
      <c r="W17" s="222">
        <f t="shared" si="0"/>
        <v>206070.07981247688</v>
      </c>
      <c r="X17" s="222"/>
      <c r="Y17" s="222">
        <f t="shared" si="0"/>
        <v>213282.53260591356</v>
      </c>
      <c r="Z17" s="222"/>
      <c r="AA17" s="222">
        <f t="shared" si="0"/>
        <v>220747.42124712051</v>
      </c>
      <c r="AB17" s="222"/>
      <c r="AC17" s="222">
        <f t="shared" si="0"/>
        <v>228473.5809907697</v>
      </c>
      <c r="AD17" s="222"/>
      <c r="AE17" s="222">
        <f t="shared" si="0"/>
        <v>236470.15632544662</v>
      </c>
      <c r="AF17" s="222"/>
      <c r="AG17" s="222">
        <f t="shared" si="0"/>
        <v>244746.61179683724</v>
      </c>
    </row>
    <row r="18" spans="1:33" s="210" customFormat="1" ht="14.25">
      <c r="A18" s="210" t="s">
        <v>843</v>
      </c>
      <c r="C18" s="233"/>
      <c r="E18" s="222">
        <f>Application!W862</f>
        <v>204883</v>
      </c>
      <c r="F18" s="222"/>
      <c r="G18" s="222">
        <f t="shared" si="0"/>
        <v>212053.90499999997</v>
      </c>
      <c r="H18" s="222"/>
      <c r="I18" s="222">
        <f t="shared" si="0"/>
        <v>219475.79167499996</v>
      </c>
      <c r="J18" s="222"/>
      <c r="K18" s="222">
        <f t="shared" si="0"/>
        <v>227157.44438362494</v>
      </c>
      <c r="L18" s="222"/>
      <c r="M18" s="222">
        <f t="shared" si="0"/>
        <v>235107.95493705181</v>
      </c>
      <c r="N18" s="222"/>
      <c r="O18" s="222">
        <f t="shared" si="0"/>
        <v>243336.73335984861</v>
      </c>
      <c r="P18" s="222"/>
      <c r="Q18" s="222">
        <f t="shared" si="0"/>
        <v>251853.51902744328</v>
      </c>
      <c r="R18" s="222"/>
      <c r="S18" s="222">
        <f t="shared" si="0"/>
        <v>260668.39219340376</v>
      </c>
      <c r="T18" s="222"/>
      <c r="U18" s="222">
        <f t="shared" si="0"/>
        <v>269791.78592017287</v>
      </c>
      <c r="V18" s="222"/>
      <c r="W18" s="222">
        <f t="shared" si="0"/>
        <v>279234.49842737889</v>
      </c>
      <c r="X18" s="222"/>
      <c r="Y18" s="222">
        <f t="shared" si="0"/>
        <v>289007.7058723371</v>
      </c>
      <c r="Z18" s="222"/>
      <c r="AA18" s="222">
        <f t="shared" si="0"/>
        <v>299122.97557786887</v>
      </c>
      <c r="AB18" s="222"/>
      <c r="AC18" s="222">
        <f t="shared" si="0"/>
        <v>309592.27972309425</v>
      </c>
      <c r="AD18" s="222"/>
      <c r="AE18" s="222">
        <f t="shared" si="0"/>
        <v>320428.00951340253</v>
      </c>
      <c r="AF18" s="222"/>
      <c r="AG18" s="222">
        <f t="shared" si="0"/>
        <v>331642.98984637158</v>
      </c>
    </row>
    <row r="19" spans="1:33" s="210" customFormat="1" ht="14.25">
      <c r="A19" s="210" t="s">
        <v>155</v>
      </c>
      <c r="C19" s="233"/>
      <c r="E19" s="222">
        <f>Application!W863</f>
        <v>25469</v>
      </c>
      <c r="F19" s="222"/>
      <c r="G19" s="222">
        <f t="shared" si="0"/>
        <v>26360.414999999997</v>
      </c>
      <c r="H19" s="222"/>
      <c r="I19" s="222">
        <f t="shared" si="0"/>
        <v>27283.029524999994</v>
      </c>
      <c r="J19" s="222"/>
      <c r="K19" s="222">
        <f t="shared" si="0"/>
        <v>28237.935558374993</v>
      </c>
      <c r="L19" s="222"/>
      <c r="M19" s="222">
        <f t="shared" si="0"/>
        <v>29226.263302918116</v>
      </c>
      <c r="N19" s="222"/>
      <c r="O19" s="222">
        <f t="shared" si="0"/>
        <v>30249.182518520247</v>
      </c>
      <c r="P19" s="222"/>
      <c r="Q19" s="222">
        <f t="shared" si="0"/>
        <v>31307.903906668453</v>
      </c>
      <c r="R19" s="222"/>
      <c r="S19" s="222">
        <f t="shared" si="0"/>
        <v>32403.680543401846</v>
      </c>
      <c r="T19" s="222"/>
      <c r="U19" s="222">
        <f t="shared" si="0"/>
        <v>33537.809362420907</v>
      </c>
      <c r="V19" s="222"/>
      <c r="W19" s="222">
        <f t="shared" si="0"/>
        <v>34711.632690105638</v>
      </c>
      <c r="X19" s="222"/>
      <c r="Y19" s="222">
        <f t="shared" si="0"/>
        <v>35926.539834259333</v>
      </c>
      <c r="Z19" s="222"/>
      <c r="AA19" s="222">
        <f t="shared" si="0"/>
        <v>37183.968728458407</v>
      </c>
      <c r="AB19" s="222"/>
      <c r="AC19" s="222">
        <f t="shared" si="0"/>
        <v>38485.407633954448</v>
      </c>
      <c r="AD19" s="222"/>
      <c r="AE19" s="222">
        <f t="shared" si="0"/>
        <v>39832.396901142849</v>
      </c>
      <c r="AF19" s="222"/>
      <c r="AG19" s="222">
        <f t="shared" si="0"/>
        <v>41226.530792682846</v>
      </c>
    </row>
    <row r="20" spans="1:33" s="210" customFormat="1" ht="14.25">
      <c r="A20" s="210" t="s">
        <v>390</v>
      </c>
      <c r="C20" s="233"/>
      <c r="E20" s="222">
        <f>Application!W872</f>
        <v>42000</v>
      </c>
      <c r="F20" s="222"/>
      <c r="G20" s="222">
        <f t="shared" si="0"/>
        <v>43470</v>
      </c>
      <c r="H20" s="222"/>
      <c r="I20" s="222">
        <f t="shared" si="0"/>
        <v>44991.45</v>
      </c>
      <c r="J20" s="222"/>
      <c r="K20" s="222">
        <f t="shared" si="0"/>
        <v>46566.150749999993</v>
      </c>
      <c r="L20" s="222"/>
      <c r="M20" s="222">
        <f t="shared" si="0"/>
        <v>48195.966026249989</v>
      </c>
      <c r="N20" s="222"/>
      <c r="O20" s="222">
        <f t="shared" si="0"/>
        <v>49882.824837168737</v>
      </c>
      <c r="P20" s="222"/>
      <c r="Q20" s="222">
        <f t="shared" si="0"/>
        <v>51628.723706469638</v>
      </c>
      <c r="R20" s="222"/>
      <c r="S20" s="222">
        <f t="shared" si="0"/>
        <v>53435.72903619607</v>
      </c>
      <c r="T20" s="222"/>
      <c r="U20" s="222">
        <f t="shared" si="0"/>
        <v>55305.97955246293</v>
      </c>
      <c r="V20" s="222"/>
      <c r="W20" s="222">
        <f t="shared" si="0"/>
        <v>57241.688836799127</v>
      </c>
      <c r="X20" s="222"/>
      <c r="Y20" s="222">
        <f t="shared" si="0"/>
        <v>59245.147946087091</v>
      </c>
      <c r="Z20" s="222"/>
      <c r="AA20" s="222">
        <f t="shared" si="0"/>
        <v>61318.728124200134</v>
      </c>
      <c r="AB20" s="222"/>
      <c r="AC20" s="222">
        <f t="shared" si="0"/>
        <v>63464.883608547134</v>
      </c>
      <c r="AD20" s="222"/>
      <c r="AE20" s="222">
        <f t="shared" si="0"/>
        <v>65686.154534846282</v>
      </c>
      <c r="AF20" s="222"/>
      <c r="AG20" s="222">
        <f t="shared" si="0"/>
        <v>67985.169943565896</v>
      </c>
    </row>
    <row r="21" spans="1:33" s="210" customFormat="1" ht="14.25">
      <c r="A21" s="226" t="s">
        <v>963</v>
      </c>
      <c r="B21" s="226"/>
      <c r="C21" s="233"/>
      <c r="E21" s="232">
        <f>Application!W879</f>
        <v>18000</v>
      </c>
      <c r="F21" s="222"/>
      <c r="G21" s="232">
        <f t="shared" si="0"/>
        <v>18630</v>
      </c>
      <c r="H21" s="222"/>
      <c r="I21" s="232">
        <f t="shared" si="0"/>
        <v>19282.05</v>
      </c>
      <c r="J21" s="222"/>
      <c r="K21" s="232">
        <f t="shared" si="0"/>
        <v>19956.921749999998</v>
      </c>
      <c r="L21" s="222"/>
      <c r="M21" s="232">
        <f t="shared" si="0"/>
        <v>20655.414011249995</v>
      </c>
      <c r="N21" s="222"/>
      <c r="O21" s="232">
        <f t="shared" si="0"/>
        <v>21378.353501643742</v>
      </c>
      <c r="P21" s="222"/>
      <c r="Q21" s="232">
        <f t="shared" si="0"/>
        <v>22126.59587420127</v>
      </c>
      <c r="R21" s="222"/>
      <c r="S21" s="232">
        <f t="shared" si="0"/>
        <v>22901.026729798312</v>
      </c>
      <c r="T21" s="222"/>
      <c r="U21" s="232">
        <f t="shared" si="0"/>
        <v>23702.562665341251</v>
      </c>
      <c r="V21" s="222"/>
      <c r="W21" s="232">
        <f t="shared" si="0"/>
        <v>24532.152358628195</v>
      </c>
      <c r="X21" s="222"/>
      <c r="Y21" s="232">
        <f t="shared" si="0"/>
        <v>25390.777691180181</v>
      </c>
      <c r="Z21" s="222"/>
      <c r="AA21" s="232">
        <f t="shared" si="0"/>
        <v>26279.454910371485</v>
      </c>
      <c r="AB21" s="222"/>
      <c r="AC21" s="232">
        <f t="shared" si="0"/>
        <v>27199.235832234484</v>
      </c>
      <c r="AD21" s="222"/>
      <c r="AE21" s="232">
        <f t="shared" si="0"/>
        <v>28151.209086362691</v>
      </c>
      <c r="AF21" s="222"/>
      <c r="AG21" s="232">
        <f t="shared" si="0"/>
        <v>29136.501404385384</v>
      </c>
    </row>
    <row r="22" spans="1:33" s="223" customFormat="1" ht="15">
      <c r="A22" s="223" t="s">
        <v>844</v>
      </c>
      <c r="C22" s="233"/>
      <c r="E22" s="223">
        <f>SUM(E15:E21)</f>
        <v>607818</v>
      </c>
      <c r="G22" s="223">
        <f>SUM(G15:G21)</f>
        <v>629091.63</v>
      </c>
      <c r="I22" s="223">
        <f>SUM(I15:I21)</f>
        <v>651109.83704999997</v>
      </c>
      <c r="K22" s="223">
        <f>SUM(K15:K21)</f>
        <v>673898.68134674989</v>
      </c>
      <c r="M22" s="223">
        <f>SUM(M15:M21)</f>
        <v>697485.135193886</v>
      </c>
      <c r="O22" s="223">
        <f>SUM(O15:O21)</f>
        <v>721897.11492567207</v>
      </c>
      <c r="Q22" s="223">
        <f>SUM(Q15:Q21)</f>
        <v>747163.51394807047</v>
      </c>
      <c r="S22" s="223">
        <f>SUM(S15:S21)</f>
        <v>773314.23693625291</v>
      </c>
      <c r="U22" s="223">
        <f>SUM(U15:U21)</f>
        <v>800380.23522902187</v>
      </c>
      <c r="W22" s="223">
        <f>SUM(W15:W21)</f>
        <v>828393.54346203734</v>
      </c>
      <c r="Y22" s="223">
        <f>SUM(Y15:Y21)</f>
        <v>857387.31748320861</v>
      </c>
      <c r="AA22" s="223">
        <f>SUM(AA15:AA21)</f>
        <v>887395.87359512085</v>
      </c>
      <c r="AC22" s="223">
        <f>SUM(AC15:AC21)</f>
        <v>918454.72917095001</v>
      </c>
      <c r="AE22" s="223">
        <f>SUM(AE15:AE21)</f>
        <v>950600.6446919333</v>
      </c>
      <c r="AG22" s="223">
        <f>SUM(AG15:AG21)</f>
        <v>983871.66725615086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1684</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18988</v>
      </c>
      <c r="F27" s="222"/>
      <c r="G27" s="222">
        <f>E27*$C$27</f>
        <v>19652.579999999998</v>
      </c>
      <c r="H27" s="222"/>
      <c r="I27" s="222">
        <f>G27*$C$27</f>
        <v>20340.420299999998</v>
      </c>
      <c r="J27" s="222"/>
      <c r="K27" s="222">
        <f>I27*$C$27</f>
        <v>21052.335010499995</v>
      </c>
      <c r="L27" s="222"/>
      <c r="M27" s="222">
        <f>K27*$C$27</f>
        <v>21789.166735867493</v>
      </c>
      <c r="N27" s="222"/>
      <c r="O27" s="222">
        <f>M27*$C$27</f>
        <v>22551.787571622852</v>
      </c>
      <c r="P27" s="222"/>
      <c r="Q27" s="222">
        <f>O27*$C$27</f>
        <v>23341.100136629651</v>
      </c>
      <c r="R27" s="222"/>
      <c r="S27" s="222">
        <f>Q27*$C$27</f>
        <v>24158.038641411687</v>
      </c>
      <c r="T27" s="222"/>
      <c r="U27" s="222">
        <f>S27*$C$27</f>
        <v>25003.569993861096</v>
      </c>
      <c r="V27" s="222"/>
      <c r="W27" s="222">
        <f>U27*$C$27</f>
        <v>25878.694943646231</v>
      </c>
      <c r="X27" s="222"/>
      <c r="Y27" s="222">
        <f>W27*$C$27</f>
        <v>26784.449266673848</v>
      </c>
      <c r="Z27" s="222"/>
      <c r="AA27" s="222">
        <f>Y27*$C$27</f>
        <v>27721.904991007432</v>
      </c>
      <c r="AB27" s="222"/>
      <c r="AC27" s="222">
        <f>AA27*$C$27</f>
        <v>28692.171665692691</v>
      </c>
      <c r="AD27" s="222"/>
      <c r="AE27" s="222">
        <f>AC27*$C$27</f>
        <v>29696.397673991934</v>
      </c>
      <c r="AF27" s="222"/>
      <c r="AG27" s="222">
        <f>AE27*$C$27</f>
        <v>30735.771592581648</v>
      </c>
    </row>
    <row r="28" spans="1:33" s="210" customFormat="1" ht="14.25">
      <c r="A28" s="210" t="s">
        <v>847</v>
      </c>
      <c r="C28" s="237"/>
      <c r="E28" s="222">
        <f>Application!AC889</f>
        <v>42000</v>
      </c>
      <c r="F28" s="222"/>
      <c r="G28" s="222">
        <f>$E$28</f>
        <v>42000</v>
      </c>
      <c r="H28" s="222"/>
      <c r="I28" s="222">
        <f>$E$28</f>
        <v>42000</v>
      </c>
      <c r="J28" s="222"/>
      <c r="K28" s="222">
        <f>$E$28</f>
        <v>42000</v>
      </c>
      <c r="L28" s="222"/>
      <c r="M28" s="222">
        <f>$E$28</f>
        <v>42000</v>
      </c>
      <c r="N28" s="222"/>
      <c r="O28" s="222">
        <f>$E$28</f>
        <v>42000</v>
      </c>
      <c r="P28" s="222"/>
      <c r="Q28" s="222">
        <f>$E$28</f>
        <v>42000</v>
      </c>
      <c r="R28" s="222"/>
      <c r="S28" s="222">
        <f>$E$28</f>
        <v>42000</v>
      </c>
      <c r="T28" s="222"/>
      <c r="U28" s="222">
        <f>$E$28</f>
        <v>42000</v>
      </c>
      <c r="V28" s="222"/>
      <c r="W28" s="222">
        <f>$E$28</f>
        <v>42000</v>
      </c>
      <c r="X28" s="222"/>
      <c r="Y28" s="222">
        <f>$E$28</f>
        <v>42000</v>
      </c>
      <c r="Z28" s="222"/>
      <c r="AA28" s="222">
        <f>$E$28</f>
        <v>42000</v>
      </c>
      <c r="AB28" s="222"/>
      <c r="AC28" s="222">
        <f>$E$28</f>
        <v>42000</v>
      </c>
      <c r="AD28" s="222"/>
      <c r="AE28" s="222">
        <f>$E$28</f>
        <v>42000</v>
      </c>
      <c r="AF28" s="222"/>
      <c r="AG28" s="222">
        <f>$E$28</f>
        <v>42000</v>
      </c>
    </row>
    <row r="29" spans="1:33" s="210" customFormat="1" ht="14.25">
      <c r="A29" s="210" t="s">
        <v>1682</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1683</v>
      </c>
      <c r="C31" s="237">
        <v>1.02</v>
      </c>
      <c r="E31" s="222">
        <f>Application!AC893</f>
        <v>56604</v>
      </c>
      <c r="F31" s="222"/>
      <c r="G31" s="222">
        <f>E31*$C$31</f>
        <v>57736.08</v>
      </c>
      <c r="H31" s="222"/>
      <c r="I31" s="222">
        <f>G31*$C$31</f>
        <v>58890.801600000006</v>
      </c>
      <c r="J31" s="222"/>
      <c r="K31" s="222">
        <f>I31*$C$31</f>
        <v>60068.617632000009</v>
      </c>
      <c r="L31" s="222"/>
      <c r="M31" s="222">
        <f>K31*$C$31</f>
        <v>61269.989984640008</v>
      </c>
      <c r="N31" s="222"/>
      <c r="O31" s="222">
        <f>M31*$C$31</f>
        <v>62495.389784332809</v>
      </c>
      <c r="P31" s="222"/>
      <c r="Q31" s="222">
        <f>O31*$C$31</f>
        <v>63745.297580019469</v>
      </c>
      <c r="R31" s="222"/>
      <c r="S31" s="222">
        <f>Q31*$C$31</f>
        <v>65020.20353161986</v>
      </c>
      <c r="T31" s="222"/>
      <c r="U31" s="222">
        <f>S31*$C$31</f>
        <v>66320.607602252261</v>
      </c>
      <c r="V31" s="222"/>
      <c r="W31" s="222">
        <f>U31*$C$31</f>
        <v>67647.019754297304</v>
      </c>
      <c r="X31" s="222"/>
      <c r="Y31" s="222">
        <f>W31*$C$31</f>
        <v>68999.960149383245</v>
      </c>
      <c r="Z31" s="222"/>
      <c r="AA31" s="222">
        <f>Y31*$C$31</f>
        <v>70379.959352370905</v>
      </c>
      <c r="AB31" s="222"/>
      <c r="AC31" s="222">
        <f>AA31*$C$31</f>
        <v>71787.558539418329</v>
      </c>
      <c r="AD31" s="222"/>
      <c r="AE31" s="222">
        <f>AC31*$C$31</f>
        <v>73223.309710206697</v>
      </c>
      <c r="AF31" s="222"/>
      <c r="AG31" s="222">
        <f>AE31*$C$31</f>
        <v>74687.775904410839</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725410</v>
      </c>
      <c r="G35" s="223">
        <f>SUM(G22:G33)</f>
        <v>748480.28999999992</v>
      </c>
      <c r="I35" s="223">
        <f>SUM(I22:I33)</f>
        <v>772341.05894999998</v>
      </c>
      <c r="K35" s="223">
        <f>SUM(K22:K33)</f>
        <v>797019.63398924994</v>
      </c>
      <c r="M35" s="223">
        <f>SUM(M22:M33)</f>
        <v>822544.29191439354</v>
      </c>
      <c r="O35" s="223">
        <f>SUM(O22:O33)</f>
        <v>848944.29228162777</v>
      </c>
      <c r="Q35" s="223">
        <f>SUM(Q22:Q33)</f>
        <v>876249.91166471958</v>
      </c>
      <c r="S35" s="223">
        <f>SUM(S22:S33)</f>
        <v>904492.47910928447</v>
      </c>
      <c r="U35" s="223">
        <f>SUM(U22:U33)</f>
        <v>933704.41282513528</v>
      </c>
      <c r="W35" s="223">
        <f>SUM(W22:W33)</f>
        <v>963919.25815998088</v>
      </c>
      <c r="Y35" s="223">
        <f>SUM(Y22:Y33)</f>
        <v>995171.72689926578</v>
      </c>
      <c r="AA35" s="223">
        <f>SUM(AA22:AA33)</f>
        <v>1027497.7379384992</v>
      </c>
      <c r="AC35" s="223">
        <f>SUM(AC22:AC33)</f>
        <v>1060934.4593760611</v>
      </c>
      <c r="AE35" s="223">
        <f>SUM(AE22:AE33)</f>
        <v>1095520.3520761319</v>
      </c>
      <c r="AG35" s="223">
        <f>SUM(AG22:AG33)</f>
        <v>1131295.2147531433</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2816775.2</v>
      </c>
      <c r="G37" s="223">
        <f>G11-G35</f>
        <v>2882259.5399999996</v>
      </c>
      <c r="I37" s="223">
        <f>I11-I35</f>
        <v>2949167.2667999989</v>
      </c>
      <c r="K37" s="223">
        <f>K11-K35</f>
        <v>3017526.3999044988</v>
      </c>
      <c r="M37" s="223">
        <f>M11-M35</f>
        <v>3087365.3928266983</v>
      </c>
      <c r="O37" s="223">
        <f>O11-O35</f>
        <v>3158713.1345779914</v>
      </c>
      <c r="Q37" s="223">
        <f>Q11-Q35</f>
        <v>3231598.95086639</v>
      </c>
      <c r="S37" s="223">
        <f>S11-S35</f>
        <v>3306052.6049851021</v>
      </c>
      <c r="U37" s="223">
        <f>U11-U35</f>
        <v>3382104.2983716102</v>
      </c>
      <c r="W37" s="223">
        <f>W11-W35</f>
        <v>3459784.6708166841</v>
      </c>
      <c r="Y37" s="223">
        <f>Y11-Y35</f>
        <v>3539124.8003018149</v>
      </c>
      <c r="AA37" s="223">
        <f>AA11-AA35</f>
        <v>3620156.2024426088</v>
      </c>
      <c r="AC37" s="223">
        <f>AC11-AC35</f>
        <v>3702910.8295145733</v>
      </c>
      <c r="AE37" s="223">
        <f>AE11-AE35</f>
        <v>3787421.0690367687</v>
      </c>
      <c r="AG37" s="223">
        <f>AG11-AG35</f>
        <v>3873719.7418875787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JPMorgan Chase Bank, N.A.</v>
      </c>
      <c r="B40" s="226"/>
      <c r="C40" s="220"/>
      <c r="E40" s="222">
        <f>Application!AF627</f>
        <v>2412032</v>
      </c>
      <c r="F40" s="222"/>
      <c r="G40" s="222">
        <f>$E$40</f>
        <v>2412032</v>
      </c>
      <c r="H40" s="222"/>
      <c r="I40" s="222">
        <f>$E$40</f>
        <v>2412032</v>
      </c>
      <c r="J40" s="222"/>
      <c r="K40" s="222">
        <f>$E$40</f>
        <v>2412032</v>
      </c>
      <c r="L40" s="222"/>
      <c r="M40" s="222">
        <f>$E$40</f>
        <v>2412032</v>
      </c>
      <c r="N40" s="222"/>
      <c r="O40" s="222">
        <f>$E$40</f>
        <v>2412032</v>
      </c>
      <c r="P40" s="222"/>
      <c r="Q40" s="222">
        <f>$E$40</f>
        <v>2412032</v>
      </c>
      <c r="R40" s="222"/>
      <c r="S40" s="222">
        <f>$E$40</f>
        <v>2412032</v>
      </c>
      <c r="T40" s="222"/>
      <c r="U40" s="222">
        <f>$E$40</f>
        <v>2412032</v>
      </c>
      <c r="V40" s="222"/>
      <c r="W40" s="222">
        <f>$E$40</f>
        <v>2412032</v>
      </c>
      <c r="X40" s="222"/>
      <c r="Y40" s="222">
        <f>$E$40</f>
        <v>2412032</v>
      </c>
      <c r="Z40" s="222"/>
      <c r="AA40" s="222">
        <f>$E$40</f>
        <v>2412032</v>
      </c>
      <c r="AB40" s="222"/>
      <c r="AC40" s="222">
        <f>$E$40</f>
        <v>2412032</v>
      </c>
      <c r="AD40" s="222"/>
      <c r="AE40" s="222">
        <f>$E$40</f>
        <v>2412032</v>
      </c>
      <c r="AF40" s="222"/>
      <c r="AG40" s="222">
        <f>$E$40</f>
        <v>2412032</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2412032</v>
      </c>
      <c r="G43" s="223">
        <f>SUM(G40:G42)</f>
        <v>2412032</v>
      </c>
      <c r="I43" s="223">
        <f>SUM(I40:I42)</f>
        <v>2412032</v>
      </c>
      <c r="K43" s="223">
        <f>SUM(K40:K42)</f>
        <v>2412032</v>
      </c>
      <c r="M43" s="223">
        <f>SUM(M40:M42)</f>
        <v>2412032</v>
      </c>
      <c r="O43" s="223">
        <f>SUM(O40:O42)</f>
        <v>2412032</v>
      </c>
      <c r="Q43" s="223">
        <f>SUM(Q40:Q42)</f>
        <v>2412032</v>
      </c>
      <c r="S43" s="223">
        <f>SUM(S40:S42)</f>
        <v>2412032</v>
      </c>
      <c r="U43" s="223">
        <f>SUM(U40:U42)</f>
        <v>2412032</v>
      </c>
      <c r="W43" s="223">
        <f>SUM(W40:W42)</f>
        <v>2412032</v>
      </c>
      <c r="Y43" s="223">
        <f>SUM(Y40:Y42)</f>
        <v>2412032</v>
      </c>
      <c r="AA43" s="223">
        <f>SUM(AA40:AA42)</f>
        <v>2412032</v>
      </c>
      <c r="AC43" s="223">
        <f>SUM(AC40:AC42)</f>
        <v>2412032</v>
      </c>
      <c r="AE43" s="223">
        <f>SUM(AE40:AE42)</f>
        <v>2412032</v>
      </c>
      <c r="AG43" s="223">
        <f>SUM(AG40:AG42)</f>
        <v>2412032</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404743.20000000019</v>
      </c>
      <c r="G45" s="223">
        <f>G37-G43</f>
        <v>470227.53999999957</v>
      </c>
      <c r="I45" s="223">
        <f>I37-I43</f>
        <v>537135.26679999894</v>
      </c>
      <c r="K45" s="223">
        <f>K37-K43</f>
        <v>605494.39990449883</v>
      </c>
      <c r="M45" s="223">
        <f>M37-M43</f>
        <v>675333.39282669825</v>
      </c>
      <c r="O45" s="223">
        <f>O37-O43</f>
        <v>746681.13457799144</v>
      </c>
      <c r="Q45" s="223">
        <f>Q37-Q43</f>
        <v>819566.95086639002</v>
      </c>
      <c r="S45" s="223">
        <f>S37-S43</f>
        <v>894020.60498510208</v>
      </c>
      <c r="U45" s="223">
        <f>U37-U43</f>
        <v>970072.29837161023</v>
      </c>
      <c r="W45" s="223">
        <f>W37-W43</f>
        <v>1047752.6708166841</v>
      </c>
      <c r="Y45" s="223">
        <f>Y37-Y43</f>
        <v>1127092.8003018149</v>
      </c>
      <c r="AA45" s="223">
        <f>AA37-AA43</f>
        <v>1208124.2024426088</v>
      </c>
      <c r="AC45" s="223">
        <f>AC37-AC43</f>
        <v>1290878.8295145733</v>
      </c>
      <c r="AE45" s="223">
        <f>AE37-AE43</f>
        <v>1375389.0690367687</v>
      </c>
      <c r="AG45" s="223">
        <f>AG37-AG43</f>
        <v>1461687.7418875787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0.10855051847656079</v>
      </c>
      <c r="G47" s="227">
        <f>G45/(G4+G6+G8)</f>
        <v>0.12303722764955033</v>
      </c>
      <c r="I47" s="227">
        <f>I45/(I4+I6+I8)</f>
        <v>0.13711604510710373</v>
      </c>
      <c r="K47" s="227">
        <f>K45/(K4+K6+K8)</f>
        <v>0.15079636601530555</v>
      </c>
      <c r="M47" s="227">
        <f>M45/(M4+M6+M8)</f>
        <v>0.16408735109385189</v>
      </c>
      <c r="O47" s="227">
        <f>O45/(O4+O6+O8)</f>
        <v>0.17699793228208449</v>
      </c>
      <c r="Q47" s="227">
        <f>Q45/(Q4+Q6+Q8)</f>
        <v>0.18953681826632057</v>
      </c>
      <c r="S47" s="227">
        <f>S45/(S4+S6+S8)</f>
        <v>0.20171249987185932</v>
      </c>
      <c r="U47" s="227">
        <f>U45/(U4+U6+U8)</f>
        <v>0.21353325532296</v>
      </c>
      <c r="W47" s="227">
        <f>W45/(W4+W6+W8)</f>
        <v>0.22500715537400526</v>
      </c>
      <c r="Y47" s="227">
        <f>Y45/(Y4+Y6+Y8)</f>
        <v>0.2361420683149866</v>
      </c>
      <c r="AA47" s="227">
        <f>AA45/(AA4+AA6+AA8)</f>
        <v>0.24694566485437713</v>
      </c>
      <c r="AC47" s="227">
        <f>AC45/(AC4+AC6+AC8)</f>
        <v>0.25742542288236725</v>
      </c>
      <c r="AE47" s="227">
        <f>AE45/(AE4+AE6+AE8)</f>
        <v>0.26758863211738693</v>
      </c>
      <c r="AG47" s="227">
        <f>AG45/(AG4+AG6+AG8)</f>
        <v>0.2774423986387457</v>
      </c>
    </row>
    <row r="48" spans="1:33" s="227" customFormat="1" ht="14.25">
      <c r="A48" s="227" t="s">
        <v>853</v>
      </c>
      <c r="C48" s="220"/>
      <c r="E48" s="227">
        <f>E45/E43</f>
        <v>0.16780175387391219</v>
      </c>
      <c r="G48" s="227">
        <f>G45/G43</f>
        <v>0.19495078838091681</v>
      </c>
      <c r="I48" s="227">
        <f>I45/I43</f>
        <v>0.22268994225615538</v>
      </c>
      <c r="K48" s="227">
        <f>K45/K43</f>
        <v>0.25103083205550292</v>
      </c>
      <c r="M48" s="227">
        <f>M45/M43</f>
        <v>0.27998525426971876</v>
      </c>
      <c r="O48" s="227">
        <f>O45/O43</f>
        <v>0.30956518594197402</v>
      </c>
      <c r="Q48" s="227">
        <f>Q45/Q43</f>
        <v>0.33978278516470345</v>
      </c>
      <c r="S48" s="227">
        <f>S45/S43</f>
        <v>0.37065039144799988</v>
      </c>
      <c r="U48" s="227">
        <f>U45/U43</f>
        <v>0.40218052595140125</v>
      </c>
      <c r="W48" s="227">
        <f>W45/W43</f>
        <v>0.43438589157054475</v>
      </c>
      <c r="Y48" s="227">
        <f>Y45/Y43</f>
        <v>0.46727937286976912</v>
      </c>
      <c r="AA48" s="227">
        <f>AA45/AA43</f>
        <v>0.50087403585135226</v>
      </c>
      <c r="AC48" s="227">
        <f>AC45/AC43</f>
        <v>0.53518312755161346</v>
      </c>
      <c r="AE48" s="227">
        <f>AE45/AE43</f>
        <v>0.57022007545371234</v>
      </c>
      <c r="AG48" s="227">
        <f>AG45/AG43</f>
        <v>0.60599848670646939</v>
      </c>
    </row>
    <row r="49" spans="1:34" s="228" customFormat="1" ht="14.25">
      <c r="A49" s="228" t="s">
        <v>851</v>
      </c>
      <c r="C49" s="229"/>
      <c r="E49" s="228">
        <f>E37/E43</f>
        <v>1.1678017538739123</v>
      </c>
      <c r="G49" s="228">
        <f>G37/G43</f>
        <v>1.1949507883809167</v>
      </c>
      <c r="I49" s="228">
        <f>I37/I43</f>
        <v>1.2226899422561555</v>
      </c>
      <c r="K49" s="228">
        <f>K37/K43</f>
        <v>1.251030832055503</v>
      </c>
      <c r="M49" s="228">
        <f>M37/M43</f>
        <v>1.2799852542697188</v>
      </c>
      <c r="O49" s="228">
        <f>O37/O43</f>
        <v>1.3095651859419739</v>
      </c>
      <c r="Q49" s="228">
        <f>Q37/Q43</f>
        <v>1.3397827851647035</v>
      </c>
      <c r="S49" s="228">
        <f>S37/S43</f>
        <v>1.3706503914479999</v>
      </c>
      <c r="U49" s="228">
        <f>U37/U43</f>
        <v>1.4021805259514013</v>
      </c>
      <c r="W49" s="228">
        <f>W37/W43</f>
        <v>1.4343858915705447</v>
      </c>
      <c r="Y49" s="228">
        <f>Y37/Y43</f>
        <v>1.4672793728697691</v>
      </c>
      <c r="AA49" s="228">
        <f>AA37/AA43</f>
        <v>1.5008740358513522</v>
      </c>
      <c r="AC49" s="228">
        <f>AC37/AC43</f>
        <v>1.5351831275516135</v>
      </c>
      <c r="AE49" s="228">
        <f>AE37/AE43</f>
        <v>1.5702200754537123</v>
      </c>
      <c r="AG49" s="228">
        <f>AG37/AG43</f>
        <v>1.6059984867064694</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1185</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404743.20000000019</v>
      </c>
      <c r="G60" s="962">
        <f>G45-G58</f>
        <v>470227.53999999957</v>
      </c>
      <c r="I60" s="962">
        <f>I45-I58</f>
        <v>537135.26679999894</v>
      </c>
      <c r="K60" s="962">
        <f>K45-K58</f>
        <v>605494.39990449883</v>
      </c>
      <c r="M60" s="962">
        <f>M45-M58</f>
        <v>675333.39282669825</v>
      </c>
      <c r="O60" s="962">
        <f>O45-O58</f>
        <v>746681.13457799144</v>
      </c>
      <c r="Q60" s="962">
        <f>Q45-Q58</f>
        <v>819566.95086639002</v>
      </c>
      <c r="S60" s="962">
        <f>S45-S58</f>
        <v>894020.60498510208</v>
      </c>
      <c r="U60" s="962">
        <f>U45-U58</f>
        <v>970072.29837161023</v>
      </c>
      <c r="W60" s="962">
        <f>W45-W58</f>
        <v>1047752.6708166841</v>
      </c>
      <c r="Y60" s="962">
        <f>Y45-Y58</f>
        <v>1127092.8003018149</v>
      </c>
      <c r="AA60" s="962">
        <f>AA45-AA58</f>
        <v>1208124.2024426088</v>
      </c>
      <c r="AC60" s="962">
        <f>AC45-AC58</f>
        <v>1290878.8295145733</v>
      </c>
      <c r="AE60" s="962">
        <f>AE45-AE58</f>
        <v>1375389.0690367687</v>
      </c>
      <c r="AG60" s="962">
        <f>AG45-AG58</f>
        <v>1461687.7418875787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202371.60000000009</v>
      </c>
      <c r="G62" s="962">
        <f>G60*$C$62</f>
        <v>235113.76999999979</v>
      </c>
      <c r="I62" s="962">
        <f>I60*$C$62</f>
        <v>268567.63339999947</v>
      </c>
      <c r="K62" s="962">
        <f>K60*$C$62</f>
        <v>302747.19995224942</v>
      </c>
      <c r="M62" s="962">
        <f>M60*$C$62</f>
        <v>337666.69641334913</v>
      </c>
      <c r="O62" s="962">
        <f>O60*$C$62</f>
        <v>373340.56728899572</v>
      </c>
      <c r="Q62" s="962">
        <f>Q60*$C$62</f>
        <v>409783.47543319501</v>
      </c>
      <c r="S62" s="962">
        <f>S60*$C$62</f>
        <v>447010.30249255104</v>
      </c>
      <c r="U62" s="962">
        <f>U60*$C$62</f>
        <v>485036.14918580512</v>
      </c>
      <c r="W62" s="962">
        <f>W60*$C$62</f>
        <v>523876.33540834207</v>
      </c>
      <c r="Y62" s="962">
        <f>Y60*$C$62</f>
        <v>563546.40015090746</v>
      </c>
      <c r="AA62" s="962">
        <f>AA60*$C$62</f>
        <v>604062.10122130439</v>
      </c>
      <c r="AC62" s="962">
        <f>AC60*$C$62</f>
        <v>645439.41475728666</v>
      </c>
      <c r="AE62" s="962">
        <f>AE60*$C$62</f>
        <v>687694.53451838437</v>
      </c>
      <c r="AG62" s="962">
        <f>AG60*$C$62</f>
        <v>730843.87094378937</v>
      </c>
    </row>
    <row r="63" spans="1:34" s="962" customFormat="1">
      <c r="A63" s="2689" t="s">
        <v>1185</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101185.80000000005</v>
      </c>
      <c r="G66" s="960">
        <f>G60*$C$65</f>
        <v>117556.88499999989</v>
      </c>
      <c r="I66" s="960">
        <f>I60*$C$65</f>
        <v>134283.81669999973</v>
      </c>
      <c r="K66" s="960">
        <f>K60*$C$65</f>
        <v>151373.59997612471</v>
      </c>
      <c r="M66" s="960">
        <f>M60*$C$65</f>
        <v>168833.34820667456</v>
      </c>
      <c r="O66" s="960">
        <f>O60*$C$65</f>
        <v>186670.28364449786</v>
      </c>
      <c r="Q66" s="960">
        <f>Q60*$C$65</f>
        <v>204891.7377165975</v>
      </c>
      <c r="S66" s="960">
        <f>S60*$C$65</f>
        <v>223505.15124627552</v>
      </c>
      <c r="U66" s="960">
        <f>U60*$C$65</f>
        <v>242518.07459290256</v>
      </c>
      <c r="W66" s="960">
        <f>W60*$C$65</f>
        <v>261938.16770417104</v>
      </c>
      <c r="Y66" s="960">
        <f>Y60*$C$65</f>
        <v>281773.20007545373</v>
      </c>
      <c r="AA66" s="960">
        <f>AA60*$C$65</f>
        <v>302031.05061065219</v>
      </c>
      <c r="AC66" s="960">
        <f>AC60*$C$65</f>
        <v>322719.70737864333</v>
      </c>
      <c r="AE66" s="960">
        <f>AE60*$C$65</f>
        <v>343847.26725919219</v>
      </c>
      <c r="AG66" s="960">
        <f>AG60*$C$65</f>
        <v>365421.93547189469</v>
      </c>
    </row>
    <row r="67" spans="1:34" s="960" customFormat="1">
      <c r="A67" s="965"/>
      <c r="B67" s="965"/>
      <c r="C67" s="970"/>
      <c r="E67" s="964">
        <f>$E60*$C$65</f>
        <v>101185.80000000005</v>
      </c>
      <c r="G67" s="960">
        <f>G60*$C$65</f>
        <v>117556.88499999989</v>
      </c>
      <c r="I67" s="960">
        <f>I60*$C$65</f>
        <v>134283.81669999973</v>
      </c>
      <c r="K67" s="960">
        <f>K60*$C$65</f>
        <v>151373.59997612471</v>
      </c>
      <c r="M67" s="960">
        <f>M60*$C$65</f>
        <v>168833.34820667456</v>
      </c>
      <c r="O67" s="960">
        <f>O60*$C$65</f>
        <v>186670.28364449786</v>
      </c>
      <c r="Q67" s="960">
        <f>Q60*$C$65</f>
        <v>204891.7377165975</v>
      </c>
      <c r="S67" s="960">
        <f>S60*$C$65</f>
        <v>223505.15124627552</v>
      </c>
      <c r="U67" s="960">
        <f>U60*$C$65</f>
        <v>242518.07459290256</v>
      </c>
      <c r="W67" s="960">
        <f>W60*$C$65</f>
        <v>261938.16770417104</v>
      </c>
      <c r="Y67" s="960">
        <f>Y60*$C$65</f>
        <v>281773.20007545373</v>
      </c>
      <c r="AA67" s="960">
        <f>AA60*$C$65</f>
        <v>302031.05061065219</v>
      </c>
      <c r="AC67" s="960">
        <f>AC60*$C$65</f>
        <v>322719.70737864333</v>
      </c>
      <c r="AE67" s="960">
        <f>AE60*$C$65</f>
        <v>343847.26725919219</v>
      </c>
      <c r="AG67" s="960">
        <f>AG60*$C$65</f>
        <v>365421.93547189469</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202371.60000000009</v>
      </c>
      <c r="G70" s="960">
        <f>SUM(G66:G69)</f>
        <v>235113.76999999979</v>
      </c>
      <c r="I70" s="960">
        <f>SUM(I66:I69)</f>
        <v>268567.63339999947</v>
      </c>
      <c r="K70" s="960">
        <f>SUM(K66:K69)</f>
        <v>302747.19995224942</v>
      </c>
      <c r="M70" s="960">
        <f>SUM(M66:M69)</f>
        <v>337666.69641334913</v>
      </c>
      <c r="O70" s="960">
        <f>SUM(O66:O69)</f>
        <v>373340.56728899572</v>
      </c>
      <c r="Q70" s="960">
        <f>SUM(Q66:Q69)</f>
        <v>409783.47543319501</v>
      </c>
      <c r="S70" s="960">
        <f>SUM(S66:S69)</f>
        <v>447010.30249255104</v>
      </c>
      <c r="U70" s="960">
        <f>SUM(U66:U69)</f>
        <v>485036.14918580512</v>
      </c>
      <c r="W70" s="960">
        <f>SUM(W66:W69)</f>
        <v>523876.33540834207</v>
      </c>
      <c r="Y70" s="960">
        <f>SUM(Y66:Y69)</f>
        <v>563546.40015090746</v>
      </c>
      <c r="AA70" s="960">
        <f>SUM(AA66:AA69)</f>
        <v>604062.10122130439</v>
      </c>
      <c r="AC70" s="960">
        <f>SUM(AC66:AC69)</f>
        <v>645439.41475728666</v>
      </c>
      <c r="AE70" s="960">
        <f>SUM(AE66:AE69)</f>
        <v>687694.53451838437</v>
      </c>
      <c r="AG70" s="960">
        <f>SUM(AG66:AG69)</f>
        <v>730843.87094378937</v>
      </c>
    </row>
    <row r="71" spans="1:34" s="960" customFormat="1">
      <c r="A71" s="962"/>
      <c r="C71" s="970"/>
    </row>
    <row r="72" spans="1:34" s="960" customFormat="1">
      <c r="A72" s="962" t="s">
        <v>1725</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1724</v>
      </c>
      <c r="C75" s="183"/>
    </row>
    <row r="76" spans="1:34" s="217" customFormat="1">
      <c r="C76" s="183"/>
    </row>
    <row r="77" spans="1:34" s="234" customFormat="1" ht="30" customHeight="1">
      <c r="A77" s="2687" t="s">
        <v>1723</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2350000</v>
      </c>
      <c r="C5" s="266">
        <f>'Sources and Uses Budget'!$C4</f>
        <v>2350000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2350000</v>
      </c>
      <c r="C9" s="270">
        <f>SUM(C5:C8)</f>
        <v>2350000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2350000</v>
      </c>
      <c r="C13" s="270">
        <f>SUM(C9+C12)</f>
        <v>2350000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1642</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34541000</v>
      </c>
      <c r="C31" s="266">
        <f>'Sources and Uses Budget'!$C30</f>
        <v>34541000</v>
      </c>
      <c r="D31" s="270">
        <f t="shared" si="0"/>
        <v>0</v>
      </c>
      <c r="E31" s="268"/>
      <c r="F31" s="267"/>
    </row>
    <row r="32" spans="1:6" s="352" customFormat="1">
      <c r="A32" s="145" t="s">
        <v>601</v>
      </c>
      <c r="B32" s="266">
        <f>'Sources and Uses Budget'!$C31</f>
        <v>1036500</v>
      </c>
      <c r="C32" s="266">
        <f>'Sources and Uses Budget'!$C31</f>
        <v>1036500</v>
      </c>
      <c r="D32" s="270">
        <f t="shared" si="0"/>
        <v>0</v>
      </c>
      <c r="E32" s="268"/>
      <c r="F32" s="267"/>
    </row>
    <row r="33" spans="1:6" s="352" customFormat="1">
      <c r="A33" s="145" t="s">
        <v>137</v>
      </c>
      <c r="B33" s="266">
        <f>'Sources and Uses Budget'!$C32</f>
        <v>2418500</v>
      </c>
      <c r="C33" s="266">
        <f>'Sources and Uses Budget'!$C32</f>
        <v>2418500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160107</v>
      </c>
      <c r="C36" s="266">
        <f>'Sources and Uses Budget'!$C35</f>
        <v>160107</v>
      </c>
      <c r="D36" s="270">
        <f t="shared" si="0"/>
        <v>0</v>
      </c>
      <c r="E36" s="268"/>
      <c r="F36" s="267"/>
    </row>
    <row r="37" spans="1:6" s="352" customFormat="1">
      <c r="A37" s="283" t="s">
        <v>1642</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38156107</v>
      </c>
      <c r="C39" s="270">
        <f>SUM(C30:C38)</f>
        <v>38156107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350000</v>
      </c>
      <c r="C41" s="266">
        <f>'Sources and Uses Budget'!$C40</f>
        <v>350000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350000</v>
      </c>
      <c r="C43" s="270">
        <f>SUM(C41:C42)</f>
        <v>350000</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6241933</v>
      </c>
      <c r="C46" s="266">
        <f>'Sources and Uses Budget'!$C45</f>
        <v>6241933</v>
      </c>
      <c r="D46" s="270">
        <f t="shared" si="0"/>
        <v>0</v>
      </c>
      <c r="E46" s="268"/>
      <c r="F46" s="267"/>
    </row>
    <row r="47" spans="1:6" s="352" customFormat="1">
      <c r="A47" s="145" t="s">
        <v>151</v>
      </c>
      <c r="B47" s="266">
        <f>'Sources and Uses Budget'!$C46</f>
        <v>374025</v>
      </c>
      <c r="C47" s="266">
        <f>'Sources and Uses Budget'!$C46</f>
        <v>374025</v>
      </c>
      <c r="D47" s="270">
        <f t="shared" si="0"/>
        <v>0</v>
      </c>
      <c r="E47" s="268"/>
      <c r="F47" s="267"/>
    </row>
    <row r="48" spans="1:6" s="352" customFormat="1" ht="12" customHeight="1">
      <c r="A48" s="186" t="s">
        <v>152</v>
      </c>
      <c r="B48" s="266">
        <f>'Sources and Uses Budget'!$C47</f>
        <v>50000</v>
      </c>
      <c r="C48" s="266">
        <f>'Sources and Uses Budget'!$C47</f>
        <v>50000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194620</v>
      </c>
      <c r="C50" s="266">
        <f>'Sources and Uses Budget'!$C49</f>
        <v>194620</v>
      </c>
      <c r="D50" s="270">
        <f t="shared" si="0"/>
        <v>0</v>
      </c>
      <c r="E50" s="268"/>
      <c r="F50" s="267"/>
    </row>
    <row r="51" spans="1:6" s="352" customFormat="1">
      <c r="A51" s="145" t="s">
        <v>156</v>
      </c>
      <c r="B51" s="266">
        <f>'Sources and Uses Budget'!$C50</f>
        <v>80000</v>
      </c>
      <c r="C51" s="266">
        <f>'Sources and Uses Budget'!$C50</f>
        <v>80000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6940578</v>
      </c>
      <c r="C55" s="273">
        <f>SUM(C46:C54)</f>
        <v>6940578</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189900</v>
      </c>
      <c r="C57" s="266">
        <f>'Sources and Uses Budget'!$C56</f>
        <v>189900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58800</v>
      </c>
      <c r="C61" s="266">
        <f>'Sources and Uses Budget'!$C60</f>
        <v>58800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248700</v>
      </c>
      <c r="C63" s="270">
        <f>SUM(C57:C62)</f>
        <v>248700</v>
      </c>
      <c r="D63" s="270">
        <f t="shared" si="0"/>
        <v>0</v>
      </c>
      <c r="E63" s="268"/>
      <c r="F63" s="267"/>
    </row>
    <row r="64" spans="1:6" s="352" customFormat="1">
      <c r="A64" s="274" t="s">
        <v>302</v>
      </c>
      <c r="B64" s="270">
        <f>SUM(B9+B12+B14+B15+B17+B26+B28+B39+B43+B44+B55+B63)</f>
        <v>48045385</v>
      </c>
      <c r="C64" s="270">
        <f>SUM(C9+C12+C14+C15+C17+C26+C28+C39+C43+C44+C55+C63)</f>
        <v>48045385</v>
      </c>
      <c r="D64" s="270">
        <f t="shared" si="0"/>
        <v>0</v>
      </c>
      <c r="E64" s="268"/>
      <c r="F64" s="267"/>
    </row>
    <row r="65" spans="1:6" s="352" customFormat="1" ht="24">
      <c r="A65" s="141" t="s">
        <v>1646</v>
      </c>
      <c r="B65" s="264"/>
      <c r="C65" s="264"/>
      <c r="D65" s="264"/>
      <c r="E65" s="282"/>
      <c r="F65" s="264"/>
    </row>
    <row r="66" spans="1:6" s="352" customFormat="1">
      <c r="A66" s="145" t="s">
        <v>171</v>
      </c>
      <c r="B66" s="266">
        <f>'Sources and Uses Budget'!$C65</f>
        <v>90000</v>
      </c>
      <c r="C66" s="266">
        <f>'Sources and Uses Budget'!$C65</f>
        <v>90000</v>
      </c>
      <c r="D66" s="270">
        <f t="shared" si="0"/>
        <v>0</v>
      </c>
      <c r="E66" s="268"/>
      <c r="F66" s="267"/>
    </row>
    <row r="67" spans="1:6" s="352" customFormat="1" ht="24">
      <c r="A67" s="283" t="s">
        <v>1643</v>
      </c>
      <c r="B67" s="266">
        <f>'Sources and Uses Budget'!$C66</f>
        <v>0</v>
      </c>
      <c r="C67" s="266">
        <f>'Sources and Uses Budget'!$C66</f>
        <v>0</v>
      </c>
      <c r="D67" s="270"/>
      <c r="E67" s="268"/>
      <c r="F67" s="267"/>
    </row>
    <row r="68" spans="1:6" s="352" customFormat="1" ht="24">
      <c r="A68" s="283" t="s">
        <v>1644</v>
      </c>
      <c r="B68" s="266">
        <f>'Sources and Uses Budget'!$C67</f>
        <v>0</v>
      </c>
      <c r="C68" s="266">
        <f>'Sources and Uses Budget'!$C67</f>
        <v>0</v>
      </c>
      <c r="D68" s="270"/>
      <c r="E68" s="268"/>
      <c r="F68" s="267"/>
    </row>
    <row r="69" spans="1:6" s="352" customFormat="1">
      <c r="A69" s="283" t="s">
        <v>1650</v>
      </c>
      <c r="B69" s="266">
        <f>'Sources and Uses Budget'!$C68</f>
        <v>0</v>
      </c>
      <c r="C69" s="266">
        <f>'Sources and Uses Budget'!$C68</f>
        <v>0</v>
      </c>
      <c r="D69" s="270"/>
      <c r="E69" s="268"/>
      <c r="F69" s="267"/>
    </row>
    <row r="70" spans="1:6" s="352" customFormat="1">
      <c r="A70" s="155" t="str">
        <f>'Sources and Uses Budget'!A69</f>
        <v>Other: Closing Costs</v>
      </c>
      <c r="B70" s="266">
        <f>'Sources and Uses Budget'!$C69</f>
        <v>81800</v>
      </c>
      <c r="C70" s="266">
        <f>'Sources and Uses Budget'!$C69</f>
        <v>81800</v>
      </c>
      <c r="D70" s="270">
        <f t="shared" si="0"/>
        <v>0</v>
      </c>
      <c r="E70" s="268"/>
      <c r="F70" s="267"/>
    </row>
    <row r="71" spans="1:6" s="352" customFormat="1">
      <c r="A71" s="149" t="s">
        <v>1647</v>
      </c>
      <c r="B71" s="270">
        <f>SUM(B66:B70)</f>
        <v>171800</v>
      </c>
      <c r="C71" s="270">
        <f>SUM(C66:C70)</f>
        <v>171800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0</v>
      </c>
      <c r="C76" s="266">
        <f>'Sources and Uses Budget'!$C75</f>
        <v>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0</v>
      </c>
      <c r="C78" s="270">
        <f>SUM(C73:C77)</f>
        <v>0</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1140150</v>
      </c>
      <c r="C80" s="266">
        <f>'Sources and Uses Budget'!$C79</f>
        <v>1140150</v>
      </c>
      <c r="D80" s="270">
        <f t="shared" si="1"/>
        <v>0</v>
      </c>
      <c r="E80" s="268"/>
      <c r="F80" s="267"/>
    </row>
    <row r="81" spans="1:6" s="352" customFormat="1">
      <c r="A81" s="510" t="s">
        <v>58</v>
      </c>
      <c r="B81" s="266">
        <f>'Sources and Uses Budget'!$C80</f>
        <v>59000</v>
      </c>
      <c r="C81" s="266">
        <f>'Sources and Uses Budget'!$C80</f>
        <v>59000</v>
      </c>
      <c r="D81" s="270">
        <f>C81-B81</f>
        <v>0</v>
      </c>
      <c r="E81" s="268"/>
      <c r="F81" s="267"/>
    </row>
    <row r="82" spans="1:6" s="352" customFormat="1">
      <c r="A82" s="271" t="s">
        <v>1210</v>
      </c>
      <c r="B82" s="270">
        <f>SUM(B80:B81)</f>
        <v>1199150</v>
      </c>
      <c r="C82" s="270">
        <f>SUM(C80:C81)</f>
        <v>1199150</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153780</v>
      </c>
      <c r="C84" s="266">
        <f>'Sources and Uses Budget'!$C83</f>
        <v>153780</v>
      </c>
      <c r="D84" s="270">
        <f t="shared" si="1"/>
        <v>0</v>
      </c>
      <c r="E84" s="268"/>
      <c r="F84" s="267"/>
    </row>
    <row r="85" spans="1:6" s="352" customFormat="1">
      <c r="A85" s="269" t="s">
        <v>768</v>
      </c>
      <c r="B85" s="266">
        <f>'Sources and Uses Budget'!$C84</f>
        <v>15000</v>
      </c>
      <c r="C85" s="266">
        <f>'Sources and Uses Budget'!$C84</f>
        <v>15000</v>
      </c>
      <c r="D85" s="270">
        <f t="shared" si="1"/>
        <v>0</v>
      </c>
      <c r="E85" s="268"/>
      <c r="F85" s="267"/>
    </row>
    <row r="86" spans="1:6" s="352" customFormat="1">
      <c r="A86" s="269" t="s">
        <v>769</v>
      </c>
      <c r="B86" s="266">
        <f>'Sources and Uses Budget'!$C85</f>
        <v>12400000</v>
      </c>
      <c r="C86" s="266">
        <f>'Sources and Uses Budget'!$C85</f>
        <v>12400000</v>
      </c>
      <c r="D86" s="270">
        <f t="shared" si="1"/>
        <v>0</v>
      </c>
      <c r="E86" s="268"/>
      <c r="F86" s="267"/>
    </row>
    <row r="87" spans="1:6" s="352" customFormat="1">
      <c r="A87" s="269" t="s">
        <v>770</v>
      </c>
      <c r="B87" s="266">
        <f>'Sources and Uses Budget'!$C86</f>
        <v>1724136</v>
      </c>
      <c r="C87" s="266">
        <f>'Sources and Uses Budget'!$C86</f>
        <v>1724136</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15000</v>
      </c>
      <c r="C89" s="266">
        <f>'Sources and Uses Budget'!$C88</f>
        <v>15000</v>
      </c>
      <c r="D89" s="270">
        <f t="shared" si="1"/>
        <v>0</v>
      </c>
      <c r="E89" s="268"/>
      <c r="F89" s="267"/>
    </row>
    <row r="90" spans="1:6" s="352" customFormat="1">
      <c r="A90" s="269" t="s">
        <v>773</v>
      </c>
      <c r="B90" s="266">
        <f>'Sources and Uses Budget'!$C89</f>
        <v>125000</v>
      </c>
      <c r="C90" s="266">
        <f>'Sources and Uses Budget'!$C89</f>
        <v>125000</v>
      </c>
      <c r="D90" s="270">
        <f t="shared" si="1"/>
        <v>0</v>
      </c>
      <c r="E90" s="268"/>
      <c r="F90" s="267"/>
    </row>
    <row r="91" spans="1:6" s="352" customFormat="1">
      <c r="A91" s="269" t="s">
        <v>774</v>
      </c>
      <c r="B91" s="266">
        <f>'Sources and Uses Budget'!$C90</f>
        <v>6500</v>
      </c>
      <c r="C91" s="266">
        <f>'Sources and Uses Budget'!$C90</f>
        <v>6500</v>
      </c>
      <c r="D91" s="270">
        <f t="shared" si="1"/>
        <v>0</v>
      </c>
      <c r="E91" s="268"/>
      <c r="F91" s="267"/>
    </row>
    <row r="92" spans="1:6" s="352" customFormat="1">
      <c r="A92" s="269" t="s">
        <v>372</v>
      </c>
      <c r="B92" s="266">
        <f>'Sources and Uses Budget'!$C91</f>
        <v>15000</v>
      </c>
      <c r="C92" s="266">
        <f>'Sources and Uses Budget'!$C91</f>
        <v>15000</v>
      </c>
      <c r="D92" s="270">
        <f t="shared" si="1"/>
        <v>0</v>
      </c>
      <c r="E92" s="268"/>
      <c r="F92" s="267"/>
    </row>
    <row r="93" spans="1:6" s="352" customFormat="1">
      <c r="A93" s="510" t="s">
        <v>1212</v>
      </c>
      <c r="B93" s="266">
        <f>'Sources and Uses Budget'!$C92</f>
        <v>10000</v>
      </c>
      <c r="C93" s="266">
        <f>'Sources and Uses Budget'!$C92</f>
        <v>10000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14464416</v>
      </c>
      <c r="C97" s="270">
        <f>SUM(C84:C96)</f>
        <v>14464416</v>
      </c>
      <c r="D97" s="270">
        <f t="shared" si="1"/>
        <v>0</v>
      </c>
      <c r="E97" s="268"/>
      <c r="F97" s="267"/>
    </row>
    <row r="98" spans="1:6" s="352" customFormat="1">
      <c r="A98" s="271" t="s">
        <v>776</v>
      </c>
      <c r="B98" s="270">
        <f>SUM(B64+B71+B78+B82+B97)</f>
        <v>63880751</v>
      </c>
      <c r="C98" s="270">
        <f>SUM(C64+C71+C78+C82+C97)</f>
        <v>63880751</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9200000</v>
      </c>
      <c r="C100" s="266">
        <f>'Sources and Uses Budget'!$C99</f>
        <v>9200000</v>
      </c>
      <c r="D100" s="270">
        <f t="shared" si="1"/>
        <v>0</v>
      </c>
      <c r="E100" s="268"/>
      <c r="F100" s="267"/>
    </row>
    <row r="101" spans="1:6" s="352" customFormat="1">
      <c r="A101" s="283" t="s">
        <v>1648</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1649</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9200000</v>
      </c>
      <c r="C105" s="270">
        <f>SUM(C100:C104)</f>
        <v>9200000</v>
      </c>
      <c r="D105" s="270">
        <f t="shared" si="1"/>
        <v>0</v>
      </c>
      <c r="E105" s="268"/>
      <c r="F105" s="267"/>
    </row>
    <row r="106" spans="1:6" s="352" customFormat="1">
      <c r="A106" s="271" t="s">
        <v>781</v>
      </c>
      <c r="B106" s="273">
        <f>SUM(B98+B105)</f>
        <v>73080751</v>
      </c>
      <c r="C106" s="273">
        <f>SUM(C98+C105)</f>
        <v>73080751</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19"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1871</v>
      </c>
      <c r="B1" s="1275"/>
      <c r="C1" s="1275"/>
      <c r="D1" s="1275"/>
      <c r="E1" s="1275"/>
      <c r="F1" s="1275"/>
      <c r="G1" s="1275"/>
      <c r="H1" s="1275"/>
      <c r="I1" s="1275"/>
      <c r="J1" s="1275"/>
    </row>
    <row r="2" spans="1:10" ht="15">
      <c r="A2" s="1278" t="s">
        <v>1270</v>
      </c>
      <c r="B2" s="1279"/>
      <c r="C2" s="1279"/>
      <c r="D2" s="1279"/>
      <c r="E2" s="1279"/>
      <c r="F2" s="1279"/>
      <c r="G2" s="1279"/>
      <c r="H2" s="1279"/>
      <c r="I2" s="1279"/>
      <c r="J2" s="1279"/>
    </row>
    <row r="3" spans="1:10" ht="12.75"/>
    <row r="4" spans="1:10" ht="12.75" customHeight="1">
      <c r="A4" s="1276" t="s">
        <v>2049</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1874</v>
      </c>
      <c r="B8" s="416"/>
      <c r="C8" s="416"/>
      <c r="D8" s="416"/>
      <c r="E8" s="416"/>
      <c r="F8" s="416"/>
      <c r="G8" s="416"/>
      <c r="H8" s="416"/>
      <c r="I8" s="416"/>
      <c r="J8" s="416"/>
    </row>
    <row r="9" spans="1:10" ht="12.75"/>
    <row r="10" spans="1:10" ht="12.75" customHeight="1">
      <c r="A10" s="1280" t="s">
        <v>1876</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1875</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1872</v>
      </c>
      <c r="B71" s="1277"/>
      <c r="C71" s="1277"/>
      <c r="D71" s="1277"/>
      <c r="E71" s="1277"/>
      <c r="F71" s="1277"/>
      <c r="G71" s="1277"/>
      <c r="H71" s="1277"/>
      <c r="I71" s="1277"/>
    </row>
    <row r="72" spans="1:9" ht="12.75">
      <c r="A72" s="1267" t="s">
        <v>2047</v>
      </c>
      <c r="B72" s="1267"/>
      <c r="C72" s="1267"/>
      <c r="D72" s="1267"/>
      <c r="E72" s="1267"/>
    </row>
    <row r="73" spans="1:9" ht="12.75">
      <c r="A73" s="1267" t="s">
        <v>2048</v>
      </c>
      <c r="B73" s="1267"/>
      <c r="C73" s="1267"/>
      <c r="D73" s="1267"/>
      <c r="E73" s="1267"/>
    </row>
    <row r="74" spans="1:9" ht="12.75">
      <c r="A74" s="1267" t="s">
        <v>1873</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123" sqref="B1123"/>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2461</v>
      </c>
      <c r="B2" s="1281"/>
      <c r="C2" s="1281"/>
      <c r="D2" s="1281"/>
      <c r="E2" s="1281"/>
      <c r="F2" s="1281"/>
      <c r="G2" s="1281"/>
      <c r="H2" s="1281"/>
      <c r="I2" s="1281"/>
    </row>
    <row r="3" spans="1:13">
      <c r="A3" s="1282" t="s">
        <v>2221</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2220</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2711</v>
      </c>
      <c r="C15" s="483"/>
      <c r="D15" s="1283" t="s">
        <v>1924</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1922</v>
      </c>
      <c r="F18" s="445"/>
      <c r="I18" s="490"/>
    </row>
    <row r="19" spans="1:9">
      <c r="A19" s="483"/>
      <c r="B19" s="483"/>
      <c r="C19" s="483"/>
      <c r="I19" s="490"/>
    </row>
    <row r="20" spans="1:9" ht="14.25">
      <c r="A20" s="484"/>
      <c r="B20" s="485" t="s">
        <v>2712</v>
      </c>
      <c r="D20" s="1283" t="s">
        <v>1925</v>
      </c>
      <c r="E20" s="1283"/>
      <c r="F20" s="1283"/>
      <c r="I20" s="490"/>
    </row>
    <row r="21" spans="1:9" ht="14.25">
      <c r="A21" s="484"/>
      <c r="D21" s="1283"/>
      <c r="E21" s="1283"/>
      <c r="F21" s="1283"/>
      <c r="I21" s="490"/>
    </row>
    <row r="22" spans="1:9" ht="14.25">
      <c r="A22" s="484"/>
      <c r="D22" s="392"/>
      <c r="E22" s="96" t="s">
        <v>1921</v>
      </c>
      <c r="F22" s="392"/>
      <c r="I22" s="490"/>
    </row>
    <row r="23" spans="1:9" ht="14.25">
      <c r="A23" s="484"/>
      <c r="B23" s="484"/>
      <c r="D23" s="446"/>
      <c r="I23" s="490"/>
    </row>
    <row r="24" spans="1:9" ht="14.25">
      <c r="A24" s="484"/>
      <c r="B24" s="485" t="s">
        <v>2711</v>
      </c>
      <c r="D24" s="1283" t="s">
        <v>1092</v>
      </c>
      <c r="E24" s="1283"/>
      <c r="F24" s="1283"/>
      <c r="I24" s="490"/>
    </row>
    <row r="25" spans="1:9" ht="14.25">
      <c r="A25" s="484"/>
      <c r="B25" s="484"/>
      <c r="D25" s="1283"/>
      <c r="E25" s="1283"/>
      <c r="F25" s="1283"/>
      <c r="I25" s="490"/>
    </row>
    <row r="26" spans="1:9">
      <c r="I26" s="490"/>
    </row>
    <row r="27" spans="1:9" ht="14.25">
      <c r="A27" s="484"/>
      <c r="B27" s="485" t="s">
        <v>2712</v>
      </c>
      <c r="D27" s="1283" t="s">
        <v>2050</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2711</v>
      </c>
      <c r="D33" s="1283" t="s">
        <v>2051</v>
      </c>
      <c r="E33" s="1283"/>
      <c r="F33" s="1283"/>
      <c r="I33" s="490"/>
    </row>
    <row r="34" spans="1:9">
      <c r="D34" s="1283"/>
      <c r="E34" s="1283"/>
      <c r="F34" s="1283"/>
      <c r="I34" s="490"/>
    </row>
    <row r="35" spans="1:9" ht="14.25">
      <c r="A35" s="484"/>
      <c r="B35" s="484"/>
      <c r="D35" s="447"/>
      <c r="I35" s="490"/>
    </row>
    <row r="36" spans="1:9" ht="14.45" customHeight="1">
      <c r="A36" s="484"/>
      <c r="B36" s="485" t="s">
        <v>2711</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2711</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2711</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2711</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2712</v>
      </c>
      <c r="D56" s="1307" t="s">
        <v>1096</v>
      </c>
      <c r="E56" s="1307"/>
      <c r="F56" s="1307"/>
      <c r="I56" s="490"/>
    </row>
    <row r="57" spans="1:9" ht="14.25">
      <c r="A57" s="484"/>
      <c r="B57" s="484"/>
      <c r="D57" s="1307"/>
      <c r="E57" s="1307"/>
      <c r="F57" s="1307"/>
      <c r="I57" s="490"/>
    </row>
    <row r="58" spans="1:9" ht="14.25">
      <c r="A58" s="484"/>
      <c r="B58" s="484"/>
      <c r="D58" s="392" t="s">
        <v>1923</v>
      </c>
      <c r="E58" s="445"/>
      <c r="F58" s="445"/>
      <c r="I58" s="490"/>
    </row>
    <row r="59" spans="1:9" ht="14.25">
      <c r="A59" s="484"/>
      <c r="B59" s="484"/>
      <c r="D59" s="445"/>
      <c r="E59" s="312" t="s">
        <v>1922</v>
      </c>
      <c r="F59" s="445"/>
      <c r="I59" s="490"/>
    </row>
    <row r="60" spans="1:9">
      <c r="D60" s="447"/>
      <c r="I60" s="490"/>
    </row>
    <row r="61" spans="1:9" ht="14.25">
      <c r="A61" s="484"/>
      <c r="B61" s="485" t="s">
        <v>2711</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2711</v>
      </c>
      <c r="D65" s="1283" t="s">
        <v>1098</v>
      </c>
      <c r="E65" s="1283"/>
      <c r="F65" s="1283"/>
      <c r="I65" s="490"/>
    </row>
    <row r="66" spans="1:9">
      <c r="D66" s="1283"/>
      <c r="E66" s="1283"/>
      <c r="F66" s="1283"/>
      <c r="I66" s="490"/>
    </row>
    <row r="67" spans="1:9">
      <c r="I67" s="490"/>
    </row>
    <row r="68" spans="1:9" ht="14.25">
      <c r="A68" s="484"/>
      <c r="B68" s="485" t="s">
        <v>2711</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2711</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2712</v>
      </c>
      <c r="D80" s="1283" t="s">
        <v>1247</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2712</v>
      </c>
      <c r="D89" s="1283" t="s">
        <v>1744</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2712</v>
      </c>
      <c r="D92" s="1283" t="s">
        <v>1747</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2712</v>
      </c>
      <c r="D96" s="1283" t="s">
        <v>1746</v>
      </c>
      <c r="E96" s="1283"/>
      <c r="F96" s="1283"/>
      <c r="I96" s="490"/>
    </row>
    <row r="97" spans="1:9" s="987" customFormat="1" ht="14.25">
      <c r="A97" s="985"/>
      <c r="B97" s="985"/>
      <c r="C97" s="986"/>
      <c r="D97" s="1283"/>
      <c r="E97" s="1283"/>
      <c r="F97" s="1283"/>
      <c r="I97" s="1154"/>
    </row>
    <row r="98" spans="1:9" ht="14.25">
      <c r="A98" s="484"/>
      <c r="B98" s="484"/>
      <c r="D98" s="392"/>
      <c r="E98" s="312" t="s">
        <v>1926</v>
      </c>
      <c r="F98" s="445"/>
      <c r="I98" s="490"/>
    </row>
    <row r="99" spans="1:9" ht="14.25">
      <c r="A99" s="484"/>
      <c r="B99" s="484"/>
      <c r="D99" s="385"/>
      <c r="E99" s="385"/>
      <c r="F99" s="385"/>
      <c r="I99" s="490"/>
    </row>
    <row r="100" spans="1:9" ht="14.25">
      <c r="A100" s="484"/>
      <c r="B100" s="485" t="s">
        <v>2711</v>
      </c>
      <c r="D100" s="1283" t="s">
        <v>1745</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2711</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2711</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2712</v>
      </c>
      <c r="C128" s="402"/>
      <c r="D128" s="1303" t="s">
        <v>2052</v>
      </c>
      <c r="E128" s="1303"/>
      <c r="F128" s="1303"/>
      <c r="I128" s="490"/>
    </row>
    <row r="129" spans="1:9" ht="14.25">
      <c r="A129" s="484"/>
      <c r="B129" s="484"/>
      <c r="C129" s="402"/>
      <c r="D129" s="1303"/>
      <c r="E129" s="1303"/>
      <c r="F129" s="1303"/>
      <c r="I129" s="490"/>
    </row>
    <row r="130" spans="1:9">
      <c r="I130" s="490"/>
    </row>
    <row r="131" spans="1:9" ht="14.25">
      <c r="A131" s="484"/>
      <c r="B131" s="485" t="s">
        <v>2712</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2712</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2711</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2075</v>
      </c>
      <c r="E169" s="1304"/>
      <c r="F169" s="1304"/>
      <c r="G169" s="507"/>
      <c r="I169" s="490"/>
    </row>
    <row r="170" spans="1:9" ht="13.7" customHeight="1">
      <c r="D170" s="1295"/>
      <c r="E170" s="1295"/>
      <c r="F170" s="1295"/>
      <c r="G170" s="1295"/>
      <c r="I170" s="490"/>
    </row>
    <row r="171" spans="1:9" ht="14.45" customHeight="1">
      <c r="A171" s="489"/>
      <c r="B171" s="485" t="s">
        <v>2711</v>
      </c>
      <c r="C171" s="476"/>
      <c r="D171" s="1263" t="s">
        <v>2215</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2712</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2711</v>
      </c>
      <c r="D182" s="1287" t="s">
        <v>2053</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2054</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1877</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1748</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2712</v>
      </c>
      <c r="D197" s="1300" t="s">
        <v>1749</v>
      </c>
      <c r="E197" s="1300"/>
      <c r="F197" s="1300"/>
      <c r="I197" s="490"/>
    </row>
    <row r="198" spans="1:9">
      <c r="A198" s="404"/>
      <c r="B198" s="404"/>
      <c r="D198" s="1301" t="s">
        <v>1904</v>
      </c>
      <c r="E198" s="1301"/>
      <c r="F198" s="1301"/>
      <c r="I198" s="490"/>
    </row>
    <row r="199" spans="1:9">
      <c r="A199" s="404"/>
      <c r="B199" s="404"/>
      <c r="D199" s="96" t="s">
        <v>1750</v>
      </c>
      <c r="E199" s="1302" t="s">
        <v>1927</v>
      </c>
      <c r="F199" s="1302"/>
      <c r="I199" s="490"/>
    </row>
    <row r="200" spans="1:9">
      <c r="A200" s="404"/>
      <c r="B200" s="404"/>
      <c r="D200" s="3"/>
      <c r="E200" s="3"/>
      <c r="F200" s="3"/>
      <c r="I200" s="490"/>
    </row>
    <row r="201" spans="1:9">
      <c r="A201" s="404"/>
      <c r="B201" s="485" t="s">
        <v>2711</v>
      </c>
      <c r="D201" s="1301" t="s">
        <v>1751</v>
      </c>
      <c r="E201" s="1301"/>
      <c r="F201" s="1301"/>
      <c r="I201" s="490"/>
    </row>
    <row r="202" spans="1:9">
      <c r="A202" s="404"/>
      <c r="B202" s="404"/>
      <c r="D202" s="1300" t="s">
        <v>1904</v>
      </c>
      <c r="E202" s="1300"/>
      <c r="F202" s="1300"/>
      <c r="I202" s="490"/>
    </row>
    <row r="203" spans="1:9">
      <c r="A203" s="404"/>
      <c r="B203" s="404"/>
      <c r="D203" s="57" t="s">
        <v>1752</v>
      </c>
      <c r="E203" s="1302" t="s">
        <v>1928</v>
      </c>
      <c r="F203" s="1302"/>
      <c r="I203" s="490"/>
    </row>
    <row r="204" spans="1:9">
      <c r="A204" s="404"/>
      <c r="B204" s="404"/>
      <c r="D204" s="3"/>
      <c r="E204" s="3"/>
      <c r="F204" s="3"/>
      <c r="I204" s="490"/>
    </row>
    <row r="205" spans="1:9">
      <c r="A205" s="404"/>
      <c r="B205" s="485" t="s">
        <v>2711</v>
      </c>
      <c r="D205" s="1301" t="s">
        <v>1753</v>
      </c>
      <c r="E205" s="1301"/>
      <c r="F205" s="1301"/>
      <c r="I205" s="490"/>
    </row>
    <row r="206" spans="1:9">
      <c r="A206" s="404"/>
      <c r="B206" s="404"/>
      <c r="D206" s="1300" t="s">
        <v>1904</v>
      </c>
      <c r="E206" s="1300"/>
      <c r="F206" s="1300"/>
      <c r="I206" s="490"/>
    </row>
    <row r="207" spans="1:9">
      <c r="A207" s="404"/>
      <c r="B207" s="404"/>
      <c r="D207" s="57" t="s">
        <v>1750</v>
      </c>
      <c r="E207" s="1302" t="s">
        <v>1929</v>
      </c>
      <c r="F207" s="1302"/>
      <c r="I207" s="490"/>
    </row>
    <row r="208" spans="1:9">
      <c r="A208" s="404"/>
      <c r="B208" s="404"/>
      <c r="D208" s="392"/>
      <c r="E208" s="392"/>
      <c r="F208" s="392"/>
      <c r="I208" s="490"/>
    </row>
    <row r="209" spans="1:9" ht="14.25" customHeight="1">
      <c r="A209" s="484"/>
      <c r="B209" s="485" t="s">
        <v>2711</v>
      </c>
      <c r="D209" s="386" t="s">
        <v>1897</v>
      </c>
      <c r="E209" s="385"/>
      <c r="F209" s="385"/>
      <c r="I209" s="490"/>
    </row>
    <row r="210" spans="1:9" ht="14.25">
      <c r="A210" s="484"/>
      <c r="B210" s="484"/>
      <c r="D210" s="1300" t="s">
        <v>1904</v>
      </c>
      <c r="E210" s="1300"/>
      <c r="F210" s="1300"/>
      <c r="I210" s="490"/>
    </row>
    <row r="211" spans="1:9">
      <c r="D211" s="385"/>
      <c r="E211" s="1302" t="s">
        <v>1930</v>
      </c>
      <c r="F211" s="1302"/>
      <c r="I211" s="490"/>
    </row>
    <row r="212" spans="1:9">
      <c r="D212" s="447"/>
      <c r="I212" s="490"/>
    </row>
    <row r="213" spans="1:9">
      <c r="B213" s="485" t="s">
        <v>2711</v>
      </c>
      <c r="D213" s="1301" t="s">
        <v>1754</v>
      </c>
      <c r="E213" s="1301"/>
      <c r="F213" s="1301"/>
      <c r="I213" s="490"/>
    </row>
    <row r="214" spans="1:9">
      <c r="D214" s="1300" t="s">
        <v>1904</v>
      </c>
      <c r="E214" s="1300"/>
      <c r="F214" s="1300"/>
      <c r="I214" s="490"/>
    </row>
    <row r="215" spans="1:9">
      <c r="D215" s="57" t="s">
        <v>1750</v>
      </c>
      <c r="E215" s="1302" t="s">
        <v>1931</v>
      </c>
      <c r="F215" s="1302"/>
      <c r="I215" s="490"/>
    </row>
    <row r="216" spans="1:9">
      <c r="D216" s="451"/>
      <c r="E216" s="451"/>
      <c r="F216" s="451"/>
      <c r="I216" s="490"/>
    </row>
    <row r="217" spans="1:9" ht="14.25">
      <c r="A217" s="484"/>
      <c r="B217" s="485" t="s">
        <v>2711</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2712</v>
      </c>
      <c r="D228" s="1283" t="s">
        <v>1755</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2712</v>
      </c>
      <c r="D233" s="1283" t="s">
        <v>1756</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2712</v>
      </c>
      <c r="D245" s="1283" t="s">
        <v>2055</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1898</v>
      </c>
      <c r="I248" s="490"/>
    </row>
    <row r="249" spans="1:9" ht="14.25">
      <c r="A249" s="484"/>
      <c r="B249" s="484"/>
      <c r="D249" s="446"/>
      <c r="E249" s="446"/>
      <c r="F249" s="446"/>
      <c r="I249" s="490"/>
    </row>
    <row r="250" spans="1:9" ht="14.45" customHeight="1">
      <c r="A250" s="484"/>
      <c r="B250" s="485" t="s">
        <v>2711</v>
      </c>
      <c r="D250" s="1283" t="s">
        <v>2056</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2712</v>
      </c>
      <c r="D256" s="392" t="s">
        <v>2057</v>
      </c>
      <c r="E256" s="445"/>
      <c r="F256" s="445"/>
      <c r="I256" s="490"/>
    </row>
    <row r="257" spans="1:9" ht="14.25">
      <c r="A257" s="484"/>
      <c r="B257" s="484"/>
      <c r="E257" s="1036" t="s">
        <v>1899</v>
      </c>
      <c r="I257" s="490"/>
    </row>
    <row r="258" spans="1:9">
      <c r="D258" s="446"/>
      <c r="E258" s="446"/>
      <c r="F258" s="446"/>
      <c r="I258" s="490"/>
    </row>
    <row r="259" spans="1:9" ht="14.25">
      <c r="A259" s="484"/>
      <c r="B259" s="485" t="s">
        <v>2712</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2712</v>
      </c>
      <c r="D267" s="1283" t="s">
        <v>1197</v>
      </c>
      <c r="E267" s="1283"/>
      <c r="F267" s="1283"/>
      <c r="I267" s="490"/>
    </row>
    <row r="268" spans="1:9">
      <c r="D268" s="1283"/>
      <c r="E268" s="1283"/>
      <c r="F268" s="1283"/>
      <c r="I268" s="490"/>
    </row>
    <row r="269" spans="1:9">
      <c r="E269" s="1036" t="s">
        <v>1900</v>
      </c>
      <c r="I269" s="490"/>
    </row>
    <row r="270" spans="1:9">
      <c r="D270" s="446"/>
      <c r="E270" s="446"/>
      <c r="F270" s="446"/>
      <c r="I270" s="490"/>
    </row>
    <row r="271" spans="1:9" ht="14.45" customHeight="1">
      <c r="A271" s="484"/>
      <c r="B271" s="485" t="s">
        <v>2711</v>
      </c>
      <c r="D271" s="1283" t="s">
        <v>2058</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2711</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2711</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2711</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2711</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2711</v>
      </c>
      <c r="D305" s="1284" t="s">
        <v>1130</v>
      </c>
      <c r="E305" s="1284"/>
      <c r="F305" s="1284"/>
      <c r="I305" s="490"/>
    </row>
    <row r="306" spans="1:9" ht="14.25">
      <c r="A306" s="484"/>
      <c r="B306" s="484"/>
      <c r="D306" s="494"/>
      <c r="E306" s="495"/>
      <c r="F306" s="495"/>
      <c r="I306" s="490"/>
    </row>
    <row r="307" spans="1:9" ht="13.7" customHeight="1">
      <c r="B307" s="485" t="s">
        <v>2711</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2711</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2711</v>
      </c>
      <c r="D316" s="1284" t="s">
        <v>1132</v>
      </c>
      <c r="E316" s="1284"/>
      <c r="F316" s="1284"/>
      <c r="I316" s="490"/>
    </row>
    <row r="317" spans="1:9">
      <c r="E317" s="446"/>
      <c r="F317" s="446"/>
      <c r="I317" s="490"/>
    </row>
    <row r="318" spans="1:9" ht="14.25">
      <c r="A318" s="484"/>
      <c r="B318" s="485" t="s">
        <v>2711</v>
      </c>
      <c r="D318" s="1283" t="s">
        <v>2248</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2711</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2711</v>
      </c>
      <c r="D344" s="1283" t="s">
        <v>1905</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1904</v>
      </c>
      <c r="E348" s="385"/>
      <c r="F348" s="385"/>
      <c r="I348" s="490"/>
    </row>
    <row r="349" spans="1:9">
      <c r="D349" s="385"/>
      <c r="E349" s="96" t="s">
        <v>1901</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2249</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2711</v>
      </c>
      <c r="C355" s="487"/>
      <c r="D355" s="1284" t="s">
        <v>1903</v>
      </c>
      <c r="E355" s="1284"/>
      <c r="F355" s="1284"/>
      <c r="I355" s="490"/>
    </row>
    <row r="356" spans="1:9" ht="12.75" customHeight="1">
      <c r="D356" s="1037"/>
      <c r="E356" s="96" t="s">
        <v>1902</v>
      </c>
      <c r="F356" s="1037"/>
      <c r="I356" s="490"/>
    </row>
    <row r="357" spans="1:9">
      <c r="D357" s="1283" t="s">
        <v>1241</v>
      </c>
      <c r="E357" s="1283"/>
      <c r="F357" s="1283"/>
      <c r="I357" s="490"/>
    </row>
    <row r="358" spans="1:9">
      <c r="D358" s="1283"/>
      <c r="E358" s="1283"/>
      <c r="F358" s="1283"/>
      <c r="I358" s="490"/>
    </row>
    <row r="359" spans="1:9">
      <c r="D359" s="1283"/>
      <c r="E359" s="1283"/>
      <c r="F359" s="1283"/>
      <c r="I359" s="490"/>
    </row>
    <row r="360" spans="1:9" ht="14.25">
      <c r="A360" s="484"/>
      <c r="B360" s="485" t="s">
        <v>2711</v>
      </c>
      <c r="C360" s="476"/>
      <c r="D360" s="1295" t="s">
        <v>2059</v>
      </c>
      <c r="E360" s="1295"/>
      <c r="F360" s="1295"/>
      <c r="I360" s="480"/>
    </row>
    <row r="361" spans="1:9">
      <c r="A361" s="476"/>
      <c r="B361" s="476"/>
      <c r="C361" s="476"/>
      <c r="D361" s="447"/>
      <c r="E361" s="447"/>
      <c r="F361" s="446"/>
      <c r="I361" s="490"/>
    </row>
    <row r="362" spans="1:9">
      <c r="A362" s="476"/>
      <c r="B362" s="485" t="s">
        <v>2711</v>
      </c>
      <c r="C362" s="476"/>
      <c r="D362" s="1263" t="s">
        <v>2060</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2711</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2711</v>
      </c>
      <c r="C380" s="476"/>
      <c r="D380" s="402" t="s">
        <v>1836</v>
      </c>
      <c r="E380" s="524"/>
      <c r="F380" s="524"/>
      <c r="I380" s="490"/>
    </row>
    <row r="381" spans="1:9">
      <c r="A381" s="476"/>
      <c r="B381" s="476"/>
      <c r="C381" s="476"/>
      <c r="D381" s="402" t="s">
        <v>1837</v>
      </c>
      <c r="E381" s="524"/>
      <c r="F381" s="524"/>
      <c r="I381" s="490"/>
    </row>
    <row r="382" spans="1:9">
      <c r="A382" s="476"/>
      <c r="B382" s="476"/>
      <c r="C382" s="476"/>
      <c r="D382" s="402" t="s">
        <v>1838</v>
      </c>
      <c r="E382" s="524"/>
      <c r="F382" s="524"/>
      <c r="I382" s="490"/>
    </row>
    <row r="383" spans="1:9">
      <c r="A383" s="476"/>
      <c r="B383" s="476"/>
      <c r="C383" s="476"/>
      <c r="D383" s="402" t="s">
        <v>1839</v>
      </c>
      <c r="E383" s="524"/>
      <c r="F383" s="524"/>
      <c r="I383" s="490"/>
    </row>
    <row r="384" spans="1:9">
      <c r="A384" s="476"/>
      <c r="B384" s="476"/>
      <c r="C384" s="476"/>
      <c r="D384" s="402" t="s">
        <v>1840</v>
      </c>
      <c r="E384" s="524"/>
      <c r="F384" s="524"/>
      <c r="I384" s="490"/>
    </row>
    <row r="385" spans="1:9">
      <c r="A385" s="476"/>
      <c r="B385" s="476"/>
      <c r="C385" s="476"/>
      <c r="D385" s="402" t="s">
        <v>1841</v>
      </c>
      <c r="E385" s="524"/>
      <c r="F385" s="524"/>
      <c r="I385" s="490"/>
    </row>
    <row r="386" spans="1:9">
      <c r="A386" s="476"/>
      <c r="B386" s="476"/>
      <c r="C386" s="476"/>
      <c r="E386" s="447"/>
      <c r="F386" s="446"/>
      <c r="I386" s="490"/>
    </row>
    <row r="387" spans="1:9" ht="14.25">
      <c r="A387" s="484"/>
      <c r="B387" s="485" t="s">
        <v>2711</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2711</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2711</v>
      </c>
      <c r="D423" s="1263" t="s">
        <v>1884</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2711</v>
      </c>
      <c r="C429" s="476"/>
      <c r="D429" s="1263" t="s">
        <v>1242</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2076</v>
      </c>
      <c r="E433" s="1263"/>
      <c r="F433" s="1263"/>
      <c r="I433" s="490"/>
    </row>
    <row r="434" spans="1:9">
      <c r="D434" s="446"/>
      <c r="E434" s="446"/>
      <c r="F434" s="446"/>
      <c r="I434" s="490"/>
    </row>
    <row r="435" spans="1:9" ht="14.25">
      <c r="A435" s="484"/>
      <c r="B435" s="485" t="s">
        <v>2711</v>
      </c>
      <c r="C435" s="487"/>
      <c r="D435" s="1283" t="s">
        <v>2061</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2711</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2711</v>
      </c>
      <c r="C471" s="484"/>
      <c r="D471" s="1283" t="s">
        <v>1198</v>
      </c>
      <c r="E471" s="1283"/>
      <c r="F471" s="1283"/>
      <c r="I471" s="490"/>
    </row>
    <row r="472" spans="1:9">
      <c r="D472" s="1283"/>
      <c r="E472" s="1283"/>
      <c r="F472" s="1283"/>
      <c r="I472" s="490"/>
    </row>
    <row r="473" spans="1:9">
      <c r="D473" s="446"/>
      <c r="E473" s="446"/>
      <c r="F473" s="446"/>
      <c r="I473" s="490"/>
    </row>
    <row r="474" spans="1:9" ht="14.25">
      <c r="B474" s="485" t="s">
        <v>2711</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2711</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2711</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2711</v>
      </c>
      <c r="C486" s="402"/>
      <c r="D486" s="1283"/>
      <c r="E486" s="1283"/>
      <c r="F486" s="1283"/>
      <c r="I486" s="490"/>
    </row>
    <row r="487" spans="1:9">
      <c r="A487" s="402"/>
      <c r="C487" s="402"/>
      <c r="D487" s="1283"/>
      <c r="E487" s="1283"/>
      <c r="F487" s="1283"/>
      <c r="I487" s="490"/>
    </row>
    <row r="488" spans="1:9">
      <c r="A488" s="402"/>
      <c r="B488" s="485" t="s">
        <v>2711</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2711</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2711</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2711</v>
      </c>
      <c r="D504" s="1287" t="s">
        <v>1275</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2711</v>
      </c>
      <c r="D509" s="1284" t="s">
        <v>1144</v>
      </c>
      <c r="E509" s="1284"/>
      <c r="F509" s="1284"/>
      <c r="I509" s="490"/>
    </row>
    <row r="510" spans="1:9" ht="14.25">
      <c r="A510" s="484"/>
      <c r="B510" s="484"/>
      <c r="D510" s="446"/>
      <c r="I510" s="490"/>
    </row>
    <row r="511" spans="1:9" ht="14.25">
      <c r="A511" s="484"/>
      <c r="B511" s="485" t="s">
        <v>2711</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2711</v>
      </c>
      <c r="D514" s="1284" t="s">
        <v>1146</v>
      </c>
      <c r="E514" s="1284"/>
      <c r="F514" s="1284"/>
      <c r="I514" s="490"/>
    </row>
    <row r="515" spans="1:9">
      <c r="D515" s="446"/>
      <c r="E515" s="446"/>
      <c r="F515" s="446"/>
      <c r="I515" s="490"/>
    </row>
    <row r="516" spans="1:9">
      <c r="B516" s="485" t="s">
        <v>2711</v>
      </c>
      <c r="D516" s="1283" t="s">
        <v>2283</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2712</v>
      </c>
      <c r="C527" s="483"/>
      <c r="D527" s="1263" t="s">
        <v>2062</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2711</v>
      </c>
      <c r="D530" s="386" t="s">
        <v>1906</v>
      </c>
      <c r="E530" s="385"/>
      <c r="F530" s="385"/>
      <c r="I530" s="490"/>
    </row>
    <row r="531" spans="1:9">
      <c r="A531" s="483"/>
      <c r="B531" s="483"/>
      <c r="C531" s="483"/>
      <c r="D531" s="385"/>
      <c r="E531" s="96" t="s">
        <v>1907</v>
      </c>
      <c r="I531" s="490"/>
    </row>
    <row r="532" spans="1:9">
      <c r="A532" s="483"/>
      <c r="B532" s="483"/>
      <c r="D532" s="1280" t="s">
        <v>2063</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2711</v>
      </c>
      <c r="C536" s="483"/>
      <c r="D536" s="1283" t="s">
        <v>2064</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2712</v>
      </c>
      <c r="C548" s="487"/>
      <c r="D548" s="1284" t="s">
        <v>885</v>
      </c>
      <c r="E548" s="1284"/>
      <c r="F548" s="1284"/>
      <c r="I548" s="490"/>
    </row>
    <row r="549" spans="1:9" ht="13.7" customHeight="1">
      <c r="A549" s="487"/>
      <c r="B549" s="487"/>
      <c r="C549" s="487"/>
      <c r="D549" s="446"/>
      <c r="I549" s="490"/>
    </row>
    <row r="550" spans="1:9" ht="14.25">
      <c r="A550" s="484"/>
      <c r="B550" s="485" t="s">
        <v>2712</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2712</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2712</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2712</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2711</v>
      </c>
      <c r="C563" s="487"/>
      <c r="D563" s="1283" t="s">
        <v>2250</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2711</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2712</v>
      </c>
      <c r="C569" s="487"/>
      <c r="D569" s="1284" t="s">
        <v>1088</v>
      </c>
      <c r="E569" s="1284"/>
      <c r="F569" s="1284"/>
      <c r="I569" s="490"/>
    </row>
    <row r="570" spans="1:9">
      <c r="A570" s="490"/>
      <c r="B570" s="490"/>
      <c r="C570" s="487"/>
      <c r="D570" s="1284" t="s">
        <v>1909</v>
      </c>
      <c r="E570" s="1284"/>
      <c r="F570" s="1284"/>
      <c r="I570" s="490"/>
    </row>
    <row r="571" spans="1:9">
      <c r="A571" s="490"/>
      <c r="B571" s="490"/>
      <c r="C571" s="487"/>
      <c r="E571" s="96" t="s">
        <v>1908</v>
      </c>
      <c r="F571" s="404"/>
      <c r="I571" s="490"/>
    </row>
    <row r="572" spans="1:9" ht="14.25">
      <c r="A572" s="484"/>
      <c r="B572" s="484"/>
      <c r="C572" s="487"/>
      <c r="E572" s="446"/>
      <c r="F572" s="446"/>
      <c r="I572" s="490"/>
    </row>
    <row r="573" spans="1:9" ht="14.25">
      <c r="A573" s="484"/>
      <c r="B573" s="485" t="s">
        <v>2712</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2712</v>
      </c>
      <c r="C578" s="487"/>
      <c r="D578" s="1283" t="s">
        <v>2065</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2712</v>
      </c>
      <c r="D588" s="1287" t="s">
        <v>889</v>
      </c>
      <c r="E588" s="1287"/>
      <c r="F588" s="1287"/>
      <c r="I588" s="490"/>
    </row>
    <row r="589" spans="1:9">
      <c r="A589" s="490"/>
      <c r="B589" s="490"/>
      <c r="D589" s="476"/>
      <c r="I589" s="490"/>
    </row>
    <row r="590" spans="1:9">
      <c r="A590" s="490"/>
      <c r="B590" s="485" t="s">
        <v>2712</v>
      </c>
      <c r="D590" s="1287" t="s">
        <v>2066</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2711</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2712</v>
      </c>
      <c r="D599" s="1287" t="s">
        <v>2067</v>
      </c>
      <c r="E599" s="1287"/>
      <c r="F599" s="1287"/>
      <c r="I599" s="490"/>
    </row>
    <row r="600" spans="1:9">
      <c r="A600" s="490"/>
      <c r="B600" s="490"/>
      <c r="D600" s="1287"/>
      <c r="E600" s="1287"/>
      <c r="F600" s="1287"/>
      <c r="I600" s="490"/>
    </row>
    <row r="601" spans="1:9">
      <c r="A601" s="490"/>
      <c r="B601" s="490"/>
      <c r="D601" s="499"/>
      <c r="I601" s="490"/>
    </row>
    <row r="602" spans="1:9">
      <c r="A602" s="490"/>
      <c r="B602" s="485" t="s">
        <v>2711</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2712</v>
      </c>
      <c r="D610" s="1312" t="s">
        <v>1910</v>
      </c>
      <c r="E610" s="1312"/>
      <c r="F610" s="1312"/>
      <c r="I610" s="490"/>
    </row>
    <row r="611" spans="1:9">
      <c r="D611" s="1312"/>
      <c r="E611" s="1312"/>
      <c r="F611" s="1312"/>
      <c r="I611" s="490"/>
    </row>
    <row r="612" spans="1:9">
      <c r="D612" s="385"/>
      <c r="E612" s="1036" t="s">
        <v>1911</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2712</v>
      </c>
      <c r="D620" s="1308" t="s">
        <v>1112</v>
      </c>
      <c r="E620" s="1308"/>
      <c r="F620" s="1308"/>
      <c r="I620" s="490"/>
    </row>
    <row r="621" spans="1:9">
      <c r="D621" s="1308"/>
      <c r="E621" s="1308"/>
      <c r="F621" s="1308"/>
      <c r="I621" s="490"/>
    </row>
    <row r="622" spans="1:9">
      <c r="I622" s="490"/>
    </row>
    <row r="623" spans="1:9">
      <c r="B623" s="485" t="s">
        <v>2712</v>
      </c>
      <c r="D623" s="1308" t="s">
        <v>1113</v>
      </c>
      <c r="E623" s="1308"/>
      <c r="F623" s="1308"/>
      <c r="I623" s="490"/>
    </row>
    <row r="624" spans="1:9">
      <c r="C624" s="500"/>
      <c r="D624" s="1308"/>
      <c r="E624" s="1308"/>
      <c r="F624" s="1308"/>
      <c r="I624" s="490"/>
    </row>
    <row r="625" spans="1:9">
      <c r="C625" s="500"/>
      <c r="I625" s="490"/>
    </row>
    <row r="626" spans="1:9">
      <c r="B626" s="485" t="s">
        <v>2711</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2711</v>
      </c>
      <c r="D633" s="1312" t="s">
        <v>2068</v>
      </c>
      <c r="E633" s="1312"/>
      <c r="F633" s="1312"/>
      <c r="I633" s="490"/>
    </row>
    <row r="634" spans="1:9">
      <c r="D634" s="1312"/>
      <c r="E634" s="1312"/>
      <c r="F634" s="1312"/>
      <c r="I634" s="490"/>
    </row>
    <row r="635" spans="1:9">
      <c r="D635" s="385"/>
      <c r="E635" s="1036" t="s">
        <v>1913</v>
      </c>
      <c r="F635" s="385"/>
      <c r="I635" s="490"/>
    </row>
    <row r="636" spans="1:9">
      <c r="D636" s="1283" t="s">
        <v>1912</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2711</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2711</v>
      </c>
      <c r="C643" s="487"/>
      <c r="D643" s="1283" t="s">
        <v>1227</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2711</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2711</v>
      </c>
      <c r="C653" s="487"/>
      <c r="D653" s="1283" t="s">
        <v>1283</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2711</v>
      </c>
      <c r="C658" s="487"/>
      <c r="D658" s="1283" t="s">
        <v>1285</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2711</v>
      </c>
      <c r="C664" s="487"/>
      <c r="D664" s="1283" t="s">
        <v>1284</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2711</v>
      </c>
      <c r="C669" s="487"/>
      <c r="D669" s="1283" t="s">
        <v>2069</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2711</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1915</v>
      </c>
      <c r="F687" s="420"/>
      <c r="H687" s="501"/>
      <c r="I687" s="483"/>
      <c r="J687" s="501"/>
      <c r="K687" s="501"/>
    </row>
    <row r="688" spans="1:11">
      <c r="A688" s="483"/>
      <c r="B688" s="483"/>
      <c r="C688" s="483"/>
      <c r="E688" s="501" t="s">
        <v>1914</v>
      </c>
      <c r="F688" s="420"/>
      <c r="I688" s="483"/>
      <c r="J688" s="501"/>
      <c r="K688" s="501"/>
    </row>
    <row r="689" spans="1:11">
      <c r="A689" s="483"/>
      <c r="B689" s="483"/>
      <c r="C689" s="483"/>
      <c r="D689" s="502"/>
      <c r="E689" s="446"/>
      <c r="H689" s="501"/>
      <c r="I689" s="483"/>
      <c r="J689" s="501"/>
      <c r="K689" s="501"/>
    </row>
    <row r="690" spans="1:11" ht="14.25">
      <c r="A690" s="484"/>
      <c r="B690" s="485" t="s">
        <v>2712</v>
      </c>
      <c r="C690" s="483"/>
      <c r="D690" s="1283" t="s">
        <v>2070</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2711</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1916</v>
      </c>
      <c r="F696" s="404"/>
      <c r="H696" s="501"/>
      <c r="I696" s="483"/>
      <c r="J696" s="501"/>
      <c r="K696" s="501"/>
    </row>
    <row r="697" spans="1:11">
      <c r="A697" s="483"/>
      <c r="B697" s="483"/>
      <c r="C697" s="483"/>
      <c r="D697" s="404"/>
      <c r="H697" s="501"/>
      <c r="I697" s="483"/>
      <c r="J697" s="501"/>
      <c r="K697" s="501"/>
    </row>
    <row r="698" spans="1:11" ht="14.25">
      <c r="A698" s="484"/>
      <c r="B698" s="485" t="s">
        <v>2711</v>
      </c>
      <c r="C698" s="483"/>
      <c r="D698" s="1284" t="s">
        <v>2472</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2473</v>
      </c>
      <c r="F700" s="404"/>
      <c r="H700" s="501"/>
      <c r="I700" s="483"/>
      <c r="J700" s="501"/>
      <c r="K700" s="501"/>
    </row>
    <row r="701" spans="1:11">
      <c r="A701" s="483"/>
      <c r="B701" s="483"/>
      <c r="C701" s="483"/>
      <c r="D701" s="404"/>
      <c r="H701" s="501"/>
      <c r="I701" s="483"/>
      <c r="J701" s="501"/>
      <c r="K701" s="501"/>
    </row>
    <row r="702" spans="1:11" ht="14.25">
      <c r="A702" s="484"/>
      <c r="B702" s="485" t="s">
        <v>2711</v>
      </c>
      <c r="C702" s="483"/>
      <c r="D702" s="1283" t="s">
        <v>2247</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2711</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2711</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2711</v>
      </c>
      <c r="C725" s="483"/>
      <c r="D725" s="1283" t="s">
        <v>2465</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2711</v>
      </c>
      <c r="C729" s="483"/>
      <c r="D729" s="1283" t="s">
        <v>2464</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2711</v>
      </c>
      <c r="C733" s="483"/>
      <c r="D733" s="1283" t="s">
        <v>2463</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2711</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2712</v>
      </c>
      <c r="C744" s="483"/>
      <c r="D744" s="1283" t="s">
        <v>2148</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2077</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2712</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2712</v>
      </c>
      <c r="C765" s="504"/>
      <c r="D765" s="1283" t="s">
        <v>1243</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2712</v>
      </c>
      <c r="C770" s="504"/>
      <c r="D770" s="1308" t="s">
        <v>1244</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2711</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2711</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1803</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1857</v>
      </c>
      <c r="E783" s="1314"/>
      <c r="F783" s="1314"/>
      <c r="G783" s="3"/>
      <c r="I783" s="490"/>
    </row>
    <row r="784" spans="1:11">
      <c r="A784" s="57"/>
      <c r="B784" s="57"/>
      <c r="C784" s="354"/>
      <c r="D784" s="1295" t="s">
        <v>1757</v>
      </c>
      <c r="E784" s="1295"/>
      <c r="F784" s="1295"/>
      <c r="G784" s="3"/>
      <c r="I784" s="490"/>
    </row>
    <row r="785" spans="1:9">
      <c r="A785" s="57"/>
      <c r="B785" s="57"/>
      <c r="C785" s="354"/>
      <c r="D785" s="447"/>
      <c r="E785" s="447"/>
      <c r="F785" s="447"/>
      <c r="G785" s="3"/>
      <c r="I785" s="490"/>
    </row>
    <row r="786" spans="1:9">
      <c r="A786" s="57"/>
      <c r="B786" s="485" t="s">
        <v>2711</v>
      </c>
      <c r="C786" s="354"/>
      <c r="D786" s="1316" t="s">
        <v>1758</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2711</v>
      </c>
      <c r="C790" s="172"/>
      <c r="D790" s="1316" t="s">
        <v>1759</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2711</v>
      </c>
      <c r="C794" s="989"/>
      <c r="D794" s="1316" t="s">
        <v>1760</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2711</v>
      </c>
      <c r="C798" s="989"/>
      <c r="D798" s="1316" t="s">
        <v>1761</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1804</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2711</v>
      </c>
      <c r="C808" s="989"/>
      <c r="D808" s="1316" t="s">
        <v>1762</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2712</v>
      </c>
      <c r="C815" s="989"/>
      <c r="D815" s="1316" t="s">
        <v>1763</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2711</v>
      </c>
      <c r="C822" s="989"/>
      <c r="D822" s="1288" t="s">
        <v>1764</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1765</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1805</v>
      </c>
      <c r="E831" s="1313"/>
      <c r="F831" s="1313"/>
      <c r="G831" s="3"/>
      <c r="I831" s="490"/>
    </row>
    <row r="832" spans="1:9" ht="14.25" customHeight="1">
      <c r="A832" s="175"/>
      <c r="B832" s="175"/>
      <c r="C832" s="354"/>
      <c r="D832" s="1260" t="s">
        <v>1766</v>
      </c>
      <c r="E832" s="1260"/>
      <c r="F832" s="1260"/>
      <c r="G832" s="3"/>
      <c r="I832" s="490"/>
    </row>
    <row r="833" spans="1:9" ht="12.75" customHeight="1">
      <c r="A833" s="175"/>
      <c r="B833" s="175"/>
      <c r="C833" s="354"/>
      <c r="D833" s="441"/>
      <c r="E833" s="441"/>
      <c r="F833" s="441"/>
      <c r="G833" s="3"/>
      <c r="I833" s="490"/>
    </row>
    <row r="834" spans="1:9" ht="12.75" customHeight="1">
      <c r="A834" s="354"/>
      <c r="B834" s="485" t="s">
        <v>2712</v>
      </c>
      <c r="C834" s="989"/>
      <c r="D834" s="1260" t="s">
        <v>1767</v>
      </c>
      <c r="E834" s="1260"/>
      <c r="F834" s="1260"/>
      <c r="G834" s="3"/>
      <c r="I834" s="490" t="s">
        <v>1882</v>
      </c>
    </row>
    <row r="835" spans="1:9" ht="14.25" customHeight="1">
      <c r="A835" s="13"/>
      <c r="B835" s="13"/>
      <c r="C835" s="989"/>
      <c r="E835" s="1036" t="s">
        <v>1898</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2078</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2712</v>
      </c>
      <c r="C848" s="989"/>
      <c r="D848" s="1260" t="s">
        <v>1768</v>
      </c>
      <c r="E848" s="1260"/>
      <c r="F848" s="1260"/>
      <c r="G848" s="3"/>
      <c r="I848" s="490" t="s">
        <v>1885</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2711</v>
      </c>
      <c r="C852" s="989"/>
      <c r="D852" s="1313" t="s">
        <v>1769</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2071</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2712</v>
      </c>
      <c r="C861" s="989"/>
      <c r="D861" s="1260" t="s">
        <v>1770</v>
      </c>
      <c r="E861" s="1260"/>
      <c r="F861" s="1260"/>
      <c r="G861" s="3"/>
      <c r="I861" s="490" t="s">
        <v>1883</v>
      </c>
    </row>
    <row r="862" spans="1:9" ht="12.75" customHeight="1">
      <c r="A862" s="175"/>
      <c r="B862" s="175"/>
      <c r="C862" s="989"/>
      <c r="D862" s="1260" t="s">
        <v>1771</v>
      </c>
      <c r="E862" s="1260"/>
      <c r="F862" s="1260"/>
      <c r="G862" s="3"/>
      <c r="I862" s="490"/>
    </row>
    <row r="863" spans="1:9" ht="12.75" customHeight="1">
      <c r="A863" s="175"/>
      <c r="B863" s="175"/>
      <c r="C863" s="989"/>
      <c r="E863" s="1036" t="s">
        <v>1900</v>
      </c>
      <c r="F863" s="1038"/>
      <c r="G863" s="3"/>
      <c r="I863" s="490"/>
    </row>
    <row r="864" spans="1:9" ht="12.75" customHeight="1">
      <c r="A864" s="175"/>
      <c r="B864" s="175"/>
      <c r="C864" s="989"/>
      <c r="D864" s="118"/>
      <c r="E864" s="3"/>
      <c r="F864" s="3"/>
      <c r="G864" s="3"/>
      <c r="I864" s="490"/>
    </row>
    <row r="865" spans="1:9" ht="12.75" customHeight="1">
      <c r="A865" s="175"/>
      <c r="B865" s="485" t="s">
        <v>2712</v>
      </c>
      <c r="C865" s="989"/>
      <c r="D865" s="1260" t="s">
        <v>1772</v>
      </c>
      <c r="E865" s="1260"/>
      <c r="F865" s="1260"/>
      <c r="G865" s="3"/>
      <c r="I865" s="490" t="s">
        <v>1886</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1773</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1806</v>
      </c>
      <c r="E872" s="1322"/>
      <c r="F872" s="1322"/>
      <c r="G872" s="988"/>
      <c r="I872" s="490"/>
    </row>
    <row r="873" spans="1:9" ht="12.75" customHeight="1">
      <c r="A873" s="354"/>
      <c r="B873" s="354"/>
      <c r="C873" s="174"/>
      <c r="D873" s="1317" t="s">
        <v>1774</v>
      </c>
      <c r="E873" s="1317"/>
      <c r="F873" s="1317"/>
      <c r="G873" s="988"/>
      <c r="I873" s="490"/>
    </row>
    <row r="874" spans="1:9" ht="12.75" customHeight="1">
      <c r="A874" s="354"/>
      <c r="B874" s="354"/>
      <c r="C874" s="174"/>
      <c r="D874" s="995"/>
      <c r="E874" s="995"/>
      <c r="F874" s="995"/>
      <c r="G874" s="988"/>
      <c r="I874" s="490"/>
    </row>
    <row r="875" spans="1:9" ht="12.75" customHeight="1">
      <c r="A875" s="175"/>
      <c r="B875" s="485" t="s">
        <v>2712</v>
      </c>
      <c r="C875" s="354"/>
      <c r="D875" s="1300" t="s">
        <v>1775</v>
      </c>
      <c r="E875" s="1300"/>
      <c r="F875" s="1300"/>
      <c r="G875" s="988"/>
      <c r="I875" s="490" t="s">
        <v>1883</v>
      </c>
    </row>
    <row r="876" spans="1:9" ht="12.75" customHeight="1">
      <c r="A876" s="354"/>
      <c r="B876" s="354"/>
      <c r="C876" s="354"/>
      <c r="D876" s="2" t="s">
        <v>1750</v>
      </c>
      <c r="E876" s="1036" t="s">
        <v>1900</v>
      </c>
      <c r="F876" s="1039"/>
      <c r="G876" s="988"/>
      <c r="I876" s="490"/>
    </row>
    <row r="877" spans="1:9" ht="12.75" customHeight="1">
      <c r="A877" s="354"/>
      <c r="B877" s="354"/>
      <c r="C877" s="354"/>
      <c r="D877" s="118"/>
      <c r="E877" s="988"/>
      <c r="F877" s="988"/>
      <c r="G877" s="988"/>
      <c r="I877" s="490"/>
    </row>
    <row r="878" spans="1:9" ht="12.75" customHeight="1">
      <c r="A878" s="175"/>
      <c r="B878" s="485" t="s">
        <v>2712</v>
      </c>
      <c r="C878" s="354"/>
      <c r="D878" s="1260" t="s">
        <v>1776</v>
      </c>
      <c r="E878" s="1310"/>
      <c r="F878" s="1310"/>
      <c r="G878" s="3"/>
      <c r="I878" s="490" t="s">
        <v>1886</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2711</v>
      </c>
      <c r="C881" s="354"/>
      <c r="D881" s="1311" t="s">
        <v>1777</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2071</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2711</v>
      </c>
      <c r="C890" s="354"/>
      <c r="D890" s="1301" t="s">
        <v>1770</v>
      </c>
      <c r="E890" s="1301"/>
      <c r="F890" s="1301"/>
      <c r="G890" s="988"/>
      <c r="I890" s="490"/>
    </row>
    <row r="891" spans="1:9" ht="12.75" customHeight="1">
      <c r="A891" s="175"/>
      <c r="B891" s="175"/>
      <c r="C891" s="354"/>
      <c r="D891" s="1301" t="s">
        <v>1771</v>
      </c>
      <c r="E891" s="1301"/>
      <c r="F891" s="1301"/>
      <c r="G891" s="988"/>
      <c r="I891" s="490"/>
    </row>
    <row r="892" spans="1:9" ht="12.75" customHeight="1">
      <c r="A892" s="175"/>
      <c r="B892" s="175"/>
      <c r="C892" s="354"/>
      <c r="D892" s="2" t="s">
        <v>1272</v>
      </c>
      <c r="E892" s="1036" t="s">
        <v>1900</v>
      </c>
      <c r="F892" s="1040"/>
      <c r="G892" s="988"/>
      <c r="I892" s="490"/>
    </row>
    <row r="893" spans="1:9" ht="12.75" customHeight="1">
      <c r="A893" s="175"/>
      <c r="B893" s="175"/>
      <c r="C893" s="354"/>
      <c r="D893" s="118"/>
      <c r="E893" s="988"/>
      <c r="F893" s="988"/>
      <c r="G893" s="988"/>
      <c r="I893" s="490"/>
    </row>
    <row r="894" spans="1:9" ht="12.75" customHeight="1">
      <c r="A894" s="175"/>
      <c r="B894" s="485" t="s">
        <v>2711</v>
      </c>
      <c r="C894" s="354"/>
      <c r="D894" s="1260" t="s">
        <v>1772</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1807</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1813</v>
      </c>
      <c r="E901" s="1325"/>
      <c r="F901" s="1325"/>
      <c r="G901" s="57"/>
      <c r="I901" s="490"/>
    </row>
    <row r="902" spans="1:9" ht="12.75" customHeight="1">
      <c r="A902" s="57"/>
      <c r="B902" s="57"/>
      <c r="C902" s="57"/>
      <c r="D902" s="981"/>
      <c r="E902" s="981"/>
      <c r="F902" s="981"/>
      <c r="G902" s="57"/>
      <c r="I902" s="490"/>
    </row>
    <row r="903" spans="1:9" ht="12.75" customHeight="1">
      <c r="A903" s="57"/>
      <c r="B903" s="485" t="s">
        <v>2712</v>
      </c>
      <c r="C903" s="57"/>
      <c r="D903" s="984" t="s">
        <v>1814</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1808</v>
      </c>
      <c r="E905" s="1325"/>
      <c r="F905" s="1325"/>
      <c r="G905" s="988"/>
      <c r="I905" s="490"/>
    </row>
    <row r="906" spans="1:9" ht="12.75" customHeight="1">
      <c r="A906" s="172"/>
      <c r="B906" s="172"/>
      <c r="C906" s="172"/>
      <c r="D906" s="1300" t="s">
        <v>1778</v>
      </c>
      <c r="E906" s="1300"/>
      <c r="F906" s="1300"/>
      <c r="G906" s="988"/>
      <c r="I906" s="490"/>
    </row>
    <row r="907" spans="1:9" ht="12.75" customHeight="1">
      <c r="A907" s="989"/>
      <c r="B907" s="989"/>
      <c r="C907" s="989"/>
      <c r="D907" s="2"/>
      <c r="E907" s="988"/>
      <c r="F907" s="988"/>
      <c r="G907" s="988"/>
      <c r="I907" s="490"/>
    </row>
    <row r="908" spans="1:9" ht="12.75" customHeight="1">
      <c r="A908" s="175"/>
      <c r="B908" s="485" t="s">
        <v>2712</v>
      </c>
      <c r="C908" s="354"/>
      <c r="D908" s="1260" t="s">
        <v>1782</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1781</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2712</v>
      </c>
      <c r="C913" s="174"/>
      <c r="D913" s="1264" t="s">
        <v>1779</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2711</v>
      </c>
      <c r="C922" s="989"/>
      <c r="D922" s="1260" t="s">
        <v>1783</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2711</v>
      </c>
      <c r="C925" s="989"/>
      <c r="D925" s="1288" t="s">
        <v>1784</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2711</v>
      </c>
      <c r="C930" s="989"/>
      <c r="D930" s="1300" t="s">
        <v>2072</v>
      </c>
      <c r="E930" s="1300"/>
      <c r="F930" s="1300"/>
      <c r="G930" s="988"/>
      <c r="I930" s="490"/>
    </row>
    <row r="931" spans="1:9" ht="12.75" customHeight="1">
      <c r="A931" s="989"/>
      <c r="B931" s="989"/>
      <c r="C931" s="989"/>
      <c r="D931" s="118"/>
      <c r="E931" s="988"/>
      <c r="F931" s="988"/>
      <c r="G931" s="988"/>
      <c r="I931" s="490"/>
    </row>
    <row r="932" spans="1:9" ht="12.75" customHeight="1">
      <c r="A932" s="989"/>
      <c r="B932" s="485" t="s">
        <v>2711</v>
      </c>
      <c r="C932" s="989"/>
      <c r="D932" s="1300" t="s">
        <v>2073</v>
      </c>
      <c r="E932" s="1300"/>
      <c r="F932" s="1300"/>
      <c r="G932" s="988"/>
      <c r="I932" s="490"/>
    </row>
    <row r="933" spans="1:9" ht="12.75" customHeight="1">
      <c r="A933" s="174"/>
      <c r="B933" s="174"/>
      <c r="C933" s="174"/>
      <c r="D933" s="2"/>
      <c r="E933" s="3"/>
      <c r="F933" s="988"/>
      <c r="G933" s="988"/>
      <c r="I933" s="490"/>
    </row>
    <row r="934" spans="1:9" ht="12.75" customHeight="1">
      <c r="A934" s="997"/>
      <c r="B934" s="485" t="s">
        <v>2712</v>
      </c>
      <c r="C934" s="998"/>
      <c r="D934" s="1264" t="s">
        <v>1780</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2712</v>
      </c>
      <c r="C944" s="174"/>
      <c r="D944" s="1319" t="s">
        <v>1889</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2711</v>
      </c>
      <c r="C952" s="174"/>
      <c r="D952" s="1263" t="s">
        <v>2140</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2711</v>
      </c>
      <c r="C959" s="989"/>
      <c r="D959" s="1288" t="s">
        <v>1785</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2711</v>
      </c>
      <c r="C964" s="174"/>
      <c r="D964" s="1264" t="s">
        <v>1888</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1786</v>
      </c>
      <c r="E969" s="1322"/>
      <c r="F969" s="1322"/>
      <c r="G969" s="3"/>
      <c r="I969" s="490"/>
    </row>
    <row r="970" spans="1:9" ht="12.75" customHeight="1">
      <c r="A970" s="175"/>
      <c r="B970" s="485" t="s">
        <v>2711</v>
      </c>
      <c r="C970" s="354"/>
      <c r="D970" s="1300" t="s">
        <v>1809</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1787</v>
      </c>
      <c r="E972" s="1322"/>
      <c r="F972" s="1322"/>
      <c r="G972"/>
      <c r="I972" s="490"/>
    </row>
    <row r="973" spans="1:9" ht="12.75" customHeight="1">
      <c r="A973" s="175"/>
      <c r="B973" s="485" t="s">
        <v>2712</v>
      </c>
      <c r="C973" s="354"/>
      <c r="D973" s="1260" t="s">
        <v>2074</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1788</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1810</v>
      </c>
      <c r="E991" s="1322"/>
      <c r="F991" s="1322"/>
      <c r="G991" s="3"/>
      <c r="I991" s="490"/>
    </row>
    <row r="992" spans="1:9" ht="12.75" customHeight="1">
      <c r="A992" s="172"/>
      <c r="B992" s="172"/>
      <c r="C992" s="172"/>
      <c r="D992" s="1300" t="s">
        <v>1789</v>
      </c>
      <c r="E992" s="1300"/>
      <c r="F992" s="1300"/>
      <c r="G992" s="3"/>
      <c r="I992" s="490"/>
    </row>
    <row r="993" spans="1:9" ht="12.75" customHeight="1">
      <c r="A993" s="172"/>
      <c r="B993" s="172"/>
      <c r="C993" s="172"/>
      <c r="D993" s="3"/>
      <c r="E993" s="3"/>
      <c r="F993" s="988"/>
      <c r="G993"/>
      <c r="I993" s="490"/>
    </row>
    <row r="994" spans="1:9" ht="12.75" customHeight="1">
      <c r="A994" s="354"/>
      <c r="B994" s="485" t="s">
        <v>2712</v>
      </c>
      <c r="C994" s="354"/>
      <c r="D994" s="1324" t="s">
        <v>1918</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1919</v>
      </c>
      <c r="F996" s="1038"/>
      <c r="G996"/>
      <c r="I996" s="490"/>
    </row>
    <row r="997" spans="1:9" ht="12.75" customHeight="1">
      <c r="A997" s="354"/>
      <c r="B997" s="354"/>
      <c r="C997" s="354"/>
      <c r="D997" s="1266" t="s">
        <v>1917</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2711</v>
      </c>
      <c r="C1002" s="174"/>
      <c r="D1002" s="1260" t="s">
        <v>1790</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2711</v>
      </c>
      <c r="C1007" s="174"/>
      <c r="D1007" s="1260" t="s">
        <v>2233</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2712</v>
      </c>
      <c r="C1010" s="354"/>
      <c r="D1010" s="1300" t="s">
        <v>1791</v>
      </c>
      <c r="E1010" s="1300"/>
      <c r="F1010" s="1300"/>
      <c r="G1010"/>
      <c r="I1010" s="490"/>
    </row>
    <row r="1011" spans="1:9" ht="12.75" customHeight="1">
      <c r="A1011" s="354"/>
      <c r="B1011" s="354"/>
      <c r="C1011" s="354"/>
      <c r="D1011" s="3"/>
      <c r="E1011" s="3"/>
      <c r="F1011" s="3"/>
      <c r="G1011"/>
      <c r="I1011" s="490"/>
    </row>
    <row r="1012" spans="1:9" ht="12.75" customHeight="1">
      <c r="A1012" s="175"/>
      <c r="B1012" s="485" t="s">
        <v>2711</v>
      </c>
      <c r="C1012" s="354"/>
      <c r="D1012" s="1300" t="s">
        <v>1792</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2712</v>
      </c>
      <c r="C1014" s="354"/>
      <c r="D1014" s="1300" t="s">
        <v>1793</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2711</v>
      </c>
      <c r="C1016" s="354"/>
      <c r="D1016" s="1260" t="s">
        <v>1794</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2711</v>
      </c>
      <c r="C1019" s="1000"/>
      <c r="D1019" s="1316" t="s">
        <v>1795</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2712</v>
      </c>
      <c r="C1022" s="1000"/>
      <c r="D1022" s="1323" t="s">
        <v>1796</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2711</v>
      </c>
      <c r="C1024" s="354"/>
      <c r="D1024" s="1300" t="s">
        <v>1797</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2711</v>
      </c>
      <c r="C1026" s="354"/>
      <c r="D1026" s="1260" t="s">
        <v>1798</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1799</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1800</v>
      </c>
      <c r="E1031" s="1325"/>
      <c r="F1031" s="1325"/>
      <c r="G1031" s="3"/>
      <c r="I1031" s="490"/>
    </row>
    <row r="1032" spans="1:9" ht="12.75" customHeight="1">
      <c r="A1032" s="354"/>
      <c r="B1032" s="354"/>
      <c r="C1032" s="354"/>
      <c r="D1032" s="1323" t="s">
        <v>1801</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1815</v>
      </c>
      <c r="E1034" s="1325"/>
      <c r="F1034" s="1325"/>
      <c r="G1034" s="3"/>
      <c r="I1034" s="490"/>
    </row>
    <row r="1035" spans="1:9" ht="12.75" customHeight="1">
      <c r="A1035" s="354"/>
      <c r="B1035" s="485" t="s">
        <v>2712</v>
      </c>
      <c r="C1035" s="354"/>
      <c r="D1035" s="1323" t="s">
        <v>1273</v>
      </c>
      <c r="E1035" s="1323"/>
      <c r="F1035" s="1323"/>
      <c r="G1035" s="3"/>
      <c r="I1035" s="490"/>
    </row>
    <row r="1036" spans="1:9" ht="12.75" customHeight="1">
      <c r="A1036" s="354"/>
      <c r="B1036" s="175"/>
      <c r="C1036" s="354"/>
      <c r="D1036" s="1323" t="s">
        <v>1802</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1811</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1274</v>
      </c>
      <c r="E1040" s="1330"/>
      <c r="F1040" s="1330"/>
      <c r="G1040" s="3"/>
      <c r="I1040" s="490"/>
    </row>
    <row r="1041" spans="1:9" ht="12.75" hidden="1" customHeight="1">
      <c r="A1041" s="118"/>
      <c r="B1041" s="485" t="s">
        <v>307</v>
      </c>
      <c r="D1041" s="1292" t="s">
        <v>1273</v>
      </c>
      <c r="E1041" s="1292"/>
      <c r="F1041" s="1292"/>
      <c r="G1041" s="3"/>
      <c r="I1041" s="490"/>
    </row>
    <row r="1042" spans="1:9" ht="12.75" hidden="1" customHeight="1">
      <c r="A1042" s="118"/>
      <c r="B1042" s="402"/>
      <c r="D1042" s="1292" t="s">
        <v>1812</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2251</v>
      </c>
      <c r="E1045" s="1301"/>
      <c r="F1045" s="1301"/>
      <c r="G1045" s="98"/>
      <c r="I1045" s="490"/>
    </row>
    <row r="1046" spans="1:9" ht="12.75" customHeight="1">
      <c r="A1046" s="175"/>
      <c r="B1046" s="485" t="s">
        <v>2711</v>
      </c>
      <c r="C1046" s="354"/>
      <c r="D1046" s="1301" t="s">
        <v>986</v>
      </c>
      <c r="E1046" s="1301"/>
      <c r="F1046" s="1301"/>
      <c r="G1046" s="3"/>
      <c r="I1046" s="490"/>
    </row>
    <row r="1047" spans="1:9" ht="12.75" customHeight="1">
      <c r="A1047" s="354"/>
      <c r="B1047" s="354"/>
      <c r="C1047" s="354"/>
      <c r="D1047" s="1036" t="s">
        <v>1920</v>
      </c>
      <c r="E1047" s="96"/>
      <c r="F1047" s="96"/>
      <c r="G1047" s="3"/>
      <c r="I1047" s="490"/>
    </row>
    <row r="1048" spans="1:9">
      <c r="A1048" s="402"/>
      <c r="B1048" s="402"/>
      <c r="C1048" s="402"/>
      <c r="I1048" s="490"/>
    </row>
    <row r="1049" spans="1:9">
      <c r="A1049" s="1309" t="s">
        <v>1832</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1818</v>
      </c>
      <c r="I1051" s="490"/>
    </row>
    <row r="1052" spans="1:9">
      <c r="A1052" s="402"/>
      <c r="B1052" s="402"/>
      <c r="C1052" s="402"/>
      <c r="D1052" s="402" t="s">
        <v>1817</v>
      </c>
      <c r="I1052" s="490"/>
    </row>
    <row r="1053" spans="1:9">
      <c r="A1053" s="402"/>
      <c r="B1053" s="402"/>
      <c r="C1053" s="402"/>
      <c r="D1053" s="404"/>
      <c r="I1053" s="490"/>
    </row>
    <row r="1054" spans="1:9">
      <c r="A1054" s="402"/>
      <c r="B1054" s="485" t="s">
        <v>2711</v>
      </c>
      <c r="C1054" s="402"/>
      <c r="D1054" s="1327" t="s">
        <v>1816</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1315</v>
      </c>
      <c r="I1059" s="490"/>
    </row>
    <row r="1060" spans="1:9">
      <c r="A1060" s="402"/>
      <c r="B1060" s="402"/>
      <c r="C1060" s="402"/>
      <c r="D1060" s="402" t="s">
        <v>1819</v>
      </c>
      <c r="I1060" s="490"/>
    </row>
    <row r="1061" spans="1:9">
      <c r="A1061" s="402"/>
      <c r="B1061" s="402"/>
      <c r="C1061" s="402"/>
      <c r="I1061" s="490"/>
    </row>
    <row r="1062" spans="1:9">
      <c r="A1062" s="402"/>
      <c r="B1062" s="485" t="s">
        <v>2711</v>
      </c>
      <c r="C1062" s="402"/>
      <c r="D1062" s="402" t="s">
        <v>1814</v>
      </c>
      <c r="I1062" s="490"/>
    </row>
    <row r="1063" spans="1:9">
      <c r="A1063" s="402"/>
      <c r="B1063" s="402"/>
      <c r="C1063" s="402"/>
      <c r="I1063" s="490"/>
    </row>
    <row r="1064" spans="1:9">
      <c r="A1064" s="402"/>
      <c r="B1064" s="485" t="s">
        <v>2711</v>
      </c>
      <c r="C1064" s="402"/>
      <c r="D1064" s="1327" t="s">
        <v>1820</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1821</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2712</v>
      </c>
      <c r="C1073" s="402"/>
      <c r="D1073" s="527" t="s">
        <v>1824</v>
      </c>
      <c r="I1073" s="490"/>
    </row>
    <row r="1074" spans="1:9">
      <c r="A1074" s="402"/>
      <c r="B1074" s="402"/>
      <c r="C1074" s="402"/>
      <c r="D1074" s="527" t="s">
        <v>1826</v>
      </c>
      <c r="I1074" s="490"/>
    </row>
    <row r="1075" spans="1:9">
      <c r="A1075" s="402"/>
      <c r="B1075" s="402"/>
      <c r="C1075" s="402"/>
      <c r="D1075" s="527"/>
      <c r="I1075" s="490"/>
    </row>
    <row r="1076" spans="1:9">
      <c r="A1076" s="402"/>
      <c r="B1076" s="485" t="s">
        <v>2711</v>
      </c>
      <c r="C1076" s="402"/>
      <c r="D1076" s="527" t="s">
        <v>1827</v>
      </c>
      <c r="I1076" s="490"/>
    </row>
    <row r="1077" spans="1:9">
      <c r="A1077" s="402"/>
      <c r="B1077" s="402"/>
      <c r="C1077" s="402"/>
      <c r="D1077" s="527" t="s">
        <v>1825</v>
      </c>
      <c r="I1077" s="490"/>
    </row>
    <row r="1078" spans="1:9">
      <c r="A1078" s="402"/>
      <c r="B1078" s="402"/>
      <c r="C1078" s="402"/>
      <c r="D1078" s="527"/>
      <c r="I1078" s="490"/>
    </row>
    <row r="1079" spans="1:9">
      <c r="A1079" s="402"/>
      <c r="B1079" s="485" t="s">
        <v>2711</v>
      </c>
      <c r="C1079" s="402"/>
      <c r="D1079" s="119" t="s">
        <v>1830</v>
      </c>
      <c r="I1079" s="490"/>
    </row>
    <row r="1080" spans="1:9">
      <c r="A1080" s="402"/>
      <c r="B1080" s="402"/>
      <c r="C1080" s="402"/>
      <c r="D1080" s="1260" t="s">
        <v>1831</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1829</v>
      </c>
      <c r="I1084" s="490"/>
    </row>
    <row r="1085" spans="1:9">
      <c r="A1085" s="402"/>
      <c r="B1085" s="402"/>
      <c r="C1085" s="402"/>
      <c r="D1085" s="119"/>
      <c r="I1085" s="490"/>
    </row>
    <row r="1086" spans="1:9">
      <c r="A1086" s="402"/>
      <c r="B1086" s="402"/>
      <c r="C1086" s="402"/>
      <c r="D1086" s="527" t="s">
        <v>1822</v>
      </c>
      <c r="I1086" s="490"/>
    </row>
    <row r="1087" spans="1:9">
      <c r="A1087" s="402"/>
      <c r="B1087" s="485" t="s">
        <v>2711</v>
      </c>
      <c r="C1087" s="402"/>
      <c r="D1087" s="1326" t="s">
        <v>1823</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1828</v>
      </c>
      <c r="I1092" s="490"/>
    </row>
    <row r="1093" spans="1:9">
      <c r="A1093" s="402"/>
      <c r="B1093" s="402"/>
      <c r="C1093" s="402"/>
      <c r="I1093" s="490"/>
    </row>
    <row r="1094" spans="1:9">
      <c r="A1094" s="402"/>
      <c r="B1094" s="485" t="s">
        <v>2711</v>
      </c>
      <c r="C1094" s="402"/>
      <c r="D1094" s="1276" t="s">
        <v>2284</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1833</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2711</v>
      </c>
      <c r="C1101" s="402"/>
      <c r="D1101" s="1328" t="s">
        <v>1932</v>
      </c>
      <c r="E1101" s="1328"/>
      <c r="F1101" s="1328"/>
      <c r="I1101" s="490"/>
    </row>
    <row r="1102" spans="1:9">
      <c r="A1102" s="402"/>
      <c r="B1102" s="402"/>
      <c r="C1102" s="402"/>
      <c r="D1102" s="1328"/>
      <c r="E1102" s="1328"/>
      <c r="F1102" s="1328"/>
      <c r="I1102" s="490"/>
    </row>
    <row r="1103" spans="1:9">
      <c r="A1103" s="402"/>
      <c r="B1103" s="402"/>
      <c r="C1103" s="402"/>
      <c r="D1103" s="1329" t="s">
        <v>2146</v>
      </c>
      <c r="E1103" s="1260"/>
      <c r="F1103" s="1260"/>
      <c r="I1103" s="490"/>
    </row>
    <row r="1104" spans="1:9">
      <c r="A1104" s="402"/>
      <c r="B1104" s="402"/>
      <c r="C1104" s="402"/>
      <c r="D1104" s="527"/>
      <c r="I1104" s="490"/>
    </row>
    <row r="1105" spans="1:9">
      <c r="A1105" s="402"/>
      <c r="B1105" s="485" t="s">
        <v>2711</v>
      </c>
      <c r="C1105" s="402"/>
      <c r="D1105" s="1326" t="s">
        <v>1834</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2711</v>
      </c>
      <c r="C1108" s="402"/>
      <c r="D1108" s="1326" t="s">
        <v>1890</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2711</v>
      </c>
      <c r="C1115" s="402"/>
      <c r="D1115" s="1326" t="s">
        <v>1835</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2711</v>
      </c>
      <c r="C1119" s="402"/>
      <c r="D1119" s="1266" t="s">
        <v>1891</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2711</v>
      </c>
      <c r="C1123" s="402"/>
      <c r="D1123" s="1260" t="s">
        <v>1892</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GC2017"/>
  <sheetViews>
    <sheetView showGridLines="0" tabSelected="1" topLeftCell="A109" workbookViewId="0">
      <selection activeCell="AB130" sqref="AB13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2500</v>
      </c>
      <c r="BE1" s="3"/>
      <c r="BF1" s="3"/>
    </row>
    <row r="2" spans="1:58" ht="12.95" customHeight="1">
      <c r="BD2" s="3" t="s">
        <v>2501</v>
      </c>
      <c r="BE2" s="3" t="s">
        <v>2502</v>
      </c>
      <c r="BF2" s="3" t="s">
        <v>2503</v>
      </c>
    </row>
    <row r="3" spans="1:58" ht="12.95" customHeight="1">
      <c r="BD3" s="3" t="s">
        <v>2598</v>
      </c>
      <c r="BE3" t="str">
        <f>AC220</f>
        <v>Northern (Butte, El Dorado, Placer, Sacramento, San Joaquin, Shasta, Solano, Sutter, Yuba, and Yolo Counties)</v>
      </c>
    </row>
    <row r="4" spans="1:58" ht="12.95" customHeight="1">
      <c r="BD4" s="3" t="s">
        <v>2510</v>
      </c>
      <c r="BE4" s="1246"/>
    </row>
    <row r="5" spans="1:58" ht="12.95" customHeight="1">
      <c r="BD5" s="3" t="s">
        <v>2511</v>
      </c>
      <c r="BE5">
        <f>SUMIF($AC$718:$AC$752,"&lt;=20%",$G$718:G$752)</f>
        <v>0</v>
      </c>
      <c r="BF5" s="3" t="s">
        <v>2516</v>
      </c>
    </row>
    <row r="6" spans="1:58" ht="12.95" customHeight="1">
      <c r="BD6" s="3" t="s">
        <v>2512</v>
      </c>
      <c r="BE6" s="1249">
        <f>SUMIF($AC$718:$AC$752,"&lt;=25%",$G$718:G$752)-SUM($BE$5:BE5)</f>
        <v>0</v>
      </c>
    </row>
    <row r="7" spans="1:58" ht="12.95" customHeight="1">
      <c r="BD7" s="1247" t="s">
        <v>2504</v>
      </c>
      <c r="BE7" s="1249">
        <f>SUMIF($AC$718:$AC$752,"&lt;=30%",$G$718:G$752)-SUM($BE$5:BE6)</f>
        <v>21</v>
      </c>
    </row>
    <row r="8" spans="1:58" ht="26.25" customHeight="1">
      <c r="A8" s="1835" t="s">
        <v>100</v>
      </c>
      <c r="B8" s="1835"/>
      <c r="C8" s="1835"/>
      <c r="D8" s="1835"/>
      <c r="E8" s="1835"/>
      <c r="F8" s="1835"/>
      <c r="G8" s="1835"/>
      <c r="H8" s="1835"/>
      <c r="I8" s="1835"/>
      <c r="J8" s="1835"/>
      <c r="K8" s="1835"/>
      <c r="L8" s="1835"/>
      <c r="M8" s="1835"/>
      <c r="N8" s="1835"/>
      <c r="O8" s="1835"/>
      <c r="P8" s="1835"/>
      <c r="Q8" s="1835"/>
      <c r="R8" s="1835"/>
      <c r="S8" s="1835"/>
      <c r="T8" s="1835"/>
      <c r="U8" s="1835"/>
      <c r="V8" s="1835"/>
      <c r="W8" s="1835"/>
      <c r="X8" s="1835"/>
      <c r="Y8" s="1835"/>
      <c r="Z8" s="1835"/>
      <c r="AA8" s="1835"/>
      <c r="AB8" s="1835"/>
      <c r="AC8" s="1835"/>
      <c r="AD8" s="1835"/>
      <c r="AE8" s="1835"/>
      <c r="AF8" s="1835"/>
      <c r="AG8" s="1835"/>
      <c r="AH8" s="1835"/>
      <c r="AI8" s="1835"/>
      <c r="AJ8" s="1835"/>
      <c r="AK8" s="1835"/>
      <c r="AL8" s="1835"/>
      <c r="AM8" s="1835"/>
      <c r="AN8" s="1835"/>
      <c r="AO8" s="1835"/>
      <c r="AP8" s="1835"/>
      <c r="AQ8" s="1835"/>
      <c r="AR8" s="1835"/>
      <c r="AS8" s="1835"/>
      <c r="AT8" s="1835"/>
      <c r="AU8" s="898"/>
      <c r="AV8" s="898"/>
      <c r="AW8" s="898"/>
      <c r="AX8" s="898"/>
      <c r="AY8" s="898"/>
      <c r="BD8" s="3" t="s">
        <v>2513</v>
      </c>
      <c r="BE8" s="1249">
        <f>SUMIF($AC$718:$AC$752,"&lt;=35%",$G$718:G$752)-SUM($BE$5:BE7)</f>
        <v>0</v>
      </c>
    </row>
    <row r="9" spans="1:58" ht="12.95" customHeight="1">
      <c r="A9" s="1836" t="s">
        <v>2079</v>
      </c>
      <c r="B9" s="1836"/>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c r="AF9" s="1836"/>
      <c r="AG9" s="1836"/>
      <c r="AH9" s="1836"/>
      <c r="AI9" s="1836"/>
      <c r="AJ9" s="1836"/>
      <c r="AK9" s="1836"/>
      <c r="AL9" s="1836"/>
      <c r="AM9" s="1836"/>
      <c r="AN9" s="1836"/>
      <c r="AO9" s="1836"/>
      <c r="AP9" s="1836"/>
      <c r="AQ9" s="1836"/>
      <c r="AR9" s="1836"/>
      <c r="AS9" s="1836"/>
      <c r="AT9" s="1836"/>
      <c r="AU9" s="13"/>
      <c r="AV9" s="13"/>
      <c r="AW9" s="13"/>
      <c r="AX9" s="13"/>
      <c r="AY9" s="13"/>
      <c r="BD9" s="1248" t="s">
        <v>2505</v>
      </c>
      <c r="BE9" s="1249">
        <f>SUMIF($AC$718:$AC$752,"&lt;=40%",$G$718:G$752)-SUM($BE$5:BE8)</f>
        <v>0</v>
      </c>
    </row>
    <row r="10" spans="1:58" ht="12.95" customHeight="1">
      <c r="A10" s="1836" t="s">
        <v>2462</v>
      </c>
      <c r="B10" s="1836"/>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c r="AF10" s="1836"/>
      <c r="AG10" s="1836"/>
      <c r="AH10" s="1836"/>
      <c r="AI10" s="1836"/>
      <c r="AJ10" s="1836"/>
      <c r="AK10" s="1836"/>
      <c r="AL10" s="1836"/>
      <c r="AM10" s="1836"/>
      <c r="AN10" s="1836"/>
      <c r="AO10" s="1836"/>
      <c r="AP10" s="1836"/>
      <c r="AQ10" s="1836"/>
      <c r="AR10" s="1836"/>
      <c r="AS10" s="1836"/>
      <c r="AT10" s="1836"/>
      <c r="AU10" s="13"/>
      <c r="AV10" s="13"/>
      <c r="AW10" s="13"/>
      <c r="AX10" s="13"/>
      <c r="AY10" s="13"/>
      <c r="BD10" s="3" t="s">
        <v>2514</v>
      </c>
      <c r="BE10" s="1249">
        <f>SUMIF($AC$718:$AC$752,"&lt;=45%",$G$718:G$752)-SUM($BE$5:BE9)</f>
        <v>0</v>
      </c>
    </row>
    <row r="11" spans="1:58" ht="12.95" customHeight="1">
      <c r="A11" s="1836" t="s">
        <v>2608</v>
      </c>
      <c r="B11" s="1836"/>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c r="AF11" s="1836"/>
      <c r="AG11" s="1836"/>
      <c r="AH11" s="1836"/>
      <c r="AI11" s="1836"/>
      <c r="AJ11" s="1836"/>
      <c r="AK11" s="1836"/>
      <c r="AL11" s="1836"/>
      <c r="AM11" s="1836"/>
      <c r="AN11" s="1836"/>
      <c r="AO11" s="1836"/>
      <c r="AP11" s="1836"/>
      <c r="AQ11" s="1836"/>
      <c r="AR11" s="1836"/>
      <c r="AS11" s="1836"/>
      <c r="AT11" s="1836"/>
      <c r="AU11" s="13"/>
      <c r="AV11" s="13"/>
      <c r="AW11" s="13"/>
      <c r="AX11" s="13"/>
      <c r="AY11" s="13"/>
      <c r="BD11" s="1247" t="s">
        <v>2506</v>
      </c>
      <c r="BE11" s="1249">
        <f>SUMIF($AC$718:$AC$752,"&lt;=50%",$G$718:G$752)-SUM($BE$5:BE10)</f>
        <v>21</v>
      </c>
    </row>
    <row r="12" spans="1:58" ht="12.95" customHeight="1">
      <c r="A12" s="1837" t="s">
        <v>2613</v>
      </c>
      <c r="B12" s="1837"/>
      <c r="C12" s="1837"/>
      <c r="D12" s="1837"/>
      <c r="E12" s="1837"/>
      <c r="F12" s="1837"/>
      <c r="G12" s="1837"/>
      <c r="H12" s="1837"/>
      <c r="I12" s="1837"/>
      <c r="J12" s="1837"/>
      <c r="K12" s="1837"/>
      <c r="L12" s="1837"/>
      <c r="M12" s="1837"/>
      <c r="N12" s="1837"/>
      <c r="O12" s="1837"/>
      <c r="P12" s="1837"/>
      <c r="Q12" s="1837"/>
      <c r="R12" s="1837"/>
      <c r="S12" s="1837"/>
      <c r="T12" s="1837"/>
      <c r="U12" s="1837"/>
      <c r="V12" s="1837"/>
      <c r="W12" s="1837"/>
      <c r="X12" s="1837"/>
      <c r="Y12" s="1837"/>
      <c r="Z12" s="1837"/>
      <c r="AA12" s="1837"/>
      <c r="AB12" s="1837"/>
      <c r="AC12" s="1837"/>
      <c r="AD12" s="1837"/>
      <c r="AE12" s="1837"/>
      <c r="AF12" s="1837"/>
      <c r="AG12" s="1837"/>
      <c r="AH12" s="1837"/>
      <c r="AI12" s="1837"/>
      <c r="AJ12" s="1837"/>
      <c r="AK12" s="1837"/>
      <c r="AL12" s="1837"/>
      <c r="AM12" s="1837"/>
      <c r="AN12" s="1837"/>
      <c r="AO12" s="1837"/>
      <c r="AP12" s="1837"/>
      <c r="AQ12" s="1837"/>
      <c r="AR12" s="1837"/>
      <c r="AS12" s="1837"/>
      <c r="AT12" s="1837"/>
      <c r="AU12" s="6"/>
      <c r="AV12" s="6"/>
      <c r="AW12" s="6"/>
      <c r="AX12" s="6"/>
      <c r="AY12" s="6"/>
      <c r="BD12" s="3" t="s">
        <v>2515</v>
      </c>
      <c r="BE12" s="1249">
        <f>SUMIF($AC$718:$AC$752,"&lt;=55%",$G$718:G$752)-SUM($BE$5:BE11)</f>
        <v>0</v>
      </c>
    </row>
    <row r="13" spans="1:58" ht="12.95" customHeight="1">
      <c r="A13" s="1270" t="s">
        <v>2080</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2507</v>
      </c>
      <c r="BE13" s="1249">
        <f>SUMIF($AC$718:$AC$752,"&lt;=60%",$G$718:G$752)-SUM($BE$5:BE12)</f>
        <v>80</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2508</v>
      </c>
      <c r="BE14" s="1249">
        <f>SUMIF($AC$718:$AC$752,"&lt;=70%",$G$718:G$752)-SUM($BE$5:BE13)</f>
        <v>77</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2509</v>
      </c>
      <c r="BE15" s="1249">
        <f>SUMIF($AC$718:$AC$752,"&lt;=80%",$G$718:G$752)-SUM($BE$5:BE14)</f>
        <v>0</v>
      </c>
    </row>
    <row r="16" spans="1:58" ht="12.95" customHeight="1">
      <c r="A16" s="57" t="s">
        <v>2081</v>
      </c>
      <c r="C16" s="4"/>
      <c r="D16" s="4"/>
      <c r="E16" s="4"/>
      <c r="F16" s="4"/>
      <c r="G16" s="4"/>
      <c r="H16" s="1540" t="s">
        <v>2631</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c r="BD16" s="1248" t="s">
        <v>657</v>
      </c>
      <c r="BE16" s="1249" t="str">
        <f>Application!H18</f>
        <v>Westpark Family Affordable Apartments</v>
      </c>
    </row>
    <row r="17" spans="1:58" ht="12.95" customHeight="1">
      <c r="BD17" s="1247" t="s">
        <v>2522</v>
      </c>
      <c r="BE17" s="1249">
        <f>Application!AA934</f>
        <v>0</v>
      </c>
    </row>
    <row r="18" spans="1:58" ht="12.95" customHeight="1">
      <c r="A18" s="57" t="s">
        <v>101</v>
      </c>
      <c r="C18" s="4"/>
      <c r="D18" s="4"/>
      <c r="E18" s="4"/>
      <c r="F18" s="4"/>
      <c r="G18" s="4"/>
      <c r="H18" s="1522" t="s">
        <v>2614</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2523</v>
      </c>
      <c r="BE18" s="1249">
        <f>'CalHFA Addendum'!N11</f>
        <v>0</v>
      </c>
    </row>
    <row r="19" spans="1:58" ht="12.95" customHeight="1">
      <c r="BD19" s="1247" t="s">
        <v>2524</v>
      </c>
      <c r="BE19" s="1249">
        <f>Application!M26</f>
        <v>3643101</v>
      </c>
    </row>
    <row r="20" spans="1:58" ht="12.95" customHeight="1">
      <c r="A20" s="1838" t="s">
        <v>874</v>
      </c>
      <c r="B20" s="1838"/>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8"/>
      <c r="AP20" s="1838"/>
      <c r="AQ20" s="1838"/>
      <c r="AR20" s="1838"/>
      <c r="AS20" s="1838"/>
      <c r="AT20" s="1838"/>
      <c r="AU20" s="900"/>
      <c r="AV20" s="900"/>
      <c r="AW20" s="900"/>
      <c r="AX20" s="900"/>
      <c r="AY20" s="900"/>
      <c r="BD20" s="1248" t="s">
        <v>2525</v>
      </c>
      <c r="BE20" s="1249">
        <f>Application!M27</f>
        <v>0</v>
      </c>
    </row>
    <row r="21" spans="1:58" ht="12.95" customHeight="1">
      <c r="A21" s="1841" t="s">
        <v>1010</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2526</v>
      </c>
      <c r="BE21" s="1249">
        <f>Application!AM554</f>
        <v>36120000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73080751</v>
      </c>
      <c r="BF22" s="3" t="s">
        <v>2599</v>
      </c>
    </row>
    <row r="23" spans="1:58" ht="12.95" customHeight="1">
      <c r="A23" s="1328" t="s">
        <v>2149</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2527</v>
      </c>
      <c r="BE23" s="1249">
        <f>'Sources and Uses Budget'!B4</f>
        <v>2350000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2528</v>
      </c>
      <c r="BE24" s="1249">
        <f>Application!AG450</f>
        <v>173657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2529</v>
      </c>
      <c r="BE25" s="1249" t="str">
        <f>Application!D208</f>
        <v>40%/60% Average Income</v>
      </c>
    </row>
    <row r="26" spans="1:58" ht="12.95" customHeight="1">
      <c r="A26" s="4"/>
      <c r="C26" s="4"/>
      <c r="D26" s="4"/>
      <c r="E26" s="4"/>
      <c r="F26" s="4"/>
      <c r="G26" s="4"/>
      <c r="H26" s="4"/>
      <c r="I26" s="4"/>
      <c r="J26" s="4"/>
      <c r="K26" s="4"/>
      <c r="L26" s="4"/>
      <c r="M26" s="1840">
        <f>'Basis &amp; Credits'!AB56</f>
        <v>3643101</v>
      </c>
      <c r="N26" s="1840"/>
      <c r="O26" s="1840"/>
      <c r="P26" s="1840"/>
      <c r="Q26" s="1840"/>
      <c r="R26" s="4" t="s">
        <v>760</v>
      </c>
      <c r="S26" s="4"/>
      <c r="T26" s="4"/>
      <c r="U26" s="4"/>
      <c r="V26" s="4"/>
      <c r="W26" s="4"/>
      <c r="X26" s="4"/>
      <c r="Y26" s="4"/>
      <c r="Z26" s="4"/>
      <c r="AF26" s="4"/>
      <c r="AG26" s="4"/>
      <c r="AH26" s="4"/>
      <c r="AI26" s="4"/>
      <c r="AJ26" s="4"/>
      <c r="AK26" s="4"/>
      <c r="BD26" s="1248" t="s">
        <v>1641</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1269</v>
      </c>
      <c r="S27" s="4"/>
      <c r="T27" s="4"/>
      <c r="U27" s="4"/>
      <c r="V27" s="4"/>
      <c r="W27" s="4"/>
      <c r="X27" s="4"/>
      <c r="Y27" s="4"/>
      <c r="Z27" s="4"/>
      <c r="AF27" s="4"/>
      <c r="AG27" s="4"/>
      <c r="AH27" s="4"/>
      <c r="AI27" s="4"/>
      <c r="AJ27" s="4"/>
      <c r="AK27" s="4"/>
      <c r="BD27" s="1247" t="s">
        <v>2101</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2530</v>
      </c>
      <c r="BE28" s="1249" t="b">
        <f>Application!M357="Yes"</f>
        <v>0</v>
      </c>
    </row>
    <row r="29" spans="1:58" ht="12.95" customHeight="1">
      <c r="A29" s="1534" t="s">
        <v>2150</v>
      </c>
      <c r="B29" s="1534"/>
      <c r="C29" s="1534"/>
      <c r="D29" s="1534"/>
      <c r="E29" s="1534"/>
      <c r="F29" s="1534"/>
      <c r="G29" s="1534"/>
      <c r="H29" s="1534"/>
      <c r="I29" s="1534"/>
      <c r="J29" s="1534"/>
      <c r="K29" s="1534"/>
      <c r="L29" s="1534"/>
      <c r="M29" s="1534"/>
      <c r="N29" s="1534"/>
      <c r="O29" s="1534"/>
      <c r="P29" s="1534"/>
      <c r="Q29" s="1534"/>
      <c r="R29" s="1534"/>
      <c r="S29" s="1534"/>
      <c r="T29" s="1534"/>
      <c r="U29" s="1534"/>
      <c r="V29" s="1534"/>
      <c r="W29" s="1534"/>
      <c r="X29" s="1534"/>
      <c r="Y29" s="1534"/>
      <c r="Z29" s="1534"/>
      <c r="AA29" s="1534"/>
      <c r="AB29" s="1534"/>
      <c r="AC29" s="1534"/>
      <c r="AD29" s="1534"/>
      <c r="AE29" s="1534"/>
      <c r="AF29" s="1534"/>
      <c r="AG29" s="1534"/>
      <c r="AH29" s="1534"/>
      <c r="AI29" s="1534"/>
      <c r="AJ29" s="1534"/>
      <c r="AK29" s="1534"/>
      <c r="AL29" s="1534"/>
      <c r="AM29" s="1534"/>
      <c r="AN29" s="1534"/>
      <c r="AO29" s="1534"/>
      <c r="AP29" s="1534"/>
      <c r="AQ29" s="1534"/>
      <c r="AR29" s="1534"/>
      <c r="AS29" s="1534"/>
      <c r="AT29" s="1534"/>
      <c r="BD29" s="1247" t="s">
        <v>2531</v>
      </c>
      <c r="BE29" s="1249" t="b">
        <f>Application!M358="Yes"</f>
        <v>0</v>
      </c>
    </row>
    <row r="30" spans="1:58" ht="12.95" customHeight="1">
      <c r="A30" s="1534"/>
      <c r="B30" s="1534"/>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c r="AN30" s="1534"/>
      <c r="AO30" s="1534"/>
      <c r="AP30" s="1534"/>
      <c r="AQ30" s="1534"/>
      <c r="AR30" s="1534"/>
      <c r="AS30" s="1534"/>
      <c r="AT30" s="1534"/>
      <c r="AZ30" s="20"/>
      <c r="BD30" s="1248" t="s">
        <v>28</v>
      </c>
      <c r="BE30" s="1249" t="b">
        <f>Application!AJ355="Yes"</f>
        <v>0</v>
      </c>
    </row>
    <row r="31" spans="1:58" ht="12.95" customHeight="1">
      <c r="A31" s="1534"/>
      <c r="B31" s="1534"/>
      <c r="C31" s="1534"/>
      <c r="D31" s="1534"/>
      <c r="E31" s="1534"/>
      <c r="F31" s="1534"/>
      <c r="G31" s="1534"/>
      <c r="H31" s="1534"/>
      <c r="I31" s="1534"/>
      <c r="J31" s="1534"/>
      <c r="K31" s="1534"/>
      <c r="L31" s="1534"/>
      <c r="M31" s="1534"/>
      <c r="N31" s="1534"/>
      <c r="O31" s="1534"/>
      <c r="P31" s="1534"/>
      <c r="Q31" s="1534"/>
      <c r="R31" s="1534"/>
      <c r="S31" s="1534"/>
      <c r="T31" s="1534"/>
      <c r="U31" s="1534"/>
      <c r="V31" s="1534"/>
      <c r="W31" s="1534"/>
      <c r="X31" s="1534"/>
      <c r="Y31" s="1534"/>
      <c r="Z31" s="1534"/>
      <c r="AA31" s="1534"/>
      <c r="AB31" s="1534"/>
      <c r="AC31" s="1534"/>
      <c r="AD31" s="1534"/>
      <c r="AE31" s="1534"/>
      <c r="AF31" s="1534"/>
      <c r="AG31" s="1534"/>
      <c r="AH31" s="1534"/>
      <c r="AI31" s="1534"/>
      <c r="AJ31" s="1534"/>
      <c r="AK31" s="1534"/>
      <c r="AL31" s="1534"/>
      <c r="AM31" s="1534"/>
      <c r="AN31" s="1534"/>
      <c r="AO31" s="1534"/>
      <c r="AP31" s="1534"/>
      <c r="AQ31" s="1534"/>
      <c r="AR31" s="1534"/>
      <c r="AS31" s="1534"/>
      <c r="AT31" s="1534"/>
      <c r="AU31" s="20"/>
      <c r="AV31" s="20"/>
      <c r="AW31" s="20"/>
      <c r="AX31" s="20"/>
      <c r="AY31" s="20"/>
      <c r="AZ31" s="20"/>
      <c r="BD31" s="1247" t="s">
        <v>2532</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2533</v>
      </c>
      <c r="BE32" s="1249">
        <f>IF(ISNUMBER(Application!W465),W465,0)</f>
        <v>0</v>
      </c>
    </row>
    <row r="33" spans="1:57" ht="12.95" customHeight="1">
      <c r="A33" s="519" t="s">
        <v>1280</v>
      </c>
      <c r="C33" s="519"/>
      <c r="D33" s="519"/>
      <c r="E33" s="519"/>
      <c r="F33" s="519"/>
      <c r="G33" s="519"/>
      <c r="H33" s="519"/>
      <c r="I33" s="519"/>
      <c r="J33" s="519"/>
      <c r="K33" s="519"/>
      <c r="L33" s="519"/>
      <c r="M33" s="519"/>
      <c r="N33" s="519"/>
      <c r="O33" s="1415" t="s">
        <v>670</v>
      </c>
      <c r="P33" s="1415"/>
      <c r="Q33" s="1839" t="s">
        <v>2151</v>
      </c>
      <c r="R33" s="1839"/>
      <c r="S33" s="1839"/>
      <c r="T33" s="1839"/>
      <c r="U33" s="1839"/>
      <c r="V33" s="1839"/>
      <c r="W33" s="1839"/>
      <c r="X33" s="1839"/>
      <c r="Y33" s="1839"/>
      <c r="Z33" s="1839"/>
      <c r="AA33" s="1839"/>
      <c r="AB33" s="1839"/>
      <c r="AC33" s="1839"/>
      <c r="AD33" s="1839"/>
      <c r="AE33" s="1839"/>
      <c r="AF33" s="1839"/>
      <c r="AG33" s="1839"/>
      <c r="AH33" s="1839"/>
      <c r="AI33" s="1839"/>
      <c r="AJ33" s="1839"/>
      <c r="AK33" s="1839"/>
      <c r="AL33" s="1839"/>
      <c r="AM33" s="1839"/>
      <c r="AN33" s="1839"/>
      <c r="AO33" s="1839"/>
      <c r="AP33" s="1839"/>
      <c r="AQ33" s="1839"/>
      <c r="AR33" s="1839"/>
      <c r="AS33" s="1839"/>
      <c r="AT33" s="1839"/>
      <c r="AU33" s="20"/>
      <c r="AV33" s="20"/>
      <c r="AW33" s="20"/>
      <c r="AX33" s="20"/>
      <c r="AY33" s="20"/>
      <c r="BD33" s="1247" t="s">
        <v>2600</v>
      </c>
      <c r="BE33" s="1249" t="str">
        <f>Application!D220</f>
        <v>Capital Region: El Dorado, Placer, Sacramento, Sutter, Yuba, and Yolo Counties</v>
      </c>
    </row>
    <row r="34" spans="1:57" ht="12.95" customHeight="1">
      <c r="A34" s="1534" t="s">
        <v>2152</v>
      </c>
      <c r="B34" s="1534"/>
      <c r="C34" s="1534"/>
      <c r="D34" s="1534"/>
      <c r="E34" s="1534"/>
      <c r="F34" s="1534"/>
      <c r="G34" s="1534"/>
      <c r="H34" s="1534"/>
      <c r="I34" s="1534"/>
      <c r="J34" s="1534"/>
      <c r="K34" s="1534"/>
      <c r="L34" s="1534"/>
      <c r="M34" s="1534"/>
      <c r="N34" s="1534"/>
      <c r="O34" s="1534"/>
      <c r="P34" s="1534"/>
      <c r="Q34" s="1534"/>
      <c r="R34" s="1534"/>
      <c r="S34" s="1534"/>
      <c r="T34" s="1534"/>
      <c r="U34" s="1534"/>
      <c r="V34" s="1534"/>
      <c r="W34" s="1534"/>
      <c r="X34" s="1534"/>
      <c r="Y34" s="1534"/>
      <c r="Z34" s="1534"/>
      <c r="AA34" s="1534"/>
      <c r="AB34" s="1534"/>
      <c r="AC34" s="1534"/>
      <c r="AD34" s="1534"/>
      <c r="AE34" s="1534"/>
      <c r="AF34" s="1534"/>
      <c r="AG34" s="1534"/>
      <c r="AH34" s="1534"/>
      <c r="AI34" s="1534"/>
      <c r="AJ34" s="1534"/>
      <c r="AK34" s="1534"/>
      <c r="AL34" s="1534"/>
      <c r="AM34" s="1534"/>
      <c r="AN34" s="1534"/>
      <c r="AO34" s="1534"/>
      <c r="AP34" s="1534"/>
      <c r="AQ34" s="1534"/>
      <c r="AR34" s="1534"/>
      <c r="AS34" s="1534"/>
      <c r="AT34" s="1534"/>
      <c r="AU34" s="20"/>
      <c r="AV34" s="20"/>
      <c r="AW34" s="20"/>
      <c r="AX34" s="20"/>
      <c r="AY34" s="20"/>
      <c r="AZ34" s="20"/>
      <c r="BD34" s="1248" t="s">
        <v>2534</v>
      </c>
      <c r="BE34" s="1249" t="str">
        <f>Application!I185</f>
        <v>2801 Westbrook Boulevard</v>
      </c>
    </row>
    <row r="35" spans="1:57" ht="12.95" customHeight="1">
      <c r="A35" s="1534"/>
      <c r="B35" s="1534"/>
      <c r="C35" s="1534"/>
      <c r="D35" s="1534"/>
      <c r="E35" s="1534"/>
      <c r="F35" s="1534"/>
      <c r="G35" s="1534"/>
      <c r="H35" s="1534"/>
      <c r="I35" s="1534"/>
      <c r="J35" s="1534"/>
      <c r="K35" s="1534"/>
      <c r="L35" s="1534"/>
      <c r="M35" s="1534"/>
      <c r="N35" s="1534"/>
      <c r="O35" s="1534"/>
      <c r="P35" s="1534"/>
      <c r="Q35" s="1534"/>
      <c r="R35" s="1534"/>
      <c r="S35" s="1534"/>
      <c r="T35" s="1534"/>
      <c r="U35" s="1534"/>
      <c r="V35" s="1534"/>
      <c r="W35" s="1534"/>
      <c r="X35" s="1534"/>
      <c r="Y35" s="1534"/>
      <c r="Z35" s="1534"/>
      <c r="AA35" s="1534"/>
      <c r="AB35" s="1534"/>
      <c r="AC35" s="1534"/>
      <c r="AD35" s="1534"/>
      <c r="AE35" s="1534"/>
      <c r="AF35" s="1534"/>
      <c r="AG35" s="1534"/>
      <c r="AH35" s="1534"/>
      <c r="AI35" s="1534"/>
      <c r="AJ35" s="1534"/>
      <c r="AK35" s="1534"/>
      <c r="AL35" s="1534"/>
      <c r="AM35" s="1534"/>
      <c r="AN35" s="1534"/>
      <c r="AO35" s="1534"/>
      <c r="AP35" s="1534"/>
      <c r="AQ35" s="1534"/>
      <c r="AR35" s="1534"/>
      <c r="AS35" s="1534"/>
      <c r="AT35" s="1534"/>
      <c r="AU35" s="20"/>
      <c r="AV35" s="20"/>
      <c r="AW35" s="20"/>
      <c r="AX35" s="20"/>
      <c r="AY35" s="20"/>
      <c r="AZ35" s="20"/>
      <c r="BD35" s="1247" t="s">
        <v>2535</v>
      </c>
      <c r="BE35" s="1249" t="str">
        <f>IF(Application!E187="","",Application!E187)</f>
        <v/>
      </c>
    </row>
    <row r="36" spans="1:57" ht="12.95" customHeight="1">
      <c r="A36" s="1534"/>
      <c r="B36" s="1534"/>
      <c r="C36" s="1534"/>
      <c r="D36" s="1534"/>
      <c r="E36" s="1534"/>
      <c r="F36" s="1534"/>
      <c r="G36" s="1534"/>
      <c r="H36" s="1534"/>
      <c r="I36" s="1534"/>
      <c r="J36" s="1534"/>
      <c r="K36" s="1534"/>
      <c r="L36" s="1534"/>
      <c r="M36" s="1534"/>
      <c r="N36" s="1534"/>
      <c r="O36" s="1534"/>
      <c r="P36" s="1534"/>
      <c r="Q36" s="1534"/>
      <c r="R36" s="1534"/>
      <c r="S36" s="1534"/>
      <c r="T36" s="1534"/>
      <c r="U36" s="1534"/>
      <c r="V36" s="1534"/>
      <c r="W36" s="1534"/>
      <c r="X36" s="1534"/>
      <c r="Y36" s="1534"/>
      <c r="Z36" s="1534"/>
      <c r="AA36" s="1534"/>
      <c r="AB36" s="1534"/>
      <c r="AC36" s="1534"/>
      <c r="AD36" s="1534"/>
      <c r="AE36" s="1534"/>
      <c r="AF36" s="1534"/>
      <c r="AG36" s="1534"/>
      <c r="AH36" s="1534"/>
      <c r="AI36" s="1534"/>
      <c r="AJ36" s="1534"/>
      <c r="AK36" s="1534"/>
      <c r="AL36" s="1534"/>
      <c r="AM36" s="1534"/>
      <c r="AN36" s="1534"/>
      <c r="AO36" s="1534"/>
      <c r="AP36" s="1534"/>
      <c r="AQ36" s="1534"/>
      <c r="AR36" s="1534"/>
      <c r="AS36" s="1534"/>
      <c r="AT36" s="1534"/>
      <c r="AU36" s="20"/>
      <c r="AV36" s="20"/>
      <c r="AW36" s="20"/>
      <c r="AX36" s="20"/>
      <c r="AY36" s="20"/>
      <c r="AZ36" s="20"/>
      <c r="BD36" s="1248" t="s">
        <v>2536</v>
      </c>
      <c r="BE36" s="1249" t="str">
        <f>Application!I189</f>
        <v>Roseville</v>
      </c>
    </row>
    <row r="37" spans="1:57" ht="12.95" customHeight="1">
      <c r="A37" s="1534"/>
      <c r="B37" s="1534"/>
      <c r="C37" s="1534"/>
      <c r="D37" s="1534"/>
      <c r="E37" s="1534"/>
      <c r="F37" s="1534"/>
      <c r="G37" s="1534"/>
      <c r="H37" s="1534"/>
      <c r="I37" s="1534"/>
      <c r="J37" s="1534"/>
      <c r="K37" s="1534"/>
      <c r="L37" s="1534"/>
      <c r="M37" s="1534"/>
      <c r="N37" s="1534"/>
      <c r="O37" s="1534"/>
      <c r="P37" s="1534"/>
      <c r="Q37" s="1534"/>
      <c r="R37" s="1534"/>
      <c r="S37" s="1534"/>
      <c r="T37" s="1534"/>
      <c r="U37" s="1534"/>
      <c r="V37" s="1534"/>
      <c r="W37" s="1534"/>
      <c r="X37" s="1534"/>
      <c r="Y37" s="1534"/>
      <c r="Z37" s="1534"/>
      <c r="AA37" s="1534"/>
      <c r="AB37" s="1534"/>
      <c r="AC37" s="1534"/>
      <c r="AD37" s="1534"/>
      <c r="AE37" s="1534"/>
      <c r="AF37" s="1534"/>
      <c r="AG37" s="1534"/>
      <c r="AH37" s="1534"/>
      <c r="AI37" s="1534"/>
      <c r="AJ37" s="1534"/>
      <c r="AK37" s="1534"/>
      <c r="AL37" s="1534"/>
      <c r="AM37" s="1534"/>
      <c r="AN37" s="1534"/>
      <c r="AO37" s="1534"/>
      <c r="AP37" s="1534"/>
      <c r="AQ37" s="1534"/>
      <c r="AR37" s="1534"/>
      <c r="AS37" s="1534"/>
      <c r="AT37" s="1534"/>
      <c r="AZ37" s="20"/>
      <c r="BD37" s="1247" t="s">
        <v>2537</v>
      </c>
      <c r="BE37" s="1249" t="str">
        <f>Application!T189</f>
        <v>Placer</v>
      </c>
    </row>
    <row r="38" spans="1:57" ht="12.95" customHeight="1">
      <c r="A38" s="3"/>
      <c r="AZ38" s="20"/>
      <c r="BD38" s="1248" t="s">
        <v>2538</v>
      </c>
      <c r="BE38" s="1249">
        <f>Application!I190</f>
        <v>95678</v>
      </c>
    </row>
    <row r="39" spans="1:57" ht="12.95" customHeight="1">
      <c r="A39" s="1260" t="s">
        <v>2153</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2539</v>
      </c>
      <c r="BE39" s="1249">
        <f>Application!AG437</f>
        <v>200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199</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2540</v>
      </c>
      <c r="BE42" s="1251">
        <f>Application!AC753</f>
        <v>0.59648241206030139</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2541</v>
      </c>
      <c r="BE43" s="1251">
        <f>Application!AH753</f>
        <v>0.57940327809796155</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2542</v>
      </c>
      <c r="BE44" s="1249">
        <f>Application!AC454</f>
        <v>365403.755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2543</v>
      </c>
      <c r="BE45" s="1249">
        <f>Application!AE424</f>
        <v>8</v>
      </c>
    </row>
    <row r="46" spans="1:57" ht="12.95" customHeight="1">
      <c r="A46" s="1328" t="s">
        <v>2154</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2544</v>
      </c>
      <c r="BE46" s="1249" t="b">
        <f>Application!T195="Yes"</f>
        <v>1</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2545</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2546</v>
      </c>
      <c r="BE48" s="1249" t="str">
        <f>Application!M243</f>
        <v>St. Anton Westpark Affordable,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2547</v>
      </c>
      <c r="BE49" s="1249" t="str">
        <f>Application!M246</f>
        <v>Ardie Zahedani</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2548</v>
      </c>
      <c r="BE50" s="1249">
        <f>Application!AA249</f>
        <v>0</v>
      </c>
    </row>
    <row r="51" spans="1:57" ht="12.95" customHeight="1">
      <c r="A51" s="1260" t="s">
        <v>2155</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2549</v>
      </c>
      <c r="BE51" s="1249" t="str">
        <f>Application!M251</f>
        <v>PacH Anton South Holdings,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2550</v>
      </c>
      <c r="BE52" s="1249" t="str">
        <f>Application!M254</f>
        <v>Mark A. Wiese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2551</v>
      </c>
      <c r="BE53" s="1249" t="str">
        <f>Application!AA257</f>
        <v>Pacific Housing, Inc.</v>
      </c>
    </row>
    <row r="54" spans="1:57" ht="12.95" customHeight="1">
      <c r="A54" s="1260" t="s">
        <v>2156</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2552</v>
      </c>
      <c r="BE54" s="1249" t="str">
        <f>Application!M259</f>
        <v>Pacific Housing, Inc</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2553</v>
      </c>
      <c r="BE55" s="1249" t="str">
        <f>Application!M262</f>
        <v>Mark A. Wiese</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2554</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2555</v>
      </c>
      <c r="BE57" s="1249" t="str">
        <f>Application!H287</f>
        <v>St. Anton Communities, LLC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2556</v>
      </c>
      <c r="BE58" s="1249" t="str">
        <f>Application!H288</f>
        <v>1801 I Street, Suite 200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2557</v>
      </c>
      <c r="BE59" s="1249" t="str">
        <f>Application!H289</f>
        <v>Sacramento, CA 95811</v>
      </c>
    </row>
    <row r="60" spans="1:57" ht="12.95" customHeight="1">
      <c r="A60" s="1260" t="s">
        <v>2157</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2558</v>
      </c>
      <c r="BE60" s="1249" t="str">
        <f>Application!H290</f>
        <v>Ardie Zahedani</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2559</v>
      </c>
      <c r="BE61" s="1249" t="str">
        <f>Application!H293</f>
        <v>az@antoncap.com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2560</v>
      </c>
      <c r="BE62" s="1252">
        <f>'Basis &amp; Credits'!AB50</f>
        <v>0.94</v>
      </c>
    </row>
    <row r="63" spans="1:57" ht="12.95" customHeight="1">
      <c r="A63" s="91" t="s">
        <v>2158</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1252</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2561</v>
      </c>
      <c r="BE64" s="1249" t="str">
        <f>Application!X180</f>
        <v>No</v>
      </c>
    </row>
    <row r="65" spans="1:57" ht="12.95" customHeight="1">
      <c r="A65" s="1545" t="s">
        <v>2159</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47" t="s">
        <v>2597</v>
      </c>
      <c r="BE65" s="1249" t="str">
        <f>Z205</f>
        <v>(select)</v>
      </c>
    </row>
    <row r="66" spans="1:57"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48" t="s">
        <v>2562</v>
      </c>
      <c r="BE66" s="1249" t="b">
        <f>Application!Z205="State Farmworker Credit"</f>
        <v>0</v>
      </c>
    </row>
    <row r="67" spans="1:57"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47" t="s">
        <v>2563</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2564</v>
      </c>
      <c r="BE68" s="1249">
        <f>'Sources and Uses Budget'!D105</f>
        <v>0</v>
      </c>
    </row>
    <row r="69" spans="1:57" ht="12.95" customHeight="1">
      <c r="A69" s="1545" t="s">
        <v>2160</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47" t="s">
        <v>2565</v>
      </c>
      <c r="BE69" s="1249" t="str">
        <f>Application!W700</f>
        <v>CalPFA</v>
      </c>
    </row>
    <row r="70" spans="1:57"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48" t="s">
        <v>2566</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2567</v>
      </c>
      <c r="BE71" s="1249">
        <f>'Points System'!AF804</f>
        <v>0</v>
      </c>
    </row>
    <row r="72" spans="1:57" ht="12.95" customHeight="1">
      <c r="A72" s="1534" t="s">
        <v>2161</v>
      </c>
      <c r="B72" s="1534"/>
      <c r="C72" s="1534"/>
      <c r="D72" s="1534"/>
      <c r="E72" s="1534"/>
      <c r="F72" s="1534"/>
      <c r="G72" s="1534"/>
      <c r="H72" s="1534"/>
      <c r="I72" s="1534"/>
      <c r="J72" s="1534"/>
      <c r="K72" s="1534"/>
      <c r="L72" s="1534"/>
      <c r="M72" s="1534"/>
      <c r="N72" s="1534"/>
      <c r="O72" s="1534"/>
      <c r="P72" s="1534"/>
      <c r="Q72" s="1534"/>
      <c r="R72" s="1534"/>
      <c r="S72" s="1534"/>
      <c r="T72" s="1534"/>
      <c r="U72" s="1534"/>
      <c r="V72" s="1534"/>
      <c r="W72" s="1534"/>
      <c r="X72" s="1534"/>
      <c r="Y72" s="1534"/>
      <c r="Z72" s="1534"/>
      <c r="AA72" s="1534"/>
      <c r="AB72" s="1534"/>
      <c r="AC72" s="1534"/>
      <c r="AD72" s="1534"/>
      <c r="AE72" s="1534"/>
      <c r="AF72" s="1534"/>
      <c r="AG72" s="1534"/>
      <c r="AH72" s="1534"/>
      <c r="AI72" s="1534"/>
      <c r="AJ72" s="1534"/>
      <c r="AK72" s="1534"/>
      <c r="AL72" s="1534"/>
      <c r="AM72" s="1534"/>
      <c r="AN72" s="1534"/>
      <c r="AO72" s="1534"/>
      <c r="AP72" s="1534"/>
      <c r="AQ72" s="1534"/>
      <c r="AR72" s="1534"/>
      <c r="AS72" s="1534"/>
      <c r="AT72" s="1534"/>
      <c r="AU72" s="20"/>
      <c r="AV72" s="20"/>
      <c r="AW72" s="20"/>
      <c r="AX72" s="20"/>
      <c r="AY72" s="20"/>
      <c r="AZ72" s="20"/>
      <c r="BD72" s="1248" t="s">
        <v>2568</v>
      </c>
      <c r="BE72" s="1249">
        <f>'Points System'!AF805</f>
        <v>10</v>
      </c>
    </row>
    <row r="73" spans="1:57" ht="12.95" customHeight="1">
      <c r="A73" s="1534"/>
      <c r="B73" s="1534"/>
      <c r="C73" s="1534"/>
      <c r="D73" s="1534"/>
      <c r="E73" s="1534"/>
      <c r="F73" s="1534"/>
      <c r="G73" s="1534"/>
      <c r="H73" s="1534"/>
      <c r="I73" s="1534"/>
      <c r="J73" s="1534"/>
      <c r="K73" s="1534"/>
      <c r="L73" s="1534"/>
      <c r="M73" s="1534"/>
      <c r="N73" s="1534"/>
      <c r="O73" s="1534"/>
      <c r="P73" s="1534"/>
      <c r="Q73" s="1534"/>
      <c r="R73" s="1534"/>
      <c r="S73" s="1534"/>
      <c r="T73" s="1534"/>
      <c r="U73" s="1534"/>
      <c r="V73" s="1534"/>
      <c r="W73" s="1534"/>
      <c r="X73" s="1534"/>
      <c r="Y73" s="1534"/>
      <c r="Z73" s="1534"/>
      <c r="AA73" s="1534"/>
      <c r="AB73" s="1534"/>
      <c r="AC73" s="1534"/>
      <c r="AD73" s="1534"/>
      <c r="AE73" s="1534"/>
      <c r="AF73" s="1534"/>
      <c r="AG73" s="1534"/>
      <c r="AH73" s="1534"/>
      <c r="AI73" s="1534"/>
      <c r="AJ73" s="1534"/>
      <c r="AK73" s="1534"/>
      <c r="AL73" s="1534"/>
      <c r="AM73" s="1534"/>
      <c r="AN73" s="1534"/>
      <c r="AO73" s="1534"/>
      <c r="AP73" s="1534"/>
      <c r="AQ73" s="1534"/>
      <c r="AR73" s="1534"/>
      <c r="AS73" s="1534"/>
      <c r="AT73" s="1534"/>
      <c r="AU73" s="20"/>
      <c r="AV73" s="20"/>
      <c r="AW73" s="20"/>
      <c r="AX73" s="20"/>
      <c r="AY73" s="20"/>
      <c r="AZ73" s="20"/>
      <c r="BD73" s="1247" t="s">
        <v>2569</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2570</v>
      </c>
      <c r="BE74" s="1249">
        <f>'Points System'!AF807</f>
        <v>10</v>
      </c>
    </row>
    <row r="75" spans="1:57" ht="12.95" customHeight="1">
      <c r="A75" s="1544" t="s">
        <v>2162</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47" t="s">
        <v>2571</v>
      </c>
      <c r="BE75" s="1249">
        <f>'Points System'!AF808</f>
        <v>10</v>
      </c>
    </row>
    <row r="76" spans="1:57"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48" t="s">
        <v>2572</v>
      </c>
      <c r="BE76" s="1249">
        <f>'Points System'!AF811</f>
        <v>10</v>
      </c>
    </row>
    <row r="77" spans="1:57"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47" t="s">
        <v>2573</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2574</v>
      </c>
      <c r="BE78" s="1249">
        <f>'Points System'!AF814</f>
        <v>10</v>
      </c>
    </row>
    <row r="79" spans="1:57" ht="12.95" customHeight="1">
      <c r="A79" s="1545" t="s">
        <v>2163</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47" t="s">
        <v>2575</v>
      </c>
      <c r="BE79" s="1249">
        <f>'Points System'!AF815</f>
        <v>10</v>
      </c>
    </row>
    <row r="80" spans="1:57"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48" t="s">
        <v>2576</v>
      </c>
      <c r="BE80" s="1249">
        <f>'Points System'!AF817</f>
        <v>10</v>
      </c>
    </row>
    <row r="81" spans="1:57"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47" t="s">
        <v>2577</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2578</v>
      </c>
      <c r="BE82" s="1249">
        <f>'Points System'!AF819</f>
        <v>10</v>
      </c>
    </row>
    <row r="83" spans="1:57" ht="12.95" customHeight="1">
      <c r="A83" s="1260" t="s">
        <v>2164</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2579</v>
      </c>
      <c r="BE83" s="1253">
        <f>'Tie Breaker'!H5</f>
        <v>1.0414649238743723</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2580</v>
      </c>
      <c r="BE84" s="1249" t="str">
        <f>Application!O153</f>
        <v>City of Roseville</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2581</v>
      </c>
      <c r="BE85" s="1249" t="str">
        <f>Application!O154</f>
        <v>Dominick Casey</v>
      </c>
    </row>
    <row r="86" spans="1:57" ht="12.95" customHeight="1">
      <c r="A86" s="1260" t="s">
        <v>2165</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2582</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2583</v>
      </c>
      <c r="BE87" s="1249" t="str">
        <f>Application!O156</f>
        <v>311 Vernon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2584</v>
      </c>
      <c r="BE88" s="1249" t="str">
        <f>Application!O157</f>
        <v>Roseville</v>
      </c>
    </row>
    <row r="89" spans="1:57" ht="12.95" customHeight="1">
      <c r="A89" s="1553" t="s">
        <v>2166</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47" t="s">
        <v>2585</v>
      </c>
      <c r="BE89" s="1249">
        <f>Application!O158</f>
        <v>95678</v>
      </c>
    </row>
    <row r="90" spans="1:57" ht="12.9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48" t="s">
        <v>2586</v>
      </c>
      <c r="BE90" s="1249" t="str">
        <f>Application!H16</f>
        <v>PacH Anton South Holdings,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2587</v>
      </c>
      <c r="BE91" s="1249" t="str">
        <f>Application!M233</f>
        <v>2115 J Street, Suite 201</v>
      </c>
    </row>
    <row r="92" spans="1:57" ht="12.95" customHeight="1">
      <c r="A92" s="1544" t="s">
        <v>2167</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48" t="s">
        <v>2588</v>
      </c>
      <c r="BE92" s="1249" t="str">
        <f>Application!M234</f>
        <v>Sacramento</v>
      </c>
    </row>
    <row r="93" spans="1:57"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47" t="s">
        <v>2589</v>
      </c>
      <c r="BE93" s="1249" t="str">
        <f>Application!W234</f>
        <v>CA</v>
      </c>
    </row>
    <row r="94" spans="1:57"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48" t="s">
        <v>2590</v>
      </c>
      <c r="BE94" s="1249">
        <f>Application!AC234</f>
        <v>95816</v>
      </c>
    </row>
    <row r="95" spans="1:57"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47" t="s">
        <v>2591</v>
      </c>
      <c r="BE95" s="1249" t="str">
        <f>Application!M235</f>
        <v>Ardie Zahedani</v>
      </c>
    </row>
    <row r="96" spans="1:57"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48" t="s">
        <v>2592</v>
      </c>
      <c r="BE96" s="1249" t="str">
        <f>Application!M237</f>
        <v>az@antoncap.com</v>
      </c>
    </row>
    <row r="97" spans="1:57"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47" t="s">
        <v>2593</v>
      </c>
      <c r="BE97" s="1249" t="str">
        <f>Application!M248</f>
        <v>az@antoncap.com</v>
      </c>
    </row>
    <row r="98" spans="1:57"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48" t="s">
        <v>2594</v>
      </c>
      <c r="BE98" s="1249" t="str">
        <f>Application!M256</f>
        <v>mwiese@pacifichousing.com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2595</v>
      </c>
      <c r="BE99" s="1249" t="str">
        <f>Application!M264</f>
        <v>mwiese@pacifichousing.com</v>
      </c>
    </row>
    <row r="100" spans="1:57" ht="12.95" customHeight="1">
      <c r="A100" s="1554" t="s">
        <v>2168</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48" t="s">
        <v>2596</v>
      </c>
      <c r="BE100" s="1249" t="str">
        <f>Application!L279</f>
        <v>az@antoncap.com</v>
      </c>
    </row>
    <row r="101" spans="1:57" ht="12.95"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2601</v>
      </c>
      <c r="BE101">
        <f>'Sources and Uses Budget'!C105</f>
        <v>73080751</v>
      </c>
    </row>
    <row r="102" spans="1:57" ht="12.95"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2602</v>
      </c>
      <c r="BE102" t="b">
        <f>T197="Yes"</f>
        <v>0</v>
      </c>
    </row>
    <row r="103" spans="1:57" ht="12.95"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c r="BD103" t="s">
        <v>2178</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4" t="s">
        <v>2169</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2.95"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2170</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7" t="s">
        <v>2714</v>
      </c>
      <c r="H113" s="1547"/>
      <c r="I113" s="3" t="s">
        <v>182</v>
      </c>
      <c r="L113" s="1547" t="s">
        <v>2715</v>
      </c>
      <c r="M113" s="1547"/>
      <c r="N113" s="1547"/>
      <c r="O113" s="1547"/>
      <c r="P113" s="1561" t="s">
        <v>2243</v>
      </c>
      <c r="Q113" s="1561"/>
      <c r="R113" s="1561"/>
      <c r="S113" s="156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8" t="s">
        <v>68</v>
      </c>
      <c r="D115" s="1548"/>
      <c r="E115" s="1548"/>
      <c r="F115" s="1548"/>
      <c r="G115" s="1548"/>
      <c r="H115" s="1548"/>
      <c r="I115" s="1548"/>
      <c r="J115" s="1548"/>
      <c r="K115" s="1548"/>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7"/>
      <c r="Z117" s="1547"/>
      <c r="AA117" s="1547"/>
      <c r="AB117" s="1547"/>
      <c r="AC117" s="1547"/>
      <c r="AD117" s="1547"/>
      <c r="AE117" s="1547"/>
      <c r="AF117" s="1547"/>
      <c r="AG117" s="1547"/>
      <c r="AH117" s="1547"/>
      <c r="AI117" s="1547"/>
      <c r="AJ117" s="1547"/>
      <c r="AK117" s="1547"/>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7" t="s">
        <v>2716</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3" t="s">
        <v>470</v>
      </c>
      <c r="CV122" s="1694"/>
      <c r="CW122" s="14"/>
      <c r="CX122" s="14" t="s">
        <v>635</v>
      </c>
      <c r="CY122" s="14"/>
      <c r="CZ122" s="14"/>
      <c r="DA122" s="14"/>
      <c r="DB122" s="14"/>
      <c r="DC122" s="14"/>
      <c r="DD122" s="14"/>
      <c r="DE122" s="14"/>
      <c r="DF122" s="14"/>
      <c r="DG122" s="1690" t="str">
        <f>T189</f>
        <v>Placer</v>
      </c>
      <c r="DH122" s="1691"/>
      <c r="DI122" s="1691"/>
      <c r="DJ122" s="1691"/>
      <c r="DK122" s="1691"/>
      <c r="DL122" s="1691"/>
      <c r="DM122" s="1692"/>
    </row>
    <row r="123" spans="1:117" ht="12.95" customHeight="1">
      <c r="A123" s="3"/>
      <c r="B123" s="3"/>
      <c r="T123" s="3"/>
      <c r="U123" s="3"/>
      <c r="V123" s="3"/>
      <c r="W123" s="3"/>
      <c r="X123" s="3"/>
      <c r="Y123" s="1547" t="s">
        <v>2684</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2469</v>
      </c>
    </row>
    <row r="152" spans="1:108" ht="12.95" customHeight="1">
      <c r="BM152">
        <v>4</v>
      </c>
      <c r="BN152" s="3" t="s">
        <v>2468</v>
      </c>
    </row>
    <row r="153" spans="1:108" ht="12.95" customHeight="1">
      <c r="D153" t="s">
        <v>646</v>
      </c>
      <c r="O153" s="1525" t="s">
        <v>2615</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2470</v>
      </c>
      <c r="CR153" s="31" t="s">
        <v>2603</v>
      </c>
      <c r="CS153" s="32"/>
      <c r="CT153" s="32"/>
      <c r="CU153" s="32"/>
      <c r="CV153" s="32"/>
      <c r="CW153" s="32"/>
      <c r="CX153" s="14"/>
      <c r="CY153" s="31" t="s">
        <v>2604</v>
      </c>
      <c r="CZ153" s="14"/>
      <c r="DA153" s="14"/>
      <c r="DB153" s="14"/>
      <c r="DC153" s="14"/>
      <c r="DD153" s="14"/>
    </row>
    <row r="154" spans="1:108" ht="12.95" customHeight="1">
      <c r="D154" s="303" t="s">
        <v>440</v>
      </c>
      <c r="O154" s="1471" t="s">
        <v>2616</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2471</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1" t="s">
        <v>441</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2617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2227</v>
      </c>
      <c r="CC156" s="196"/>
      <c r="CD156" s="196"/>
      <c r="CE156" s="196"/>
      <c r="CF156" s="196"/>
      <c r="CG156" s="196"/>
      <c r="CH156" s="196"/>
      <c r="CI156" s="3"/>
      <c r="CJ156" s="195" t="s">
        <v>2611</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2" t="s">
        <v>2618</v>
      </c>
      <c r="P157" s="1525"/>
      <c r="Q157" s="1525"/>
      <c r="R157" s="1525"/>
      <c r="S157" s="1525"/>
      <c r="T157" s="1525"/>
      <c r="U157" s="1525"/>
      <c r="V157" s="1525"/>
      <c r="W157" s="1525"/>
      <c r="X157" s="1525"/>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1935</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7">
        <v>95678</v>
      </c>
      <c r="P158" s="1557"/>
      <c r="Q158" s="1557"/>
      <c r="R158" s="1557"/>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2" t="s">
        <v>2619</v>
      </c>
      <c r="P159" s="1552"/>
      <c r="Q159" s="1552"/>
      <c r="R159" s="1552"/>
      <c r="S159" s="1552"/>
      <c r="T159" s="1552"/>
      <c r="V159" s="97" t="s">
        <v>271</v>
      </c>
      <c r="W159" s="1558"/>
      <c r="X159" s="1558"/>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2"/>
      <c r="P160" s="1552"/>
      <c r="Q160" s="1552"/>
      <c r="R160" s="1552"/>
      <c r="S160" s="1552"/>
      <c r="T160" s="155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38" t="s">
        <v>2620</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49" t="s">
        <v>2219</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3" t="s">
        <v>540</v>
      </c>
      <c r="B169" s="1533"/>
      <c r="C169" s="1533"/>
      <c r="D169" s="1533"/>
      <c r="E169" s="1533"/>
      <c r="F169" s="1533"/>
      <c r="G169" s="1533"/>
      <c r="H169" s="1533"/>
      <c r="I169" s="1533"/>
      <c r="J169" s="1533"/>
      <c r="K169" s="1533"/>
      <c r="L169" s="1533"/>
      <c r="M169" s="1533"/>
      <c r="N169" s="1533"/>
      <c r="O169" s="1533"/>
      <c r="P169" s="1533"/>
      <c r="Q169" s="1533"/>
      <c r="R169" s="1533"/>
      <c r="S169" s="1533"/>
      <c r="T169" s="1533"/>
      <c r="U169" s="1533"/>
      <c r="V169" s="1533"/>
      <c r="W169" s="1533"/>
      <c r="X169" s="1533"/>
      <c r="Y169" s="1533"/>
      <c r="Z169" s="1533"/>
      <c r="AA169" s="1533"/>
      <c r="AB169" s="1533"/>
      <c r="AC169" s="1533"/>
      <c r="AD169" s="1533"/>
      <c r="AE169" s="1533"/>
      <c r="AF169" s="1533"/>
      <c r="AG169" s="1533"/>
      <c r="AH169" s="1533"/>
      <c r="AI169" s="1533"/>
      <c r="AJ169" s="1533"/>
      <c r="AK169" s="1533"/>
      <c r="AL169" s="1533"/>
      <c r="AM169" s="1533"/>
      <c r="AN169" s="1533"/>
      <c r="AO169" s="1533"/>
      <c r="AP169" s="1533"/>
      <c r="AQ169" s="1533"/>
      <c r="AR169" s="1533"/>
      <c r="AS169" s="1533"/>
      <c r="AT169" s="153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3"/>
      <c r="B170" s="1533"/>
      <c r="C170" s="1533"/>
      <c r="D170" s="1533"/>
      <c r="E170" s="1533"/>
      <c r="F170" s="1533"/>
      <c r="G170" s="1533"/>
      <c r="H170" s="1533"/>
      <c r="I170" s="1533"/>
      <c r="J170" s="1533"/>
      <c r="K170" s="1533"/>
      <c r="L170" s="1533"/>
      <c r="M170" s="1533"/>
      <c r="N170" s="1533"/>
      <c r="O170" s="1533"/>
      <c r="P170" s="1533"/>
      <c r="Q170" s="1533"/>
      <c r="R170" s="1533"/>
      <c r="S170" s="1533"/>
      <c r="T170" s="1533"/>
      <c r="U170" s="1533"/>
      <c r="V170" s="1533"/>
      <c r="W170" s="1533"/>
      <c r="X170" s="1533"/>
      <c r="Y170" s="1533"/>
      <c r="Z170" s="1533"/>
      <c r="AA170" s="1533"/>
      <c r="AB170" s="1533"/>
      <c r="AC170" s="1533"/>
      <c r="AD170" s="1533"/>
      <c r="AE170" s="1533"/>
      <c r="AF170" s="1533"/>
      <c r="AG170" s="1533"/>
      <c r="AH170" s="1533"/>
      <c r="AI170" s="1533"/>
      <c r="AJ170" s="1533"/>
      <c r="AK170" s="1533"/>
      <c r="AL170" s="1533"/>
      <c r="AM170" s="1533"/>
      <c r="AN170" s="1533"/>
      <c r="AO170" s="1533"/>
      <c r="AP170" s="1533"/>
      <c r="AQ170" s="1533"/>
      <c r="AR170" s="1533"/>
      <c r="AS170" s="1533"/>
      <c r="AT170" s="153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2104</v>
      </c>
      <c r="K174" s="1407"/>
      <c r="L174" s="1407"/>
      <c r="M174" s="1407"/>
      <c r="N174" s="1407"/>
      <c r="O174" s="1407"/>
      <c r="P174" s="1407"/>
      <c r="Q174" s="1407"/>
      <c r="R174" s="1407"/>
      <c r="S174" s="1407"/>
      <c r="T174" s="1407"/>
      <c r="U174" s="1407"/>
      <c r="V174" s="1407"/>
      <c r="W174" s="1407"/>
      <c r="X174" s="1407"/>
      <c r="Y174" s="1407"/>
      <c r="Z174" s="1407"/>
      <c r="AA174" s="1407"/>
      <c r="AB174" s="1407"/>
      <c r="BB174" t="s">
        <v>1972</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670</v>
      </c>
      <c r="V175" s="1415"/>
      <c r="BB175" t="s">
        <v>1940</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2082</v>
      </c>
      <c r="T176" s="27" t="s">
        <v>305</v>
      </c>
      <c r="U176" s="1509"/>
      <c r="V176" s="1509"/>
      <c r="W176" s="1" t="s">
        <v>306</v>
      </c>
      <c r="X176" s="1565"/>
      <c r="Y176" s="1565"/>
      <c r="BB176" t="s">
        <v>1973</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2216</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2082</v>
      </c>
      <c r="AE178" s="27" t="s">
        <v>305</v>
      </c>
      <c r="AF178" s="1564"/>
      <c r="AG178" s="1564"/>
      <c r="AH178" s="1" t="s">
        <v>306</v>
      </c>
      <c r="AI178" s="1446"/>
      <c r="AJ178" s="1446"/>
      <c r="AK178" s="1446"/>
      <c r="BB178" t="s">
        <v>2217</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2083</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Westpark Family Affordable Apartments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2621</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2" t="s">
        <v>2618</v>
      </c>
      <c r="J189" s="1407"/>
      <c r="K189" s="1407"/>
      <c r="L189" s="1407"/>
      <c r="M189" s="1407"/>
      <c r="N189" s="1407"/>
      <c r="O189" s="1407"/>
      <c r="P189" s="1407"/>
      <c r="Q189" t="s">
        <v>583</v>
      </c>
      <c r="T189" s="1407" t="s">
        <v>65</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95678</v>
      </c>
      <c r="J190" s="1371"/>
      <c r="K190" s="1371"/>
      <c r="L190" s="1371"/>
      <c r="M190" s="1371"/>
      <c r="N190" s="1371"/>
      <c r="O190" t="s">
        <v>586</v>
      </c>
      <c r="T190" s="1555">
        <v>213.26</v>
      </c>
      <c r="U190" s="1555"/>
      <c r="V190" s="1555"/>
      <c r="W190" s="1555"/>
      <c r="X190" s="1555"/>
      <c r="Y190" s="1555"/>
      <c r="Z190" s="1555"/>
      <c r="AA190" s="1555"/>
      <c r="AB190" s="1555"/>
      <c r="AC190" s="1555"/>
      <c r="AD190" s="1555"/>
      <c r="AE190" s="1555"/>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8" t="s">
        <v>2622</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1366</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2084</v>
      </c>
      <c r="M193" s="40"/>
      <c r="N193" s="894"/>
      <c r="O193" s="894"/>
      <c r="P193" s="894"/>
      <c r="Q193" s="894"/>
      <c r="R193" s="894"/>
      <c r="S193" s="894"/>
      <c r="T193" s="1559" t="s">
        <v>1940</v>
      </c>
      <c r="U193" s="1559"/>
      <c r="V193" s="1559"/>
      <c r="W193" s="1559"/>
      <c r="X193" s="1559"/>
      <c r="Y193" s="1559"/>
      <c r="Z193" s="1559"/>
      <c r="AA193" s="1559"/>
      <c r="AB193" s="1559"/>
      <c r="AC193" s="1559"/>
      <c r="AD193" s="1559"/>
      <c r="AE193" s="1559"/>
      <c r="AF193" s="1559"/>
      <c r="AG193" s="1559"/>
      <c r="AH193" s="1559"/>
      <c r="AI193" s="1559"/>
      <c r="BC193" t="s">
        <v>1043</v>
      </c>
      <c r="BH193" s="3" t="s">
        <v>1631</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2218</v>
      </c>
      <c r="M194" s="40"/>
      <c r="N194" s="894"/>
      <c r="O194" s="894"/>
      <c r="P194" s="894"/>
      <c r="Q194" s="894"/>
      <c r="R194" s="894"/>
      <c r="S194" s="894"/>
      <c r="AH194" s="1415" t="s">
        <v>670</v>
      </c>
      <c r="AI194" s="1415"/>
      <c r="BC194" t="s">
        <v>1366</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546</v>
      </c>
      <c r="U195" s="1415"/>
      <c r="W195" t="s">
        <v>685</v>
      </c>
      <c r="AH195" s="1415">
        <v>3</v>
      </c>
      <c r="AI195" s="1415"/>
      <c r="BC195" t="s">
        <v>1859</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670</v>
      </c>
      <c r="U196" s="1427"/>
      <c r="W196" t="s">
        <v>686</v>
      </c>
      <c r="AH196" s="1415">
        <v>5</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6</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1654</v>
      </c>
      <c r="E198"/>
      <c r="F198"/>
      <c r="G198"/>
      <c r="H198"/>
      <c r="I198"/>
      <c r="J198"/>
      <c r="K198"/>
      <c r="L198"/>
      <c r="M198"/>
      <c r="N198"/>
      <c r="O198"/>
      <c r="P198"/>
      <c r="Q198"/>
      <c r="R198"/>
      <c r="S198"/>
      <c r="T198" s="1427"/>
      <c r="U198" s="1427"/>
      <c r="V198"/>
      <c r="X198" s="1534" t="s">
        <v>2517</v>
      </c>
      <c r="Y198" s="1534"/>
      <c r="Z198" s="1534"/>
      <c r="AA198" s="1534"/>
      <c r="AB198" s="1534"/>
      <c r="AC198" s="1534"/>
      <c r="AD198" s="1534"/>
      <c r="AE198" s="1534"/>
      <c r="AF198" s="1534"/>
      <c r="AG198" s="1534"/>
      <c r="AH198" s="1534"/>
      <c r="AI198" s="1534"/>
      <c r="AJ198" s="1534"/>
      <c r="AK198" s="1534"/>
      <c r="AL198" s="1534"/>
      <c r="AM198" s="1534"/>
      <c r="AN198" s="1534"/>
      <c r="AO198" s="1534"/>
      <c r="AP198" s="1534"/>
      <c r="AQ198" s="1534"/>
      <c r="AR198" s="1534"/>
      <c r="AS198" s="1534"/>
      <c r="AT198" s="153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2520</v>
      </c>
      <c r="E199"/>
      <c r="F199"/>
      <c r="G199"/>
      <c r="H199"/>
      <c r="I199"/>
      <c r="J199"/>
      <c r="K199"/>
      <c r="L199"/>
      <c r="M199"/>
      <c r="N199"/>
      <c r="O199"/>
      <c r="P199"/>
      <c r="Q199"/>
      <c r="R199"/>
      <c r="S199"/>
      <c r="T199" s="1415" t="s">
        <v>670</v>
      </c>
      <c r="U199" s="1415"/>
      <c r="V199"/>
      <c r="W199"/>
      <c r="X199" s="1534"/>
      <c r="Y199" s="1534"/>
      <c r="Z199" s="1534"/>
      <c r="AA199" s="1534"/>
      <c r="AB199" s="1534"/>
      <c r="AC199" s="1534"/>
      <c r="AD199" s="1534"/>
      <c r="AE199" s="1534"/>
      <c r="AF199" s="1534"/>
      <c r="AG199" s="1534"/>
      <c r="AH199" s="1534"/>
      <c r="AI199" s="1534"/>
      <c r="AJ199" s="1534"/>
      <c r="AK199" s="1534"/>
      <c r="AL199" s="1534"/>
      <c r="AM199" s="1534"/>
      <c r="AN199" s="1534"/>
      <c r="AO199" s="1534"/>
      <c r="AP199" s="1534"/>
      <c r="AQ199" s="1534"/>
      <c r="AR199" s="1534"/>
      <c r="AS199" s="1534"/>
      <c r="AT199" s="153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2518</v>
      </c>
      <c r="T200" s="1415"/>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2519</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50">
        <f>M26</f>
        <v>3643101</v>
      </c>
      <c r="Q204" s="1551"/>
      <c r="R204" s="1551"/>
      <c r="S204" s="1551"/>
      <c r="T204" s="1551"/>
      <c r="U204" s="1551"/>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6" t="s">
        <v>1249</v>
      </c>
      <c r="E205" s="1483"/>
      <c r="F205" s="1483"/>
      <c r="G205" s="1483"/>
      <c r="H205" s="1483"/>
      <c r="I205" s="1483"/>
      <c r="J205" s="1483"/>
      <c r="K205" s="1483"/>
      <c r="L205" s="1483"/>
      <c r="M205" s="1483"/>
      <c r="P205" s="1551">
        <f>M27</f>
        <v>0</v>
      </c>
      <c r="Q205" s="1551"/>
      <c r="R205" s="1551"/>
      <c r="S205" s="1551"/>
      <c r="T205" s="1551"/>
      <c r="U205" s="1551"/>
      <c r="V205" s="28"/>
      <c r="W205" s="3" t="s">
        <v>1722</v>
      </c>
      <c r="Z205" s="1532" t="s">
        <v>1185</v>
      </c>
      <c r="AA205" s="1532"/>
      <c r="AB205" s="1532"/>
      <c r="AC205" s="1532"/>
      <c r="AD205" s="1532"/>
      <c r="AE205" s="1532"/>
      <c r="AF205" s="1532"/>
      <c r="AG205" s="1532"/>
      <c r="AH205" s="1532"/>
      <c r="AI205" s="1532"/>
      <c r="AJ205" s="1532"/>
      <c r="AK205" s="1532"/>
      <c r="AL205" s="1532"/>
      <c r="AM205" s="1532"/>
      <c r="AN205" s="1532"/>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2" t="s">
        <v>2623</v>
      </c>
      <c r="E208" s="1525"/>
      <c r="F208" s="1525"/>
      <c r="G208" s="1525"/>
      <c r="H208" s="1525"/>
      <c r="I208" s="1525"/>
      <c r="J208" s="1525"/>
      <c r="K208" s="1525"/>
      <c r="L208" s="1525"/>
      <c r="M208" s="1525"/>
      <c r="BC208" s="3" t="s">
        <v>2209</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2"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2234</v>
      </c>
      <c r="Q212" s="1415">
        <v>0</v>
      </c>
      <c r="R212" s="1415"/>
      <c r="T212" s="1562">
        <f>IFERROR(Q212/AG440,0)</f>
        <v>0</v>
      </c>
      <c r="U212" s="1563"/>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2477</v>
      </c>
      <c r="BC213" t="s">
        <v>527</v>
      </c>
      <c r="BI213" s="3" t="s">
        <v>2231</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6" t="s">
        <v>592</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531</v>
      </c>
      <c r="BI214" s="3" t="s">
        <v>2223</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1655</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528</v>
      </c>
      <c r="BI215" s="3" t="s">
        <v>2224</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1653</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567</v>
      </c>
      <c r="BI216" t="s">
        <v>2222</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2226</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2237</v>
      </c>
      <c r="D218" s="28"/>
      <c r="AC218" s="2" t="s">
        <v>2466</v>
      </c>
      <c r="BC218" t="s">
        <v>530</v>
      </c>
    </row>
    <row r="219" spans="1:108" ht="12.95" customHeight="1">
      <c r="A219" s="2"/>
      <c r="C219" s="2"/>
      <c r="D219" s="3" t="s">
        <v>2467</v>
      </c>
      <c r="AZ219" s="3"/>
      <c r="BA219" s="3"/>
      <c r="BC219" t="s">
        <v>377</v>
      </c>
    </row>
    <row r="220" spans="1:108" ht="12.95" customHeight="1">
      <c r="A220" s="2"/>
      <c r="C220" s="2"/>
      <c r="D220" s="1522" t="s">
        <v>1065</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5" t="s">
        <v>2471</v>
      </c>
      <c r="AD220" s="1535"/>
      <c r="AE220" s="1535"/>
      <c r="AF220" s="1535"/>
      <c r="AG220" s="1535"/>
      <c r="AH220" s="1535"/>
      <c r="AI220" s="1535"/>
      <c r="AJ220" s="1535"/>
      <c r="AK220" s="1535"/>
      <c r="AL220" s="1535"/>
      <c r="AM220" s="1535"/>
      <c r="AN220" s="1535"/>
      <c r="AO220" s="1535"/>
      <c r="AP220" s="1535"/>
      <c r="AQ220" s="1535"/>
      <c r="BA220" s="3"/>
      <c r="BC220" t="s">
        <v>300</v>
      </c>
    </row>
    <row r="221" spans="1:108" ht="12.95" customHeight="1">
      <c r="A221" s="2"/>
      <c r="B221" s="14"/>
      <c r="C221" s="2"/>
      <c r="BA221" s="3"/>
    </row>
    <row r="222" spans="1:108" ht="12.95" customHeight="1">
      <c r="A222" s="1533" t="s">
        <v>541</v>
      </c>
      <c r="B222" s="1533"/>
      <c r="C222" s="1533"/>
      <c r="D222" s="1533"/>
      <c r="E222" s="1533"/>
      <c r="F222" s="1533"/>
      <c r="G222" s="1533"/>
      <c r="H222" s="1533"/>
      <c r="I222" s="1533"/>
      <c r="J222" s="1533"/>
      <c r="K222" s="1533"/>
      <c r="L222" s="1533"/>
      <c r="M222" s="1533"/>
      <c r="N222" s="1533"/>
      <c r="O222" s="1533"/>
      <c r="P222" s="1533"/>
      <c r="Q222" s="1533"/>
      <c r="R222" s="1533"/>
      <c r="S222" s="1533"/>
      <c r="T222" s="1533"/>
      <c r="U222" s="1533"/>
      <c r="V222" s="1533"/>
      <c r="W222" s="1533"/>
      <c r="X222" s="1533"/>
      <c r="Y222" s="1533"/>
      <c r="Z222" s="1533"/>
      <c r="AA222" s="1533"/>
      <c r="AB222" s="1533"/>
      <c r="AC222" s="1533"/>
      <c r="AD222" s="1533"/>
      <c r="AE222" s="1533"/>
      <c r="AF222" s="1533"/>
      <c r="AG222" s="1533"/>
      <c r="AH222" s="1533"/>
      <c r="AI222" s="1533"/>
      <c r="AJ222" s="1533"/>
      <c r="AK222" s="1533"/>
      <c r="AL222" s="1533"/>
      <c r="AM222" s="1533"/>
      <c r="AN222" s="1533"/>
      <c r="AO222" s="1533"/>
      <c r="AP222" s="1533"/>
      <c r="AQ222" s="1533"/>
      <c r="AR222" s="1533"/>
      <c r="AS222" s="1533"/>
      <c r="AT222" s="1533"/>
      <c r="AU222" s="95"/>
      <c r="AV222" s="95"/>
      <c r="AW222" s="95"/>
      <c r="AX222" s="95"/>
      <c r="AY222" s="95"/>
      <c r="AZ222" s="3"/>
      <c r="BA222" s="3"/>
      <c r="BP222" s="34"/>
    </row>
    <row r="223" spans="1:108" ht="12.95" customHeight="1">
      <c r="A223" s="1533"/>
      <c r="B223" s="1533"/>
      <c r="C223" s="1533"/>
      <c r="D223" s="1533"/>
      <c r="E223" s="1533"/>
      <c r="F223" s="1533"/>
      <c r="G223" s="1533"/>
      <c r="H223" s="1533"/>
      <c r="I223" s="1533"/>
      <c r="J223" s="1533"/>
      <c r="K223" s="1533"/>
      <c r="L223" s="1533"/>
      <c r="M223" s="1533"/>
      <c r="N223" s="1533"/>
      <c r="O223" s="1533"/>
      <c r="P223" s="1533"/>
      <c r="Q223" s="1533"/>
      <c r="R223" s="1533"/>
      <c r="S223" s="1533"/>
      <c r="T223" s="1533"/>
      <c r="U223" s="1533"/>
      <c r="V223" s="1533"/>
      <c r="W223" s="1533"/>
      <c r="X223" s="1533"/>
      <c r="Y223" s="1533"/>
      <c r="Z223" s="1533"/>
      <c r="AA223" s="1533"/>
      <c r="AB223" s="1533"/>
      <c r="AC223" s="1533"/>
      <c r="AD223" s="1533"/>
      <c r="AE223" s="1533"/>
      <c r="AF223" s="1533"/>
      <c r="AG223" s="1533"/>
      <c r="AH223" s="1533"/>
      <c r="AI223" s="1533"/>
      <c r="AJ223" s="1533"/>
      <c r="AK223" s="1533"/>
      <c r="AL223" s="1533"/>
      <c r="AM223" s="1533"/>
      <c r="AN223" s="1533"/>
      <c r="AO223" s="1533"/>
      <c r="AP223" s="1533"/>
      <c r="AQ223" s="1533"/>
      <c r="AR223" s="1533"/>
      <c r="AS223" s="1533"/>
      <c r="AT223" s="1533"/>
      <c r="BA223" s="3"/>
      <c r="BB223" s="3"/>
      <c r="BQ223" s="34"/>
    </row>
    <row r="224" spans="1:108" ht="12.95" customHeight="1">
      <c r="AZ224" s="4"/>
      <c r="BA224" s="3"/>
      <c r="BB224" s="3"/>
      <c r="BQ224" s="34"/>
    </row>
    <row r="225" spans="1:59" ht="12.95" customHeight="1">
      <c r="A225" s="2" t="s">
        <v>319</v>
      </c>
      <c r="B225" s="2"/>
      <c r="C225" s="2" t="s">
        <v>2085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546</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592</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6" t="str">
        <f>H16</f>
        <v>PacH Anton South Holdings, LLC</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5" t="s">
        <v>539</v>
      </c>
      <c r="BG232" s="241">
        <f>IF(AND(AND($M$249="nonprofit",$M$257="nonprofit",$M$265="for profit")),2,0)</f>
        <v>0</v>
      </c>
    </row>
    <row r="233" spans="1:59" ht="12.95" customHeight="1">
      <c r="D233" s="4" t="s">
        <v>85</v>
      </c>
      <c r="E233" s="4"/>
      <c r="F233" s="4"/>
      <c r="G233" s="4"/>
      <c r="H233" s="4"/>
      <c r="I233" s="4"/>
      <c r="J233" s="4"/>
      <c r="K233" s="4"/>
      <c r="M233" s="1522" t="s">
        <v>2624</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5" customHeight="1">
      <c r="D234" s="4" t="s">
        <v>581</v>
      </c>
      <c r="E234" s="4"/>
      <c r="M234" s="1522" t="s">
        <v>68</v>
      </c>
      <c r="N234" s="1525"/>
      <c r="O234" s="1525"/>
      <c r="P234" s="1525"/>
      <c r="Q234" s="1525"/>
      <c r="R234" s="1525"/>
      <c r="S234" s="1525"/>
      <c r="T234" s="1525"/>
      <c r="V234" s="33" t="s">
        <v>86</v>
      </c>
      <c r="W234" s="1543" t="s">
        <v>2625</v>
      </c>
      <c r="X234" s="1471"/>
      <c r="Y234" s="4" t="s">
        <v>584</v>
      </c>
      <c r="AC234" s="1525">
        <v>95816</v>
      </c>
      <c r="AD234" s="1525"/>
      <c r="AE234" s="1525"/>
      <c r="AU234" s="4"/>
      <c r="AV234" s="4"/>
      <c r="AW234" s="4"/>
      <c r="AX234" s="4"/>
      <c r="AY234" s="4"/>
      <c r="AZ234" s="4"/>
      <c r="BB234" s="205" t="s">
        <v>539</v>
      </c>
      <c r="BG234" s="240">
        <f>IF(AND(AND($M$249="for profit",$M$257="nonprofit",$M$265="nonprofit")),2,0)</f>
        <v>2</v>
      </c>
    </row>
    <row r="235" spans="1:59" ht="12.95" customHeight="1">
      <c r="D235" s="4" t="s">
        <v>87</v>
      </c>
      <c r="E235" s="4"/>
      <c r="F235" s="4"/>
      <c r="G235" s="4"/>
      <c r="H235" s="4"/>
      <c r="I235" s="4"/>
      <c r="J235" s="4"/>
      <c r="K235" s="19"/>
      <c r="M235" s="1522" t="s">
        <v>2626</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487">
        <v>9164002077</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38" t="s">
        <v>2627</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0"/>
      <c r="AB238" s="1560"/>
      <c r="AC238" s="1560"/>
      <c r="AD238" s="1560"/>
      <c r="AE238" s="1560"/>
      <c r="AF238" s="1560"/>
      <c r="AG238" s="1560"/>
      <c r="AH238" s="1560"/>
      <c r="AI238" s="1560"/>
      <c r="AJ238" s="1560"/>
      <c r="AK238" s="1560"/>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40" t="s">
        <v>2628</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2629</v>
      </c>
      <c r="AG243" s="1541"/>
      <c r="AH243" s="1541"/>
      <c r="AI243" s="1541"/>
      <c r="AJ243" s="1541"/>
      <c r="AK243" s="154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5" t="s">
        <v>2630</v>
      </c>
      <c r="N244" s="1525"/>
      <c r="O244" s="1525"/>
      <c r="P244" s="1525"/>
      <c r="Q244" s="1525"/>
      <c r="R244" s="1525"/>
      <c r="S244" s="1525"/>
      <c r="T244" s="1525"/>
      <c r="U244" s="1525"/>
      <c r="V244" s="1525"/>
      <c r="W244" s="1525"/>
      <c r="X244" s="1525"/>
      <c r="Y244" s="1525"/>
      <c r="Z244" s="1525"/>
      <c r="AA244" s="1525"/>
      <c r="AB244" s="1525"/>
      <c r="AC244" s="1525"/>
      <c r="AD244" s="1525"/>
      <c r="AE244" s="1525"/>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2" t="s">
        <v>68</v>
      </c>
      <c r="N245" s="1525"/>
      <c r="O245" s="1525"/>
      <c r="P245" s="1525"/>
      <c r="Q245" s="1525"/>
      <c r="R245" s="1525"/>
      <c r="S245" s="1525"/>
      <c r="T245" s="1525"/>
      <c r="V245" s="33" t="s">
        <v>86</v>
      </c>
      <c r="W245" s="1543" t="s">
        <v>2625</v>
      </c>
      <c r="X245" s="1471"/>
      <c r="Y245" s="4" t="s">
        <v>584</v>
      </c>
      <c r="AC245" s="1525">
        <v>95816</v>
      </c>
      <c r="AD245" s="1525"/>
      <c r="AE245" s="1525"/>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2" t="s">
        <v>2626</v>
      </c>
      <c r="N246" s="1525"/>
      <c r="O246" s="1525"/>
      <c r="P246" s="1525"/>
      <c r="Q246" s="1525"/>
      <c r="R246" s="1525"/>
      <c r="S246" s="1525"/>
      <c r="T246" s="1525"/>
      <c r="U246" s="1525"/>
      <c r="V246" s="1525"/>
      <c r="W246" s="1525"/>
      <c r="X246" s="1525"/>
      <c r="Y246" s="1525"/>
      <c r="Z246" s="1525"/>
      <c r="AA246" s="1525"/>
      <c r="AB246" s="1525"/>
      <c r="AC246" s="1525"/>
      <c r="AD246" s="1525"/>
      <c r="AE246" s="1525"/>
      <c r="AH246" s="1537">
        <v>6.0000000000000001E-3</v>
      </c>
      <c r="AI246" s="1537"/>
      <c r="AJ246" s="1537"/>
      <c r="AK246" s="1537"/>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87">
        <v>9164002077</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38" t="s">
        <v>2627</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60"/>
      <c r="AB249" s="1560"/>
      <c r="AC249" s="1560"/>
      <c r="AD249" s="1560"/>
      <c r="AE249" s="1560"/>
      <c r="AF249" s="1560"/>
      <c r="AG249" s="1560"/>
      <c r="AH249" s="1560"/>
      <c r="AI249" s="1560"/>
      <c r="AJ249" s="1560"/>
      <c r="AK249" s="1560"/>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1" t="s">
        <v>2631</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2632</v>
      </c>
      <c r="AG251" s="1541"/>
      <c r="AH251" s="1541"/>
      <c r="AI251" s="1541"/>
      <c r="AJ251" s="1541"/>
      <c r="AK251" s="1541"/>
      <c r="AU251" s="4"/>
      <c r="AV251" s="4"/>
      <c r="AW251" s="4"/>
      <c r="AX251" s="4"/>
      <c r="AY251" s="4"/>
      <c r="BN251" s="34"/>
    </row>
    <row r="252" spans="1:67" ht="12.95" customHeight="1">
      <c r="A252" s="19"/>
      <c r="B252" s="4"/>
      <c r="C252" s="4"/>
      <c r="D252" s="4" t="s">
        <v>85</v>
      </c>
      <c r="E252" s="4"/>
      <c r="F252" s="4"/>
      <c r="G252" s="4"/>
      <c r="H252" s="4"/>
      <c r="I252" s="4"/>
      <c r="J252" s="4"/>
      <c r="K252" s="4"/>
      <c r="L252" s="4"/>
      <c r="M252" s="1522" t="s">
        <v>2624</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2.95" customHeight="1">
      <c r="A253" s="19"/>
      <c r="B253" s="4"/>
      <c r="C253" s="4"/>
      <c r="D253" s="4" t="s">
        <v>581</v>
      </c>
      <c r="E253" s="4"/>
      <c r="M253" s="1522" t="s">
        <v>68</v>
      </c>
      <c r="N253" s="1525"/>
      <c r="O253" s="1525"/>
      <c r="P253" s="1525"/>
      <c r="Q253" s="1525"/>
      <c r="R253" s="1525"/>
      <c r="S253" s="1525"/>
      <c r="T253" s="1525"/>
      <c r="V253" s="33" t="s">
        <v>86</v>
      </c>
      <c r="W253" s="1543" t="s">
        <v>2625</v>
      </c>
      <c r="X253" s="1471"/>
      <c r="Y253" s="4" t="s">
        <v>584</v>
      </c>
      <c r="AC253" s="1525">
        <v>95816</v>
      </c>
      <c r="AD253" s="1525"/>
      <c r="AE253" s="1525"/>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22" t="s">
        <v>2633</v>
      </c>
      <c r="N254" s="1525"/>
      <c r="O254" s="1525"/>
      <c r="P254" s="1525"/>
      <c r="Q254" s="1525"/>
      <c r="R254" s="1525"/>
      <c r="S254" s="1525"/>
      <c r="T254" s="1525"/>
      <c r="U254" s="1525"/>
      <c r="V254" s="1525"/>
      <c r="W254" s="1525"/>
      <c r="X254" s="1525"/>
      <c r="Y254" s="1525"/>
      <c r="Z254" s="1525"/>
      <c r="AA254" s="1525"/>
      <c r="AB254" s="1525"/>
      <c r="AC254" s="1525"/>
      <c r="AD254" s="1525"/>
      <c r="AE254" s="1525"/>
      <c r="AH254" s="1537">
        <v>4.0000000000000001E-3</v>
      </c>
      <c r="AI254" s="1537"/>
      <c r="AJ254" s="1537"/>
      <c r="AK254" s="1537"/>
      <c r="AL254" s="4"/>
      <c r="AM254" s="4"/>
      <c r="AN254" s="4"/>
      <c r="AO254" s="4"/>
      <c r="AP254" s="4"/>
      <c r="AQ254" s="4"/>
      <c r="AR254" s="4"/>
      <c r="AS254" s="4"/>
      <c r="AT254" s="4"/>
    </row>
    <row r="255" spans="1:67" ht="12.95" customHeight="1">
      <c r="A255" s="19"/>
      <c r="B255" s="4"/>
      <c r="C255" s="4"/>
      <c r="D255" s="4" t="s">
        <v>88</v>
      </c>
      <c r="E255" s="4"/>
      <c r="F255" s="4"/>
      <c r="M255" s="1487">
        <v>9166385200</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38" t="s">
        <v>2634</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72" t="s">
        <v>2635</v>
      </c>
      <c r="AB257" s="1560"/>
      <c r="AC257" s="1560"/>
      <c r="AD257" s="1560"/>
      <c r="AE257" s="1560"/>
      <c r="AF257" s="1560"/>
      <c r="AG257" s="1560"/>
      <c r="AH257" s="1560"/>
      <c r="AI257" s="1560"/>
      <c r="AJ257" s="1560"/>
      <c r="AK257" s="1560"/>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1" t="s">
        <v>2636</v>
      </c>
      <c r="N259" s="1541"/>
      <c r="O259" s="1541"/>
      <c r="P259" s="1541"/>
      <c r="Q259" s="1541"/>
      <c r="R259" s="1541"/>
      <c r="S259" s="1541"/>
      <c r="T259" s="1541"/>
      <c r="U259" s="1541"/>
      <c r="V259" s="1541"/>
      <c r="W259" s="1541"/>
      <c r="X259" s="1541"/>
      <c r="Y259" s="1541"/>
      <c r="Z259" s="1541"/>
      <c r="AA259" s="1541"/>
      <c r="AB259" s="1541"/>
      <c r="AC259" s="1541"/>
      <c r="AD259" s="1541"/>
      <c r="AE259" s="1541"/>
      <c r="AF259" s="1540" t="s">
        <v>307</v>
      </c>
      <c r="AG259" s="1541"/>
      <c r="AH259" s="1541"/>
      <c r="AI259" s="1541"/>
      <c r="AJ259" s="1541"/>
      <c r="AK259" s="154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2" t="s">
        <v>2624</v>
      </c>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2" t="s">
        <v>68</v>
      </c>
      <c r="N261" s="1525"/>
      <c r="O261" s="1525"/>
      <c r="P261" s="1525"/>
      <c r="Q261" s="1525"/>
      <c r="R261" s="1525"/>
      <c r="S261" s="1525"/>
      <c r="T261" s="1525"/>
      <c r="V261" s="33" t="s">
        <v>86</v>
      </c>
      <c r="W261" s="1543" t="s">
        <v>2625</v>
      </c>
      <c r="X261" s="1471"/>
      <c r="Y261" s="4" t="s">
        <v>584</v>
      </c>
      <c r="AC261" s="1525">
        <v>95816</v>
      </c>
      <c r="AD261" s="1525"/>
      <c r="AE261" s="1525"/>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2" t="s">
        <v>2633</v>
      </c>
      <c r="N262" s="1525"/>
      <c r="O262" s="1525"/>
      <c r="P262" s="1525"/>
      <c r="Q262" s="1525"/>
      <c r="R262" s="1525"/>
      <c r="S262" s="1525"/>
      <c r="T262" s="1525"/>
      <c r="U262" s="1525"/>
      <c r="V262" s="1525"/>
      <c r="W262" s="1525"/>
      <c r="X262" s="1525"/>
      <c r="Y262" s="1525"/>
      <c r="Z262" s="1525"/>
      <c r="AA262" s="1525"/>
      <c r="AB262" s="1525"/>
      <c r="AC262" s="1525"/>
      <c r="AD262" s="1525"/>
      <c r="AE262" s="1525"/>
      <c r="AH262" s="1537"/>
      <c r="AI262" s="1537"/>
      <c r="AJ262" s="1537"/>
      <c r="AK262" s="153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7">
        <v>9166385200</v>
      </c>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38" t="s">
        <v>2634</v>
      </c>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535</v>
      </c>
      <c r="N265" s="1371"/>
      <c r="O265" s="1371"/>
      <c r="P265" s="1371"/>
      <c r="Q265" s="1371"/>
      <c r="R265" s="1371"/>
      <c r="S265" s="1371"/>
      <c r="T265" s="1371"/>
      <c r="U265" s="204" t="s">
        <v>907</v>
      </c>
      <c r="V265" s="204"/>
      <c r="W265" s="204"/>
      <c r="X265" s="204"/>
      <c r="Y265" s="204"/>
      <c r="Z265" s="204"/>
      <c r="AA265" s="1573"/>
      <c r="AB265" s="1573"/>
      <c r="AC265" s="1573"/>
      <c r="AD265" s="1573"/>
      <c r="AE265" s="1573"/>
      <c r="AF265" s="1573"/>
      <c r="AG265" s="1573"/>
      <c r="AH265" s="1573"/>
      <c r="AI265" s="1573"/>
      <c r="AJ265" s="1573"/>
      <c r="AK265" s="1573"/>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66" t="str">
        <f>IFERROR(BO245,"")</f>
        <v>Joint Venture</v>
      </c>
      <c r="U267" s="1566"/>
      <c r="V267" s="1566"/>
      <c r="W267" s="1566"/>
      <c r="X267" s="1566"/>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5" t="s">
        <v>173</v>
      </c>
      <c r="E270" s="1525"/>
      <c r="F270" s="1525"/>
      <c r="G270" s="1525"/>
      <c r="H270" s="1525"/>
      <c r="J270" t="s">
        <v>279</v>
      </c>
      <c r="X270" s="1506"/>
      <c r="Y270" s="1506"/>
      <c r="Z270" s="1506"/>
      <c r="AA270" s="1506"/>
      <c r="AB270" s="1506"/>
      <c r="AC270" s="1506"/>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41" t="s">
        <v>2637</v>
      </c>
      <c r="M274" s="1541"/>
      <c r="N274" s="1541"/>
      <c r="O274" s="1541"/>
      <c r="P274" s="1541"/>
      <c r="Q274" s="1541"/>
      <c r="R274" s="1541"/>
      <c r="S274" s="1541"/>
      <c r="T274" s="1541"/>
      <c r="U274" s="1541"/>
      <c r="V274" s="1541"/>
      <c r="W274" s="1541"/>
      <c r="X274" s="1541"/>
      <c r="Y274" s="1541"/>
      <c r="Z274" s="1541"/>
      <c r="AA274" s="1541"/>
      <c r="AB274" s="1541"/>
      <c r="AC274" s="1541"/>
      <c r="AD274" s="1541"/>
      <c r="AE274" s="1541"/>
      <c r="AF274" s="1541"/>
      <c r="AG274" s="1541"/>
      <c r="AH274" s="1541"/>
      <c r="AI274" s="1541"/>
      <c r="AJ274" s="154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2" t="s">
        <v>2630</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581</v>
      </c>
      <c r="E276" s="4"/>
      <c r="L276" s="1522" t="s">
        <v>68</v>
      </c>
      <c r="M276" s="1525"/>
      <c r="N276" s="1525"/>
      <c r="O276" s="1525"/>
      <c r="P276" s="1525"/>
      <c r="Q276" s="1525"/>
      <c r="R276" s="1525"/>
      <c r="S276" s="1525"/>
      <c r="U276" s="33" t="s">
        <v>86</v>
      </c>
      <c r="V276" s="1543" t="s">
        <v>2625</v>
      </c>
      <c r="W276" s="1471"/>
      <c r="X276" s="4" t="s">
        <v>584</v>
      </c>
      <c r="AB276" s="1525">
        <v>95811</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2" t="s">
        <v>2626</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487">
        <v>9164002077</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5" customHeight="1">
      <c r="D279" s="4" t="s">
        <v>90</v>
      </c>
      <c r="E279" s="4"/>
      <c r="F279" s="4"/>
      <c r="L279" s="1538" t="s">
        <v>2627</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row>
    <row r="280" spans="1:51" ht="12.95" customHeight="1">
      <c r="D280" s="3" t="s">
        <v>624</v>
      </c>
      <c r="E280" s="3"/>
      <c r="F280" s="3"/>
      <c r="G280" s="3"/>
      <c r="H280" s="3"/>
      <c r="I280" s="3"/>
      <c r="L280" s="1543" t="s">
        <v>2638</v>
      </c>
      <c r="M280" s="1543"/>
      <c r="N280" s="1543"/>
      <c r="O280" s="1543"/>
      <c r="P280" s="1543"/>
      <c r="Q280" s="1543"/>
      <c r="R280" s="1543"/>
      <c r="S280" s="1543"/>
      <c r="T280" s="1543"/>
      <c r="U280" s="1543"/>
      <c r="V280" s="1543"/>
      <c r="W280" s="1543"/>
      <c r="X280" s="1543"/>
      <c r="Y280" s="1543"/>
      <c r="Z280" s="1543"/>
      <c r="AA280" s="1543"/>
      <c r="AB280" s="1543"/>
      <c r="AC280" s="1543"/>
      <c r="AD280" s="1543"/>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3" t="s">
        <v>542</v>
      </c>
      <c r="B282" s="1533"/>
      <c r="C282" s="1533"/>
      <c r="D282" s="1533"/>
      <c r="E282" s="1533"/>
      <c r="F282" s="1533"/>
      <c r="G282" s="1533"/>
      <c r="H282" s="1533"/>
      <c r="I282" s="1533"/>
      <c r="J282" s="1533"/>
      <c r="K282" s="1533"/>
      <c r="L282" s="1533"/>
      <c r="M282" s="1533"/>
      <c r="N282" s="1533"/>
      <c r="O282" s="1533"/>
      <c r="P282" s="1533"/>
      <c r="Q282" s="1533"/>
      <c r="R282" s="1533"/>
      <c r="S282" s="1533"/>
      <c r="T282" s="1533"/>
      <c r="U282" s="1533"/>
      <c r="V282" s="1533"/>
      <c r="W282" s="1533"/>
      <c r="X282" s="1533"/>
      <c r="Y282" s="1533"/>
      <c r="Z282" s="1533"/>
      <c r="AA282" s="1533"/>
      <c r="AB282" s="1533"/>
      <c r="AC282" s="1533"/>
      <c r="AD282" s="1533"/>
      <c r="AE282" s="1533"/>
      <c r="AF282" s="1533"/>
      <c r="AG282" s="1533"/>
      <c r="AH282" s="1533"/>
      <c r="AI282" s="1533"/>
      <c r="AJ282" s="1533"/>
      <c r="AK282" s="1533"/>
      <c r="AL282" s="1533"/>
      <c r="AM282" s="1533"/>
      <c r="AN282" s="1533"/>
      <c r="AO282" s="1533"/>
      <c r="AP282" s="1533"/>
      <c r="AQ282" s="1533"/>
      <c r="AR282" s="1533"/>
      <c r="AS282" s="1533"/>
      <c r="AT282" s="1533"/>
      <c r="AU282" s="95"/>
      <c r="AV282" s="95"/>
      <c r="AW282" s="95"/>
      <c r="AX282" s="95"/>
      <c r="AY282" s="95"/>
    </row>
    <row r="283" spans="1:51" ht="12.95" customHeight="1">
      <c r="A283" s="1533"/>
      <c r="B283" s="1533"/>
      <c r="C283" s="1533"/>
      <c r="D283" s="1533"/>
      <c r="E283" s="1533"/>
      <c r="F283" s="1533"/>
      <c r="G283" s="1533"/>
      <c r="H283" s="1533"/>
      <c r="I283" s="1533"/>
      <c r="J283" s="1533"/>
      <c r="K283" s="1533"/>
      <c r="L283" s="1533"/>
      <c r="M283" s="1533"/>
      <c r="N283" s="1533"/>
      <c r="O283" s="1533"/>
      <c r="P283" s="1533"/>
      <c r="Q283" s="1533"/>
      <c r="R283" s="1533"/>
      <c r="S283" s="1533"/>
      <c r="T283" s="1533"/>
      <c r="U283" s="1533"/>
      <c r="V283" s="1533"/>
      <c r="W283" s="1533"/>
      <c r="X283" s="1533"/>
      <c r="Y283" s="1533"/>
      <c r="Z283" s="1533"/>
      <c r="AA283" s="1533"/>
      <c r="AB283" s="1533"/>
      <c r="AC283" s="1533"/>
      <c r="AD283" s="1533"/>
      <c r="AE283" s="1533"/>
      <c r="AF283" s="1533"/>
      <c r="AG283" s="1533"/>
      <c r="AH283" s="1533"/>
      <c r="AI283" s="1533"/>
      <c r="AJ283" s="1533"/>
      <c r="AK283" s="1533"/>
      <c r="AL283" s="1533"/>
      <c r="AM283" s="1533"/>
      <c r="AN283" s="1533"/>
      <c r="AO283" s="1533"/>
      <c r="AP283" s="1533"/>
      <c r="AQ283" s="1533"/>
      <c r="AR283" s="1533"/>
      <c r="AS283" s="1533"/>
      <c r="AT283" s="153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2637</v>
      </c>
      <c r="I287" s="1407"/>
      <c r="J287" s="1407"/>
      <c r="K287" s="1407"/>
      <c r="L287" s="1407"/>
      <c r="M287" s="1407"/>
      <c r="N287" s="1407"/>
      <c r="O287" s="1407"/>
      <c r="P287" s="1407"/>
      <c r="Q287" s="1407"/>
      <c r="R287" s="1407"/>
      <c r="T287" s="3" t="s">
        <v>568</v>
      </c>
      <c r="V287" s="3"/>
      <c r="W287" s="3"/>
      <c r="X287" s="3"/>
      <c r="Y287" s="3"/>
      <c r="AA287" s="1407" t="s">
        <v>2642</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2630</v>
      </c>
      <c r="I288" s="1371"/>
      <c r="J288" s="1371"/>
      <c r="K288" s="1371"/>
      <c r="L288" s="1371"/>
      <c r="M288" s="1371"/>
      <c r="N288" s="1371"/>
      <c r="O288" s="1371"/>
      <c r="P288" s="1371"/>
      <c r="Q288" s="1371"/>
      <c r="R288" s="1371"/>
      <c r="T288" s="3" t="s">
        <v>472</v>
      </c>
      <c r="V288" s="3"/>
      <c r="W288" s="3"/>
      <c r="X288" s="3"/>
      <c r="Y288" s="3"/>
      <c r="AA288" s="1371" t="s">
        <v>2643</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2639</v>
      </c>
      <c r="I289" s="1371"/>
      <c r="J289" s="1371"/>
      <c r="K289" s="1371"/>
      <c r="L289" s="1371"/>
      <c r="M289" s="1371"/>
      <c r="N289" s="1371"/>
      <c r="O289" s="1371"/>
      <c r="P289" s="1371"/>
      <c r="Q289" s="1371"/>
      <c r="R289" s="1371"/>
      <c r="T289" s="3" t="s">
        <v>75</v>
      </c>
      <c r="V289" s="3"/>
      <c r="W289" s="3"/>
      <c r="X289" s="3"/>
      <c r="Y289" s="3"/>
      <c r="AA289" s="1371" t="s">
        <v>2639</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2626</v>
      </c>
      <c r="I290" s="1371"/>
      <c r="J290" s="1371"/>
      <c r="K290" s="1371"/>
      <c r="L290" s="1371"/>
      <c r="M290" s="1371"/>
      <c r="N290" s="1371"/>
      <c r="O290" s="1371"/>
      <c r="P290" s="1371"/>
      <c r="Q290" s="1371"/>
      <c r="R290" s="1371"/>
      <c r="T290" s="3" t="s">
        <v>87</v>
      </c>
      <c r="V290" s="3"/>
      <c r="W290" s="3"/>
      <c r="X290" s="3"/>
      <c r="Y290" s="3"/>
      <c r="AA290" s="1371" t="s">
        <v>2644</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2" t="s">
        <v>2640</v>
      </c>
      <c r="I291" s="1542"/>
      <c r="J291" s="1542"/>
      <c r="K291" s="1542"/>
      <c r="L291" s="1542"/>
      <c r="M291" s="1542"/>
      <c r="N291" s="4" t="s">
        <v>206</v>
      </c>
      <c r="O291" s="4"/>
      <c r="P291" s="1525"/>
      <c r="Q291" s="1525"/>
      <c r="R291" s="1525"/>
      <c r="S291" s="3"/>
      <c r="T291" s="3" t="s">
        <v>88</v>
      </c>
      <c r="V291" s="3"/>
      <c r="W291" s="3"/>
      <c r="X291" s="3"/>
      <c r="Y291" s="3"/>
      <c r="AA291" s="1542">
        <v>9164446962</v>
      </c>
      <c r="AB291" s="1542"/>
      <c r="AC291" s="1542"/>
      <c r="AD291" s="1542"/>
      <c r="AE291" s="1542"/>
      <c r="AF291" s="1542"/>
      <c r="AG291" s="4" t="s">
        <v>206</v>
      </c>
      <c r="AH291" s="4"/>
      <c r="AI291" s="1525"/>
      <c r="AJ291" s="1525"/>
      <c r="AK291" s="1525"/>
    </row>
    <row r="292" spans="2:37" ht="12.95" customHeight="1">
      <c r="B292" s="3" t="s">
        <v>89</v>
      </c>
      <c r="C292" s="3"/>
      <c r="D292" s="3"/>
      <c r="E292" s="3"/>
      <c r="F292" s="3"/>
      <c r="G292" s="3"/>
      <c r="H292" s="1487" t="s">
        <v>2641</v>
      </c>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2627</v>
      </c>
      <c r="I293" s="1371"/>
      <c r="J293" s="1371"/>
      <c r="K293" s="1371"/>
      <c r="L293" s="1371"/>
      <c r="M293" s="1371"/>
      <c r="N293" s="1407"/>
      <c r="O293" s="1407"/>
      <c r="P293" s="1407"/>
      <c r="Q293" s="1407"/>
      <c r="R293" s="1407"/>
      <c r="S293" s="3"/>
      <c r="T293" s="3" t="s">
        <v>76</v>
      </c>
      <c r="V293" s="3"/>
      <c r="W293" s="3"/>
      <c r="X293" s="3"/>
      <c r="Y293" s="3"/>
      <c r="AA293" s="1371" t="s">
        <v>2645</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2646</v>
      </c>
      <c r="I295" s="1407"/>
      <c r="J295" s="1407"/>
      <c r="K295" s="1407"/>
      <c r="L295" s="1407"/>
      <c r="M295" s="1407"/>
      <c r="N295" s="1407"/>
      <c r="O295" s="1407"/>
      <c r="P295" s="1407"/>
      <c r="Q295" s="1407"/>
      <c r="R295" s="1407"/>
      <c r="T295" s="3" t="s">
        <v>364</v>
      </c>
      <c r="V295" s="3"/>
      <c r="W295" s="3"/>
      <c r="X295" s="3"/>
      <c r="Y295" s="3"/>
      <c r="AA295" s="1407" t="s">
        <v>2651</v>
      </c>
      <c r="AB295" s="1407"/>
      <c r="AC295" s="1407"/>
      <c r="AD295" s="1407"/>
      <c r="AE295" s="1407"/>
      <c r="AF295" s="1407"/>
      <c r="AG295" s="1407"/>
      <c r="AH295" s="1407"/>
      <c r="AI295" s="1407"/>
      <c r="AJ295" s="1407"/>
      <c r="AK295" s="1407"/>
    </row>
    <row r="296" spans="2:37" ht="12.95" customHeight="1">
      <c r="B296" s="3" t="s">
        <v>472</v>
      </c>
      <c r="C296" s="3"/>
      <c r="D296" s="3"/>
      <c r="E296" s="3"/>
      <c r="F296" s="3"/>
      <c r="H296" s="1371" t="s">
        <v>2647</v>
      </c>
      <c r="I296" s="1371"/>
      <c r="J296" s="1371"/>
      <c r="K296" s="1371"/>
      <c r="L296" s="1371"/>
      <c r="M296" s="1371"/>
      <c r="N296" s="1371"/>
      <c r="O296" s="1371"/>
      <c r="P296" s="1371"/>
      <c r="Q296" s="1371"/>
      <c r="R296" s="1371"/>
      <c r="T296" s="3" t="s">
        <v>472</v>
      </c>
      <c r="V296" s="3"/>
      <c r="W296" s="3"/>
      <c r="X296" s="3"/>
      <c r="Y296" s="3"/>
      <c r="AA296" s="1371" t="s">
        <v>2630</v>
      </c>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2648</v>
      </c>
      <c r="I297" s="1371"/>
      <c r="J297" s="1371"/>
      <c r="K297" s="1371"/>
      <c r="L297" s="1371"/>
      <c r="M297" s="1371"/>
      <c r="N297" s="1371"/>
      <c r="O297" s="1371"/>
      <c r="P297" s="1371"/>
      <c r="Q297" s="1371"/>
      <c r="R297" s="1371"/>
      <c r="T297" s="3" t="s">
        <v>75</v>
      </c>
      <c r="V297" s="3"/>
      <c r="W297" s="3"/>
      <c r="X297" s="3"/>
      <c r="Y297" s="3"/>
      <c r="AA297" s="1371" t="s">
        <v>2639</v>
      </c>
      <c r="AB297" s="1371"/>
      <c r="AC297" s="1371"/>
      <c r="AD297" s="1371"/>
      <c r="AE297" s="1371"/>
      <c r="AF297" s="1371"/>
      <c r="AG297" s="1371"/>
      <c r="AH297" s="1371"/>
      <c r="AI297" s="1371"/>
      <c r="AJ297" s="1371"/>
      <c r="AK297" s="1371"/>
    </row>
    <row r="298" spans="2:37" ht="12.95" customHeight="1">
      <c r="B298" s="3" t="s">
        <v>87</v>
      </c>
      <c r="C298" s="3"/>
      <c r="D298" s="3"/>
      <c r="E298" s="3"/>
      <c r="F298" s="3"/>
      <c r="H298" s="1371" t="s">
        <v>2649</v>
      </c>
      <c r="I298" s="1371"/>
      <c r="J298" s="1371"/>
      <c r="K298" s="1371"/>
      <c r="L298" s="1371"/>
      <c r="M298" s="1371"/>
      <c r="N298" s="1371"/>
      <c r="O298" s="1371"/>
      <c r="P298" s="1371"/>
      <c r="Q298" s="1371"/>
      <c r="R298" s="1371"/>
      <c r="T298" s="3" t="s">
        <v>87</v>
      </c>
      <c r="V298" s="3"/>
      <c r="W298" s="3"/>
      <c r="X298" s="3"/>
      <c r="Y298" s="3"/>
      <c r="AA298" s="1371" t="s">
        <v>2652</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2">
        <v>4152625165</v>
      </c>
      <c r="I299" s="1542"/>
      <c r="J299" s="1542"/>
      <c r="K299" s="1542"/>
      <c r="L299" s="1542"/>
      <c r="M299" s="1542"/>
      <c r="N299" s="4" t="s">
        <v>206</v>
      </c>
      <c r="O299" s="4"/>
      <c r="P299" s="1525"/>
      <c r="Q299" s="1525"/>
      <c r="R299" s="1525"/>
      <c r="S299" s="3"/>
      <c r="T299" s="3" t="s">
        <v>88</v>
      </c>
      <c r="V299" s="3"/>
      <c r="W299" s="3"/>
      <c r="X299" s="3"/>
      <c r="Y299" s="3"/>
      <c r="AA299" s="1542">
        <v>9166697907</v>
      </c>
      <c r="AB299" s="1542"/>
      <c r="AC299" s="1542"/>
      <c r="AD299" s="1542"/>
      <c r="AE299" s="1542"/>
      <c r="AF299" s="1542"/>
      <c r="AG299" s="4" t="s">
        <v>206</v>
      </c>
      <c r="AH299" s="4"/>
      <c r="AI299" s="1525"/>
      <c r="AJ299" s="1525"/>
      <c r="AK299" s="1525"/>
    </row>
    <row r="300" spans="2:37" ht="12.95" customHeight="1">
      <c r="B300" s="3" t="s">
        <v>89</v>
      </c>
      <c r="C300" s="3"/>
      <c r="D300" s="3"/>
      <c r="E300" s="3"/>
      <c r="F300" s="3"/>
      <c r="G300" s="3"/>
      <c r="H300" s="1487">
        <v>4152625199</v>
      </c>
      <c r="I300" s="1487"/>
      <c r="J300" s="1487"/>
      <c r="K300" s="1487"/>
      <c r="L300" s="1487"/>
      <c r="M300" s="1487"/>
      <c r="N300" s="4"/>
      <c r="O300" s="4"/>
      <c r="P300" s="35"/>
      <c r="Q300" s="35"/>
      <c r="R300" s="35"/>
      <c r="S300" s="3"/>
      <c r="T300" s="3" t="s">
        <v>89</v>
      </c>
      <c r="V300" s="3"/>
      <c r="W300" s="3"/>
      <c r="X300" s="3"/>
      <c r="Y300" s="3"/>
      <c r="AA300" s="1487">
        <v>9164449843</v>
      </c>
      <c r="AB300" s="1487"/>
      <c r="AC300" s="1487"/>
      <c r="AD300" s="1487"/>
      <c r="AE300" s="1487"/>
      <c r="AF300" s="1487"/>
      <c r="AG300" s="4"/>
      <c r="AH300" s="4"/>
      <c r="AI300" s="35"/>
      <c r="AJ300" s="35"/>
      <c r="AK300" s="35"/>
    </row>
    <row r="301" spans="2:37" ht="12.95" customHeight="1">
      <c r="B301" s="3" t="s">
        <v>76</v>
      </c>
      <c r="C301" s="3"/>
      <c r="D301" s="3"/>
      <c r="E301" s="3"/>
      <c r="F301" s="3"/>
      <c r="G301" s="3"/>
      <c r="H301" s="1371" t="s">
        <v>2650</v>
      </c>
      <c r="I301" s="1371"/>
      <c r="J301" s="1371"/>
      <c r="K301" s="1371"/>
      <c r="L301" s="1371"/>
      <c r="M301" s="1371"/>
      <c r="N301" s="1407"/>
      <c r="O301" s="1407"/>
      <c r="P301" s="1407"/>
      <c r="Q301" s="1407"/>
      <c r="R301" s="1407"/>
      <c r="S301" s="3"/>
      <c r="T301" s="3" t="s">
        <v>76</v>
      </c>
      <c r="V301" s="3"/>
      <c r="W301" s="3"/>
      <c r="X301" s="3"/>
      <c r="Y301" s="3"/>
      <c r="AA301" s="1371" t="s">
        <v>2653</v>
      </c>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2654</v>
      </c>
      <c r="I303" s="1407"/>
      <c r="J303" s="1407"/>
      <c r="K303" s="1407"/>
      <c r="L303" s="1407"/>
      <c r="M303" s="1407"/>
      <c r="N303" s="1407"/>
      <c r="O303" s="1407"/>
      <c r="P303" s="1407"/>
      <c r="Q303" s="1407"/>
      <c r="R303" s="1407"/>
      <c r="T303" s="4" t="s">
        <v>879</v>
      </c>
      <c r="V303" s="3"/>
      <c r="W303" s="3"/>
      <c r="X303" s="3"/>
      <c r="Y303" s="3"/>
      <c r="AA303" s="1407" t="s">
        <v>2658</v>
      </c>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2655</v>
      </c>
      <c r="I304" s="1371"/>
      <c r="J304" s="1371"/>
      <c r="K304" s="1371"/>
      <c r="L304" s="1371"/>
      <c r="M304" s="1371"/>
      <c r="N304" s="1371"/>
      <c r="O304" s="1371"/>
      <c r="P304" s="1371"/>
      <c r="Q304" s="1371"/>
      <c r="R304" s="1371"/>
      <c r="T304" s="3" t="s">
        <v>472</v>
      </c>
      <c r="V304" s="3"/>
      <c r="W304" s="3"/>
      <c r="X304" s="3"/>
      <c r="Y304" s="3"/>
      <c r="AA304" s="1371" t="s">
        <v>2659</v>
      </c>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2648</v>
      </c>
      <c r="I305" s="1371"/>
      <c r="J305" s="1371"/>
      <c r="K305" s="1371"/>
      <c r="L305" s="1371"/>
      <c r="M305" s="1371"/>
      <c r="N305" s="1371"/>
      <c r="O305" s="1371"/>
      <c r="P305" s="1371"/>
      <c r="Q305" s="1371"/>
      <c r="R305" s="1371"/>
      <c r="T305" s="3" t="s">
        <v>75</v>
      </c>
      <c r="V305" s="3"/>
      <c r="W305" s="3"/>
      <c r="X305" s="3"/>
      <c r="Y305" s="3"/>
      <c r="AA305" s="1371" t="s">
        <v>2660</v>
      </c>
      <c r="AB305" s="1371"/>
      <c r="AC305" s="1371"/>
      <c r="AD305" s="1371"/>
      <c r="AE305" s="1371"/>
      <c r="AF305" s="1371"/>
      <c r="AG305" s="1371"/>
      <c r="AH305" s="1371"/>
      <c r="AI305" s="1371"/>
      <c r="AJ305" s="1371"/>
      <c r="AK305" s="1371"/>
    </row>
    <row r="306" spans="2:37" ht="12.95" customHeight="1">
      <c r="B306" s="3" t="s">
        <v>87</v>
      </c>
      <c r="C306" s="3"/>
      <c r="D306" s="3"/>
      <c r="E306" s="3"/>
      <c r="F306" s="3"/>
      <c r="H306" s="1371" t="s">
        <v>2656</v>
      </c>
      <c r="I306" s="1371"/>
      <c r="J306" s="1371"/>
      <c r="K306" s="1371"/>
      <c r="L306" s="1371"/>
      <c r="M306" s="1371"/>
      <c r="N306" s="1371"/>
      <c r="O306" s="1371"/>
      <c r="P306" s="1371"/>
      <c r="Q306" s="1371"/>
      <c r="R306" s="1371"/>
      <c r="T306" s="3" t="s">
        <v>87</v>
      </c>
      <c r="V306" s="3"/>
      <c r="W306" s="3"/>
      <c r="X306" s="3"/>
      <c r="Y306" s="3"/>
      <c r="AA306" s="1371" t="s">
        <v>2661</v>
      </c>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2">
        <v>4153567906</v>
      </c>
      <c r="I307" s="1542"/>
      <c r="J307" s="1542"/>
      <c r="K307" s="1542"/>
      <c r="L307" s="1542"/>
      <c r="M307" s="1542"/>
      <c r="N307" s="4" t="s">
        <v>206</v>
      </c>
      <c r="O307" s="4"/>
      <c r="P307" s="1525"/>
      <c r="Q307" s="1525"/>
      <c r="R307" s="1525"/>
      <c r="S307" s="3"/>
      <c r="T307" s="3" t="s">
        <v>88</v>
      </c>
      <c r="V307" s="3"/>
      <c r="W307" s="3"/>
      <c r="X307" s="3"/>
      <c r="Y307" s="3"/>
      <c r="AA307" s="1542">
        <v>9169335791</v>
      </c>
      <c r="AB307" s="1542"/>
      <c r="AC307" s="1542"/>
      <c r="AD307" s="1542"/>
      <c r="AE307" s="1542"/>
      <c r="AF307" s="1542"/>
      <c r="AG307" s="4" t="s">
        <v>206</v>
      </c>
      <c r="AH307" s="4"/>
      <c r="AI307" s="1525"/>
      <c r="AJ307" s="1525"/>
      <c r="AK307" s="1525"/>
    </row>
    <row r="308" spans="2:37" ht="12.9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t="s">
        <v>2657</v>
      </c>
      <c r="I309" s="1371"/>
      <c r="J309" s="1371"/>
      <c r="K309" s="1371"/>
      <c r="L309" s="1371"/>
      <c r="M309" s="1371"/>
      <c r="N309" s="1407"/>
      <c r="O309" s="1407"/>
      <c r="P309" s="1407"/>
      <c r="Q309" s="1407"/>
      <c r="R309" s="1407"/>
      <c r="S309" s="3"/>
      <c r="T309" s="3" t="s">
        <v>76</v>
      </c>
      <c r="V309" s="3"/>
      <c r="W309" s="3"/>
      <c r="X309" s="3"/>
      <c r="Y309" s="3"/>
      <c r="AA309" s="1371" t="s">
        <v>2662</v>
      </c>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t="s">
        <v>2654</v>
      </c>
      <c r="I311" s="1407"/>
      <c r="J311" s="1407"/>
      <c r="K311" s="1407"/>
      <c r="L311" s="1407"/>
      <c r="M311" s="1407"/>
      <c r="N311" s="1407"/>
      <c r="O311" s="1407"/>
      <c r="P311" s="1407"/>
      <c r="Q311" s="1407"/>
      <c r="R311" s="1407"/>
      <c r="S311" s="3"/>
      <c r="T311" s="3" t="s">
        <v>365</v>
      </c>
      <c r="V311" s="3"/>
      <c r="W311" s="3"/>
      <c r="X311" s="3"/>
      <c r="Y311" s="3"/>
      <c r="AA311" s="1407" t="s">
        <v>2663</v>
      </c>
      <c r="AB311" s="1407"/>
      <c r="AC311" s="1407"/>
      <c r="AD311" s="1407"/>
      <c r="AE311" s="1407"/>
      <c r="AF311" s="1407"/>
      <c r="AG311" s="1407"/>
      <c r="AH311" s="1407"/>
      <c r="AI311" s="1407"/>
      <c r="AJ311" s="1407"/>
      <c r="AK311" s="1407"/>
    </row>
    <row r="312" spans="2:37" ht="12.95" customHeight="1">
      <c r="B312" s="3" t="s">
        <v>472</v>
      </c>
      <c r="C312" s="3"/>
      <c r="D312" s="3"/>
      <c r="E312" s="3"/>
      <c r="F312" s="3"/>
      <c r="H312" s="1371" t="s">
        <v>2655</v>
      </c>
      <c r="I312" s="1371"/>
      <c r="J312" s="1371"/>
      <c r="K312" s="1371"/>
      <c r="L312" s="1371"/>
      <c r="M312" s="1371"/>
      <c r="N312" s="1371"/>
      <c r="O312" s="1371"/>
      <c r="P312" s="1371"/>
      <c r="Q312" s="1371"/>
      <c r="R312" s="1371"/>
      <c r="S312" s="3"/>
      <c r="T312" s="3" t="s">
        <v>472</v>
      </c>
      <c r="V312" s="3"/>
      <c r="W312" s="3"/>
      <c r="X312" s="3"/>
      <c r="Y312" s="3"/>
      <c r="AA312" s="1371" t="s">
        <v>2664</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2648</v>
      </c>
      <c r="I313" s="1371"/>
      <c r="J313" s="1371"/>
      <c r="K313" s="1371"/>
      <c r="L313" s="1371"/>
      <c r="M313" s="1371"/>
      <c r="N313" s="1371"/>
      <c r="O313" s="1371"/>
      <c r="P313" s="1371"/>
      <c r="Q313" s="1371"/>
      <c r="R313" s="1371"/>
      <c r="S313" s="3"/>
      <c r="T313" s="3" t="s">
        <v>75</v>
      </c>
      <c r="V313" s="3"/>
      <c r="W313" s="3"/>
      <c r="X313" s="3"/>
      <c r="Y313" s="3"/>
      <c r="AA313" s="1371" t="s">
        <v>2665</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2656</v>
      </c>
      <c r="I314" s="1371"/>
      <c r="J314" s="1371"/>
      <c r="K314" s="1371"/>
      <c r="L314" s="1371"/>
      <c r="M314" s="1371"/>
      <c r="N314" s="1371"/>
      <c r="O314" s="1371"/>
      <c r="P314" s="1371"/>
      <c r="Q314" s="1371"/>
      <c r="R314" s="1371"/>
      <c r="S314" s="3"/>
      <c r="T314" s="3" t="s">
        <v>87</v>
      </c>
      <c r="V314" s="3"/>
      <c r="W314" s="3"/>
      <c r="X314" s="3"/>
      <c r="Y314" s="3"/>
      <c r="AA314" s="1371" t="s">
        <v>2666</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2">
        <v>4153567906</v>
      </c>
      <c r="I315" s="1542"/>
      <c r="J315" s="1542"/>
      <c r="K315" s="1542"/>
      <c r="L315" s="1542"/>
      <c r="M315" s="1542"/>
      <c r="N315" s="4" t="s">
        <v>206</v>
      </c>
      <c r="O315" s="4"/>
      <c r="P315" s="1525"/>
      <c r="Q315" s="1525"/>
      <c r="R315" s="1525"/>
      <c r="S315" s="3"/>
      <c r="T315" s="3" t="s">
        <v>88</v>
      </c>
      <c r="V315" s="3"/>
      <c r="W315" s="3"/>
      <c r="X315" s="3"/>
      <c r="Y315" s="3"/>
      <c r="AA315" s="1542" t="s">
        <v>2667</v>
      </c>
      <c r="AB315" s="1542"/>
      <c r="AC315" s="1542"/>
      <c r="AD315" s="1542"/>
      <c r="AE315" s="1542"/>
      <c r="AF315" s="1542"/>
      <c r="AG315" s="4" t="s">
        <v>206</v>
      </c>
      <c r="AH315" s="4"/>
      <c r="AI315" s="1525"/>
      <c r="AJ315" s="1525"/>
      <c r="AK315" s="1525"/>
    </row>
    <row r="316" spans="2:37" ht="12.9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t="s">
        <v>2657</v>
      </c>
      <c r="I317" s="1371"/>
      <c r="J317" s="1371"/>
      <c r="K317" s="1371"/>
      <c r="L317" s="1371"/>
      <c r="M317" s="1371"/>
      <c r="N317" s="1407"/>
      <c r="O317" s="1407"/>
      <c r="P317" s="1407"/>
      <c r="Q317" s="1407"/>
      <c r="R317" s="1407"/>
      <c r="S317" s="3"/>
      <c r="T317" s="3" t="s">
        <v>76</v>
      </c>
      <c r="V317" s="3"/>
      <c r="W317" s="3"/>
      <c r="X317" s="3"/>
      <c r="Y317" s="3"/>
      <c r="AA317" s="1371" t="s">
        <v>2668</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2669</v>
      </c>
      <c r="AB319" s="1407"/>
      <c r="AC319" s="1407"/>
      <c r="AD319" s="1407"/>
      <c r="AE319" s="1407"/>
      <c r="AF319" s="1407"/>
      <c r="AG319" s="1407"/>
      <c r="AH319" s="1407"/>
      <c r="AI319" s="1407"/>
      <c r="AJ319" s="1407"/>
      <c r="AK319" s="1407"/>
    </row>
    <row r="320" spans="2:37" ht="12.95"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2670</v>
      </c>
      <c r="AB320" s="1371"/>
      <c r="AC320" s="1371"/>
      <c r="AD320" s="1371"/>
      <c r="AE320" s="1371"/>
      <c r="AF320" s="1371"/>
      <c r="AG320" s="1371"/>
      <c r="AH320" s="1371"/>
      <c r="AI320" s="1371"/>
      <c r="AJ320" s="1371"/>
      <c r="AK320" s="1371"/>
    </row>
    <row r="321" spans="2:37" ht="12.95"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2671</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2672</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2"/>
      <c r="I323" s="1542"/>
      <c r="J323" s="1542"/>
      <c r="K323" s="1542"/>
      <c r="L323" s="1542"/>
      <c r="M323" s="1542"/>
      <c r="N323" s="4" t="s">
        <v>206</v>
      </c>
      <c r="O323" s="4"/>
      <c r="P323" s="1525"/>
      <c r="Q323" s="1525"/>
      <c r="R323" s="1525"/>
      <c r="S323" s="3"/>
      <c r="T323" s="3" t="s">
        <v>88</v>
      </c>
      <c r="V323" s="3"/>
      <c r="W323" s="3"/>
      <c r="X323" s="3"/>
      <c r="Y323" s="3"/>
      <c r="AA323" s="1542">
        <v>9163726100</v>
      </c>
      <c r="AB323" s="1542"/>
      <c r="AC323" s="1542"/>
      <c r="AD323" s="1542"/>
      <c r="AE323" s="1542"/>
      <c r="AF323" s="1542"/>
      <c r="AG323" s="4" t="s">
        <v>206</v>
      </c>
      <c r="AH323" s="4"/>
      <c r="AI323" s="1525"/>
      <c r="AJ323" s="1525"/>
      <c r="AK323" s="1525"/>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v>9164196108</v>
      </c>
      <c r="AB324" s="1487"/>
      <c r="AC324" s="1487"/>
      <c r="AD324" s="1487"/>
      <c r="AE324" s="1487"/>
      <c r="AF324" s="1487"/>
      <c r="AG324" s="4"/>
      <c r="AH324" s="4"/>
      <c r="AI324" s="35"/>
      <c r="AJ324" s="35"/>
      <c r="AK324" s="35"/>
    </row>
    <row r="325" spans="2:37" ht="12.9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2673</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5" customHeight="1">
      <c r="B328" s="3" t="s">
        <v>472</v>
      </c>
      <c r="C328" s="3"/>
      <c r="D328" s="3"/>
      <c r="E328" s="3"/>
      <c r="F328" s="3"/>
      <c r="H328" s="1371"/>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2"/>
      <c r="I331" s="1542"/>
      <c r="J331" s="1542"/>
      <c r="K331" s="1542"/>
      <c r="L331" s="1542"/>
      <c r="M331" s="1542"/>
      <c r="N331" s="4" t="s">
        <v>206</v>
      </c>
      <c r="O331" s="4"/>
      <c r="P331" s="1525"/>
      <c r="Q331" s="1525"/>
      <c r="R331" s="1525"/>
      <c r="S331" s="3"/>
      <c r="T331" s="3" t="s">
        <v>88</v>
      </c>
      <c r="V331" s="3"/>
      <c r="W331" s="3"/>
      <c r="X331" s="3"/>
      <c r="Y331" s="3"/>
      <c r="AA331" s="1542"/>
      <c r="AB331" s="1542"/>
      <c r="AC331" s="1542"/>
      <c r="AD331" s="1542"/>
      <c r="AE331" s="1542"/>
      <c r="AF331" s="1542"/>
      <c r="AG331" s="4" t="s">
        <v>206</v>
      </c>
      <c r="AH331" s="4"/>
      <c r="AI331" s="1525"/>
      <c r="AJ331" s="1525"/>
      <c r="AK331" s="1525"/>
    </row>
    <row r="332" spans="2:37" ht="12.9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2674</v>
      </c>
      <c r="I335" s="1407"/>
      <c r="J335" s="1407"/>
      <c r="K335" s="1407"/>
      <c r="L335" s="1407"/>
      <c r="M335" s="1407"/>
      <c r="N335" s="1407"/>
      <c r="O335" s="1407"/>
      <c r="P335" s="1407"/>
      <c r="Q335" s="1407"/>
      <c r="R335" s="1407"/>
      <c r="T335" s="204" t="s">
        <v>887</v>
      </c>
      <c r="V335" s="3"/>
      <c r="W335" s="3"/>
      <c r="X335" s="3"/>
      <c r="Y335" s="3"/>
      <c r="AA335" s="1407" t="s">
        <v>2679</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2675</v>
      </c>
      <c r="I336" s="1371"/>
      <c r="J336" s="1371"/>
      <c r="K336" s="1371"/>
      <c r="L336" s="1371"/>
      <c r="M336" s="1371"/>
      <c r="N336" s="1371"/>
      <c r="O336" s="1371"/>
      <c r="P336" s="1371"/>
      <c r="Q336" s="1371"/>
      <c r="R336" s="1371"/>
      <c r="T336" s="3" t="s">
        <v>472</v>
      </c>
      <c r="V336" s="3"/>
      <c r="W336" s="3"/>
      <c r="X336" s="3"/>
      <c r="Y336" s="3"/>
      <c r="AA336" s="1371" t="s">
        <v>2680</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2676</v>
      </c>
      <c r="I337" s="1371"/>
      <c r="J337" s="1371"/>
      <c r="K337" s="1371"/>
      <c r="L337" s="1371"/>
      <c r="M337" s="1371"/>
      <c r="N337" s="1371"/>
      <c r="O337" s="1371"/>
      <c r="P337" s="1371"/>
      <c r="Q337" s="1371"/>
      <c r="R337" s="1371"/>
      <c r="T337" s="3" t="s">
        <v>75</v>
      </c>
      <c r="V337" s="3"/>
      <c r="W337" s="3"/>
      <c r="X337" s="3"/>
      <c r="Y337" s="3"/>
      <c r="AA337" s="1371" t="s">
        <v>2639</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2677</v>
      </c>
      <c r="I338" s="1371"/>
      <c r="J338" s="1371"/>
      <c r="K338" s="1371"/>
      <c r="L338" s="1371"/>
      <c r="M338" s="1371"/>
      <c r="N338" s="1371"/>
      <c r="O338" s="1371"/>
      <c r="P338" s="1371"/>
      <c r="Q338" s="1371"/>
      <c r="R338" s="1371"/>
      <c r="T338" s="3" t="s">
        <v>87</v>
      </c>
      <c r="V338" s="3"/>
      <c r="W338" s="3"/>
      <c r="X338" s="3"/>
      <c r="Y338" s="3"/>
      <c r="AA338" s="1371" t="s">
        <v>2681</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2">
        <v>9252804394</v>
      </c>
      <c r="I339" s="1542"/>
      <c r="J339" s="1542"/>
      <c r="K339" s="1542"/>
      <c r="L339" s="1542"/>
      <c r="M339" s="1542"/>
      <c r="N339" s="4" t="s">
        <v>206</v>
      </c>
      <c r="O339" s="4"/>
      <c r="P339" s="1525"/>
      <c r="Q339" s="1525"/>
      <c r="R339" s="1525"/>
      <c r="S339" s="3"/>
      <c r="T339" s="3" t="s">
        <v>88</v>
      </c>
      <c r="V339" s="3"/>
      <c r="W339" s="3"/>
      <c r="X339" s="3"/>
      <c r="Y339" s="3"/>
      <c r="AA339" s="1542">
        <v>9164713003</v>
      </c>
      <c r="AB339" s="1542"/>
      <c r="AC339" s="1542"/>
      <c r="AD339" s="1542"/>
      <c r="AE339" s="1542"/>
      <c r="AF339" s="1542"/>
      <c r="AG339" s="4" t="s">
        <v>206</v>
      </c>
      <c r="AH339" s="4"/>
      <c r="AI339" s="1525"/>
      <c r="AJ339" s="1525"/>
      <c r="AK339" s="1525"/>
    </row>
    <row r="340" spans="1:66" ht="12.95" customHeight="1">
      <c r="B340" s="3" t="s">
        <v>89</v>
      </c>
      <c r="C340" s="3"/>
      <c r="D340" s="3"/>
      <c r="E340" s="3"/>
      <c r="F340" s="3"/>
      <c r="G340" s="3"/>
      <c r="H340" s="1487"/>
      <c r="I340" s="1487"/>
      <c r="J340" s="1487"/>
      <c r="K340" s="1487"/>
      <c r="L340" s="1487"/>
      <c r="M340" s="1487"/>
      <c r="N340" s="4"/>
      <c r="O340" s="4"/>
      <c r="P340" s="35"/>
      <c r="Q340" s="35"/>
      <c r="R340" s="35"/>
      <c r="S340" s="3"/>
      <c r="T340" s="3" t="s">
        <v>89</v>
      </c>
      <c r="V340" s="3"/>
      <c r="W340" s="3"/>
      <c r="X340" s="3"/>
      <c r="Y340" s="3"/>
      <c r="AA340" s="1487">
        <v>9164449843</v>
      </c>
      <c r="AB340" s="1487"/>
      <c r="AC340" s="1487"/>
      <c r="AD340" s="1487"/>
      <c r="AE340" s="1487"/>
      <c r="AF340" s="1487"/>
      <c r="AG340" s="4"/>
      <c r="AH340" s="4"/>
      <c r="AI340" s="35"/>
      <c r="AJ340" s="35"/>
      <c r="AK340" s="35"/>
    </row>
    <row r="341" spans="1:66" ht="12.95" customHeight="1">
      <c r="B341" s="3" t="s">
        <v>76</v>
      </c>
      <c r="C341" s="3"/>
      <c r="D341" s="3"/>
      <c r="E341" s="3"/>
      <c r="F341" s="3"/>
      <c r="G341" s="3"/>
      <c r="H341" s="1371" t="s">
        <v>2678</v>
      </c>
      <c r="I341" s="1371"/>
      <c r="J341" s="1371"/>
      <c r="K341" s="1371"/>
      <c r="L341" s="1371"/>
      <c r="M341" s="1371"/>
      <c r="N341" s="1407"/>
      <c r="O341" s="1407"/>
      <c r="P341" s="1407"/>
      <c r="Q341" s="1407"/>
      <c r="R341" s="1407"/>
      <c r="S341" s="3"/>
      <c r="T341" s="3" t="s">
        <v>76</v>
      </c>
      <c r="V341" s="3"/>
      <c r="W341" s="3"/>
      <c r="X341" s="3"/>
      <c r="Y341" s="3"/>
      <c r="AA341" s="1371" t="s">
        <v>2682</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3" t="s">
        <v>543</v>
      </c>
      <c r="B351" s="1533"/>
      <c r="C351" s="1533"/>
      <c r="D351" s="1533"/>
      <c r="E351" s="1533"/>
      <c r="F351" s="1533"/>
      <c r="G351" s="1533"/>
      <c r="H351" s="1533"/>
      <c r="I351" s="1533"/>
      <c r="J351" s="1533"/>
      <c r="K351" s="1533"/>
      <c r="L351" s="1533"/>
      <c r="M351" s="1533"/>
      <c r="N351" s="1533"/>
      <c r="O351" s="1533"/>
      <c r="P351" s="1533"/>
      <c r="Q351" s="1533"/>
      <c r="R351" s="1533"/>
      <c r="S351" s="1533"/>
      <c r="T351" s="1533"/>
      <c r="U351" s="1533"/>
      <c r="V351" s="1533"/>
      <c r="W351" s="1533"/>
      <c r="X351" s="1533"/>
      <c r="Y351" s="1533"/>
      <c r="Z351" s="1533"/>
      <c r="AA351" s="1533"/>
      <c r="AB351" s="1533"/>
      <c r="AC351" s="1533"/>
      <c r="AD351" s="1533"/>
      <c r="AE351" s="1533"/>
      <c r="AF351" s="1533"/>
      <c r="AG351" s="1533"/>
      <c r="AH351" s="1533"/>
      <c r="AI351" s="1533"/>
      <c r="AJ351" s="1533"/>
      <c r="AK351" s="1533"/>
      <c r="AL351" s="1533"/>
      <c r="AM351" s="1533"/>
      <c r="AN351" s="1533"/>
      <c r="AO351" s="1533"/>
      <c r="AP351" s="1533"/>
      <c r="AQ351" s="1533"/>
      <c r="AR351" s="1533"/>
      <c r="AS351" s="1533"/>
      <c r="AT351" s="1533"/>
      <c r="AU351" s="95"/>
      <c r="AV351" s="95"/>
      <c r="AW351" s="95"/>
      <c r="AX351" s="95"/>
      <c r="AY351" s="95"/>
    </row>
    <row r="352" spans="1:66" ht="12.95" customHeight="1">
      <c r="A352" s="1533"/>
      <c r="B352" s="1533"/>
      <c r="C352" s="1533"/>
      <c r="D352" s="1533"/>
      <c r="E352" s="1533"/>
      <c r="F352" s="1533"/>
      <c r="G352" s="1533"/>
      <c r="H352" s="1533"/>
      <c r="I352" s="1533"/>
      <c r="J352" s="1533"/>
      <c r="K352" s="1533"/>
      <c r="L352" s="1533"/>
      <c r="M352" s="1533"/>
      <c r="N352" s="1533"/>
      <c r="O352" s="1533"/>
      <c r="P352" s="1533"/>
      <c r="Q352" s="1533"/>
      <c r="R352" s="1533"/>
      <c r="S352" s="1533"/>
      <c r="T352" s="1533"/>
      <c r="U352" s="1533"/>
      <c r="V352" s="1533"/>
      <c r="W352" s="1533"/>
      <c r="X352" s="1533"/>
      <c r="Y352" s="1533"/>
      <c r="Z352" s="1533"/>
      <c r="AA352" s="1533"/>
      <c r="AB352" s="1533"/>
      <c r="AC352" s="1533"/>
      <c r="AD352" s="1533"/>
      <c r="AE352" s="1533"/>
      <c r="AF352" s="1533"/>
      <c r="AG352" s="1533"/>
      <c r="AH352" s="1533"/>
      <c r="AI352" s="1533"/>
      <c r="AJ352" s="1533"/>
      <c r="AK352" s="1533"/>
      <c r="AL352" s="1533"/>
      <c r="AM352" s="1533"/>
      <c r="AN352" s="1533"/>
      <c r="AO352" s="1533"/>
      <c r="AP352" s="1533"/>
      <c r="AQ352" s="1533"/>
      <c r="AR352" s="1533"/>
      <c r="AS352" s="1533"/>
      <c r="AT352" s="153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2101</v>
      </c>
      <c r="M355" s="1415" t="s">
        <v>546</v>
      </c>
      <c r="N355" s="1415"/>
      <c r="P355" t="s">
        <v>1652</v>
      </c>
      <c r="AJ355" s="1415" t="s">
        <v>670</v>
      </c>
      <c r="AK355" s="1415"/>
    </row>
    <row r="356" spans="1:46" ht="12.95" customHeight="1">
      <c r="D356" s="3" t="s">
        <v>1641</v>
      </c>
      <c r="M356" s="1415" t="s">
        <v>592</v>
      </c>
      <c r="N356" s="1415"/>
      <c r="P356" s="3" t="s">
        <v>1721</v>
      </c>
      <c r="AJ356" s="1382"/>
      <c r="AK356" s="1382"/>
    </row>
    <row r="357" spans="1:46" ht="12.95" customHeight="1">
      <c r="D357" s="3" t="s">
        <v>705</v>
      </c>
      <c r="M357" s="1415" t="s">
        <v>592</v>
      </c>
      <c r="N357" s="1415"/>
      <c r="P357" t="s">
        <v>1651</v>
      </c>
      <c r="AJ357" s="1415" t="s">
        <v>592</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707</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2087</v>
      </c>
      <c r="F377" s="4"/>
      <c r="G377" s="4"/>
      <c r="H377" s="4"/>
      <c r="I377" s="4"/>
      <c r="J377" s="4"/>
      <c r="K377" s="4"/>
      <c r="L377" s="4"/>
      <c r="N377" t="s">
        <v>2082</v>
      </c>
      <c r="R377" s="27" t="s">
        <v>305</v>
      </c>
      <c r="S377" s="1443"/>
      <c r="T377" s="1443"/>
      <c r="U377" s="1" t="s">
        <v>306</v>
      </c>
      <c r="V377" s="1443"/>
      <c r="W377" s="1443"/>
      <c r="Y377" t="s">
        <v>2082</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2088</v>
      </c>
      <c r="F379" s="4"/>
      <c r="G379" s="4"/>
      <c r="H379" s="4"/>
      <c r="I379" s="4"/>
      <c r="J379" s="4"/>
      <c r="K379" s="4"/>
      <c r="L379" s="4"/>
      <c r="AG379" s="1446" t="s">
        <v>592</v>
      </c>
      <c r="AH379" s="1446"/>
    </row>
    <row r="380" spans="1:34" ht="12.95" customHeight="1">
      <c r="E380" s="4"/>
      <c r="F380" s="4"/>
      <c r="G380" s="4" t="s">
        <v>2089</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407" t="s">
        <v>2628</v>
      </c>
      <c r="K385" s="1407"/>
      <c r="L385" s="1407"/>
      <c r="M385" s="1407"/>
      <c r="N385" s="1407"/>
      <c r="O385" s="1407"/>
      <c r="P385" s="1407"/>
      <c r="Q385" s="1407"/>
      <c r="R385" s="1407"/>
      <c r="S385" s="1407"/>
      <c r="T385" s="1407"/>
      <c r="U385" s="1407"/>
      <c r="V385" s="8" t="s">
        <v>83</v>
      </c>
      <c r="W385" s="8"/>
      <c r="X385" s="8"/>
      <c r="Y385" s="8"/>
      <c r="Z385" s="8"/>
      <c r="AA385" s="8"/>
      <c r="AB385" s="8"/>
      <c r="AC385" s="1407"/>
      <c r="AD385" s="1407"/>
      <c r="AE385" s="1407"/>
      <c r="AF385" s="1407"/>
      <c r="AG385" s="1407"/>
      <c r="AH385" s="1407"/>
      <c r="AI385" s="1407"/>
      <c r="AJ385" s="1407"/>
    </row>
    <row r="386" spans="4:36" ht="12.95" customHeight="1">
      <c r="D386" s="3" t="s">
        <v>1183</v>
      </c>
      <c r="J386" s="1371" t="s">
        <v>2683</v>
      </c>
      <c r="K386" s="1371"/>
      <c r="L386" s="1371"/>
      <c r="M386" s="1371"/>
      <c r="N386" s="1371"/>
      <c r="O386" s="1371"/>
      <c r="P386" s="1371"/>
      <c r="Q386" s="1371"/>
      <c r="R386" s="1371"/>
      <c r="S386" s="1371"/>
      <c r="T386" s="1371"/>
      <c r="U386" s="1371"/>
      <c r="V386" s="3" t="s">
        <v>1183</v>
      </c>
      <c r="W386" s="8"/>
      <c r="X386" s="8"/>
      <c r="Y386" s="8"/>
      <c r="Z386" s="8"/>
      <c r="AA386" s="8"/>
      <c r="AB386" s="8"/>
      <c r="AC386" s="1407"/>
      <c r="AD386" s="1407"/>
      <c r="AE386" s="1407"/>
      <c r="AF386" s="1407"/>
      <c r="AG386" s="1407"/>
      <c r="AH386" s="1407"/>
      <c r="AI386" s="1407"/>
      <c r="AJ386" s="1407"/>
    </row>
    <row r="387" spans="4:36" ht="12.95" customHeight="1">
      <c r="D387" s="3" t="s">
        <v>442</v>
      </c>
      <c r="J387" s="1371" t="s">
        <v>2684</v>
      </c>
      <c r="K387" s="1371"/>
      <c r="L387" s="1371"/>
      <c r="M387" s="1371"/>
      <c r="N387" s="1371"/>
      <c r="O387" s="1371"/>
      <c r="P387" s="1371"/>
      <c r="Q387" s="1371"/>
      <c r="R387" s="1371"/>
      <c r="S387" s="1371"/>
      <c r="T387" s="1371"/>
      <c r="U387" s="1371"/>
      <c r="V387" s="3" t="s">
        <v>442</v>
      </c>
      <c r="W387" s="8"/>
      <c r="X387" s="8"/>
      <c r="Y387" s="8"/>
      <c r="Z387" s="8"/>
      <c r="AA387" s="8"/>
      <c r="AB387" s="8"/>
      <c r="AC387" s="1407"/>
      <c r="AD387" s="1407"/>
      <c r="AE387" s="1407"/>
      <c r="AF387" s="1407"/>
      <c r="AG387" s="1407"/>
      <c r="AH387" s="1407"/>
      <c r="AI387" s="1407"/>
      <c r="AJ387" s="1407"/>
    </row>
    <row r="388" spans="4:36" ht="12.95" customHeight="1">
      <c r="D388" t="s">
        <v>1179</v>
      </c>
      <c r="J388" s="1427" t="s">
        <v>2685</v>
      </c>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588"/>
      <c r="R389" s="1588"/>
      <c r="S389" s="1588"/>
      <c r="T389" s="1588"/>
      <c r="U389" s="1588"/>
      <c r="V389" t="s">
        <v>309</v>
      </c>
      <c r="AI389" s="1415" t="s">
        <v>546</v>
      </c>
      <c r="AJ389" s="1415"/>
    </row>
    <row r="390" spans="4:36" ht="12.95" customHeight="1">
      <c r="D390" t="s">
        <v>5</v>
      </c>
      <c r="Q390" s="1520"/>
      <c r="R390" s="1521"/>
      <c r="S390" s="1521"/>
      <c r="T390" s="1521"/>
      <c r="U390" s="1521"/>
      <c r="W390" s="21" t="s">
        <v>74</v>
      </c>
      <c r="AG390" s="1448"/>
      <c r="AH390" s="1448"/>
      <c r="AI390" s="1448"/>
      <c r="AJ390" s="1448"/>
    </row>
    <row r="391" spans="4:36" ht="12.95" customHeight="1">
      <c r="D391" t="s">
        <v>427</v>
      </c>
      <c r="Q391" s="1449">
        <v>2363193.9</v>
      </c>
      <c r="R391" s="1449"/>
      <c r="S391" s="1449"/>
      <c r="T391" s="1449"/>
      <c r="U391" s="1449"/>
      <c r="V391" s="3" t="s">
        <v>1182</v>
      </c>
      <c r="AG391" s="1518">
        <v>46006</v>
      </c>
      <c r="AH391" s="1518"/>
      <c r="AI391" s="1518"/>
      <c r="AJ391" s="1518"/>
    </row>
    <row r="392" spans="4:36" ht="12.95" customHeight="1">
      <c r="D392" t="s">
        <v>88</v>
      </c>
      <c r="I392" s="1542"/>
      <c r="J392" s="1542"/>
      <c r="K392" s="1542"/>
      <c r="L392" s="1542"/>
      <c r="M392" s="1542"/>
      <c r="N392" s="1542"/>
      <c r="Q392" s="4" t="s">
        <v>206</v>
      </c>
      <c r="S392" s="1447"/>
      <c r="T392" s="1447"/>
      <c r="U392" s="1447"/>
      <c r="V392" t="s">
        <v>73</v>
      </c>
      <c r="AI392" s="1415" t="s">
        <v>670</v>
      </c>
      <c r="AJ392" s="1415"/>
    </row>
    <row r="393" spans="4:36" ht="12.95" customHeight="1">
      <c r="D393" t="s">
        <v>310</v>
      </c>
      <c r="Q393" s="1524"/>
      <c r="R393" s="1524"/>
      <c r="S393" s="1524"/>
      <c r="T393" s="1524"/>
      <c r="U393" s="1524"/>
      <c r="V393" t="s">
        <v>311</v>
      </c>
      <c r="AG393" s="1448"/>
      <c r="AH393" s="1448"/>
      <c r="AI393" s="1448"/>
      <c r="AJ393" s="1448"/>
    </row>
    <row r="394" spans="4:36" ht="12.95" customHeight="1">
      <c r="D394" t="s">
        <v>312</v>
      </c>
      <c r="Q394" s="1577"/>
      <c r="R394" s="1577"/>
      <c r="S394" s="1577"/>
      <c r="T394" s="1577"/>
      <c r="U394" s="1577"/>
      <c r="V394" t="s">
        <v>1164</v>
      </c>
      <c r="AG394" s="1448"/>
      <c r="AH394" s="1448"/>
      <c r="AI394" s="1448"/>
      <c r="AJ394" s="1448"/>
    </row>
    <row r="395" spans="4:36" ht="12.95" customHeight="1">
      <c r="D395" t="s">
        <v>1163</v>
      </c>
      <c r="AG395" s="1448"/>
      <c r="AH395" s="1448"/>
      <c r="AI395" s="1448"/>
      <c r="AJ395" s="1448"/>
    </row>
    <row r="396" spans="4:36" ht="12.95" customHeight="1">
      <c r="AG396" s="456"/>
      <c r="AH396" s="456"/>
      <c r="AI396" s="456"/>
      <c r="AJ396" s="456"/>
    </row>
    <row r="397" spans="4:36" ht="12.95" customHeight="1">
      <c r="D397" s="3" t="s">
        <v>2145</v>
      </c>
      <c r="AG397" s="456"/>
      <c r="AH397" s="456"/>
      <c r="AI397" s="1415" t="s">
        <v>546</v>
      </c>
      <c r="AJ397" s="1415"/>
    </row>
    <row r="398" spans="4:36" ht="12.95" customHeight="1">
      <c r="D398" s="3" t="s">
        <v>1669</v>
      </c>
      <c r="T398" s="1434" t="s">
        <v>2686</v>
      </c>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1668</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1662</v>
      </c>
      <c r="S401" s="1434" t="s">
        <v>670</v>
      </c>
      <c r="T401" s="1434"/>
      <c r="U401" s="1434"/>
      <c r="V401" t="s">
        <v>1663</v>
      </c>
      <c r="AG401" s="1523"/>
      <c r="AH401" s="1523"/>
      <c r="AI401" s="1523"/>
      <c r="AJ401" s="1523"/>
    </row>
    <row r="402" spans="1:36" ht="12.95" customHeight="1">
      <c r="D402" s="3" t="s">
        <v>1660</v>
      </c>
      <c r="S402" s="1434" t="s">
        <v>592</v>
      </c>
      <c r="T402" s="1434"/>
      <c r="U402" s="1434"/>
      <c r="V402" t="s">
        <v>1665</v>
      </c>
      <c r="AE402" s="1517"/>
      <c r="AF402" s="1517"/>
      <c r="AG402" s="1517"/>
      <c r="AH402" s="1517"/>
      <c r="AI402" s="1517"/>
      <c r="AJ402" s="1517"/>
    </row>
    <row r="403" spans="1:36" ht="12.95" customHeight="1">
      <c r="D403" s="3" t="s">
        <v>1661</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2.95" customHeight="1">
      <c r="D404" s="3" t="s">
        <v>1664</v>
      </c>
      <c r="K404" s="1519"/>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2.95" customHeight="1">
      <c r="D405" s="3" t="s">
        <v>1667</v>
      </c>
      <c r="E405" s="477"/>
      <c r="F405" s="477"/>
      <c r="G405" s="477"/>
      <c r="H405" s="477"/>
      <c r="I405" s="477"/>
      <c r="J405" s="477"/>
      <c r="K405" s="477"/>
      <c r="L405" s="477"/>
      <c r="M405" s="477"/>
      <c r="N405" s="477"/>
      <c r="O405" s="477"/>
      <c r="P405" s="477"/>
      <c r="Q405" s="477"/>
      <c r="R405" s="477"/>
      <c r="S405" s="1445" t="s">
        <v>1185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1666</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2" t="s">
        <v>1225</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5" customHeight="1">
      <c r="E411" t="s">
        <v>106</v>
      </c>
      <c r="R411" s="1415" t="s">
        <v>592</v>
      </c>
      <c r="S411" s="1415"/>
      <c r="AC411" s="27" t="s">
        <v>571</v>
      </c>
      <c r="AD411" s="1390"/>
      <c r="AE411" s="1390"/>
    </row>
    <row r="412" spans="1:36" ht="12.95" customHeight="1">
      <c r="E412" t="s">
        <v>107</v>
      </c>
      <c r="R412" s="1415" t="s">
        <v>546</v>
      </c>
      <c r="S412" s="1415"/>
      <c r="AC412" s="27" t="s">
        <v>571</v>
      </c>
      <c r="AD412" s="1390">
        <v>3</v>
      </c>
      <c r="AE412" s="1390"/>
    </row>
    <row r="413" spans="1:36" ht="12.95" customHeight="1">
      <c r="E413" t="s">
        <v>108</v>
      </c>
      <c r="S413" s="1415" t="s">
        <v>592</v>
      </c>
      <c r="T413" s="1415"/>
    </row>
    <row r="414" spans="1:36" ht="12.95" customHeight="1">
      <c r="E414" t="s">
        <v>170</v>
      </c>
      <c r="H414" s="1578" t="s">
        <v>334</v>
      </c>
      <c r="I414" s="1578"/>
      <c r="J414" s="1578"/>
      <c r="K414" s="1578"/>
      <c r="L414" s="1578"/>
      <c r="M414" s="1578"/>
      <c r="N414" s="1578"/>
      <c r="O414" s="1578"/>
      <c r="P414" s="1578"/>
      <c r="Q414" s="1578"/>
      <c r="R414" s="1578"/>
      <c r="S414" s="1578"/>
      <c r="T414" s="1578"/>
      <c r="U414" s="1578"/>
      <c r="V414" s="1578"/>
      <c r="W414" s="1578"/>
      <c r="X414" s="1578"/>
      <c r="Y414" s="1578"/>
      <c r="Z414" s="1578"/>
      <c r="AA414" s="1578"/>
      <c r="AB414" s="1578"/>
      <c r="AC414" s="1578"/>
      <c r="AD414" s="1578"/>
      <c r="AE414" s="1578"/>
    </row>
    <row r="415" spans="1:36" ht="12.95" customHeight="1">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81">
        <v>7.92</v>
      </c>
      <c r="Q418" s="1581"/>
      <c r="R418" s="1581"/>
      <c r="S418" t="s">
        <v>117</v>
      </c>
      <c r="W418" s="1444">
        <f>IF(E418&gt;0,(E418*I418),(P418*43560))</f>
        <v>344995.2</v>
      </c>
      <c r="X418" s="1444"/>
      <c r="Y418" s="1444"/>
      <c r="Z418" t="s">
        <v>118</v>
      </c>
      <c r="AF418" s="1582">
        <f>IFERROR(IF(P418&gt;0,(AG437/P418),(AG437/(W418/43560))),0)</f>
        <v>25.252525252525253</v>
      </c>
      <c r="AG418" s="1582"/>
      <c r="AH418" s="1582"/>
      <c r="AM418" s="3"/>
    </row>
    <row r="419" spans="1:39" ht="12.95" customHeight="1">
      <c r="E419" t="s">
        <v>51</v>
      </c>
    </row>
    <row r="420" spans="1:39" ht="12.9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5" customHeight="1">
      <c r="E421" s="118" t="s">
        <v>1738</v>
      </c>
      <c r="F421" s="1013"/>
      <c r="G421" s="1013"/>
      <c r="H421" s="1013"/>
      <c r="I421" s="1580"/>
      <c r="J421" s="1580"/>
      <c r="K421" s="1580"/>
      <c r="L421" s="1013"/>
      <c r="M421" s="118"/>
      <c r="N421" s="1013"/>
      <c r="O421" s="1013"/>
      <c r="P421" s="1834" t="e">
        <f>(DU755+DU778+DU800)/I421</f>
        <v>#DIV/0!</v>
      </c>
      <c r="Q421" s="1834"/>
      <c r="R421" s="1834"/>
      <c r="S421" s="118" t="s">
        <v>1739</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9</v>
      </c>
      <c r="Q424" s="1415"/>
      <c r="S424" t="s">
        <v>189</v>
      </c>
      <c r="AE424" s="1415">
        <v>8</v>
      </c>
      <c r="AF424" s="1415"/>
    </row>
    <row r="425" spans="1:39" ht="12.95" customHeight="1">
      <c r="E425" t="s">
        <v>190</v>
      </c>
      <c r="P425" s="1415">
        <v>1</v>
      </c>
      <c r="Q425" s="1415"/>
      <c r="S425" t="s">
        <v>131</v>
      </c>
      <c r="AE425" s="1415" t="s">
        <v>592</v>
      </c>
      <c r="AF425" s="1415"/>
    </row>
    <row r="426" spans="1:39" ht="12.95" customHeight="1">
      <c r="F426" s="28" t="s">
        <v>132</v>
      </c>
    </row>
    <row r="427" spans="1:39" ht="12.95" customHeight="1">
      <c r="F427" s="1528"/>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609</v>
      </c>
      <c r="P429" s="1"/>
      <c r="Q429" s="1415" t="s">
        <v>546</v>
      </c>
      <c r="R429" s="1415"/>
    </row>
    <row r="430" spans="1:39" ht="12.95" customHeight="1">
      <c r="F430" t="s">
        <v>610</v>
      </c>
      <c r="P430" s="1"/>
      <c r="Q430" s="1"/>
      <c r="AF430" s="1415" t="s">
        <v>592</v>
      </c>
      <c r="AG430" s="1505"/>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200</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199</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199</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167343</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167343</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2090</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4500</v>
      </c>
      <c r="AH446" s="1416"/>
      <c r="AI446" s="1416"/>
      <c r="AJ446" s="1416"/>
      <c r="AZ446" s="34"/>
      <c r="BA446" s="34"/>
      <c r="BB446" s="34"/>
      <c r="BC446" s="34"/>
    </row>
    <row r="447" spans="1:55" ht="12.95"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1814</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5" customHeight="1">
      <c r="D450" s="1574" t="s">
        <v>1040</v>
      </c>
      <c r="E450" s="1575"/>
      <c r="F450" s="1575"/>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1575"/>
      <c r="AD450" s="1575"/>
      <c r="AE450" s="1575"/>
      <c r="AF450" s="1576"/>
      <c r="AG450" s="1429">
        <f>AG442+AG446+AG448+AG449</f>
        <v>173657</v>
      </c>
      <c r="AH450" s="1429"/>
      <c r="AI450" s="1429"/>
      <c r="AJ450" s="1429"/>
      <c r="AZ450" s="3"/>
      <c r="BA450" s="3"/>
      <c r="BB450" s="3"/>
      <c r="BC450" s="3"/>
    </row>
    <row r="451" spans="1:55" ht="12.95" customHeight="1">
      <c r="D451" s="1584" t="s">
        <v>1207</v>
      </c>
      <c r="E451" s="1584"/>
      <c r="F451" s="1584"/>
      <c r="G451" s="1584"/>
      <c r="H451" s="1584"/>
      <c r="I451" s="1584"/>
      <c r="J451" s="1584"/>
      <c r="K451" s="1584"/>
      <c r="L451" s="1584"/>
      <c r="M451" s="1584"/>
      <c r="N451" s="1584"/>
      <c r="O451" s="1584"/>
      <c r="P451" s="1584"/>
      <c r="Q451" s="1584"/>
      <c r="R451" s="1584"/>
      <c r="S451" s="1584"/>
      <c r="T451" s="1584"/>
      <c r="U451" s="1584"/>
      <c r="V451" s="1584"/>
      <c r="W451" s="1584"/>
      <c r="X451" s="1584"/>
      <c r="Y451" s="1584"/>
      <c r="Z451" s="1584"/>
      <c r="AA451" s="1584"/>
      <c r="AB451" s="1584"/>
      <c r="AC451" s="1584"/>
      <c r="AD451" s="1584"/>
      <c r="AE451" s="1584"/>
      <c r="AF451" s="1584"/>
      <c r="AG451" s="1584"/>
      <c r="AH451" s="1584"/>
      <c r="AI451" s="1584"/>
      <c r="AJ451" s="1584"/>
      <c r="AZ451" s="3"/>
      <c r="BA451" s="3"/>
      <c r="BB451" s="3"/>
      <c r="BC451" s="3"/>
    </row>
    <row r="452" spans="1:55" ht="12.95" customHeight="1">
      <c r="D452" s="1585"/>
      <c r="E452" s="1585"/>
      <c r="F452" s="1585"/>
      <c r="G452" s="1585"/>
      <c r="H452" s="1585"/>
      <c r="I452" s="1585"/>
      <c r="J452" s="1585"/>
      <c r="K452" s="1585"/>
      <c r="L452" s="1585"/>
      <c r="M452" s="1585"/>
      <c r="N452" s="1585"/>
      <c r="O452" s="1585"/>
      <c r="P452" s="1585"/>
      <c r="Q452" s="1585"/>
      <c r="R452" s="1585"/>
      <c r="S452" s="1585"/>
      <c r="T452" s="1585"/>
      <c r="U452" s="1585"/>
      <c r="V452" s="1585"/>
      <c r="W452" s="1585"/>
      <c r="X452" s="1585"/>
      <c r="Y452" s="1585"/>
      <c r="Z452" s="1585"/>
      <c r="AA452" s="1585"/>
      <c r="AB452" s="1585"/>
      <c r="AC452" s="1585"/>
      <c r="AD452" s="1585"/>
      <c r="AE452" s="1585"/>
      <c r="AF452" s="1585"/>
      <c r="AG452" s="1585"/>
      <c r="AH452" s="1585"/>
      <c r="AI452" s="1585"/>
      <c r="AJ452" s="158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No</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365403.755</v>
      </c>
      <c r="AD454" s="1373"/>
      <c r="AE454" s="1373"/>
      <c r="AF454" s="1373"/>
      <c r="AG454" s="177"/>
      <c r="AH454" s="177"/>
      <c r="AI454" s="177"/>
      <c r="AJ454" s="183"/>
      <c r="AZ454" s="3"/>
      <c r="BA454" s="3" t="str">
        <f>AG575</f>
        <v>No</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365403.755</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350298.13</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1878</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1879</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No</v>
      </c>
      <c r="BB461" s="3"/>
      <c r="BC461" s="3"/>
    </row>
    <row r="462" spans="1:55" ht="12.95" customHeight="1">
      <c r="D462" s="184" t="s">
        <v>1880</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2102</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2193</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1656</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0"/>
      <c r="H474" s="1671"/>
      <c r="I474" s="1671"/>
      <c r="J474" s="1671"/>
      <c r="K474" s="1671"/>
      <c r="L474" s="1671"/>
      <c r="M474" s="1671"/>
      <c r="N474" s="1671"/>
      <c r="O474" s="1671"/>
      <c r="P474" s="1671"/>
      <c r="Q474" s="1671"/>
      <c r="R474" s="1671"/>
      <c r="S474" s="1671"/>
      <c r="T474" s="1671"/>
      <c r="U474" s="1671"/>
      <c r="V474" s="1672"/>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33" t="s">
        <v>811</v>
      </c>
      <c r="B480" s="1533"/>
      <c r="C480" s="1533"/>
      <c r="D480" s="1533"/>
      <c r="E480" s="1533"/>
      <c r="F480" s="1533"/>
      <c r="G480" s="1533"/>
      <c r="H480" s="1533"/>
      <c r="I480" s="1533"/>
      <c r="J480" s="1533"/>
      <c r="K480" s="1533"/>
      <c r="L480" s="1533"/>
      <c r="M480" s="1533"/>
      <c r="N480" s="1533"/>
      <c r="O480" s="1533"/>
      <c r="P480" s="1533"/>
      <c r="Q480" s="1533"/>
      <c r="R480" s="1533"/>
      <c r="S480" s="1533"/>
      <c r="T480" s="1533"/>
      <c r="U480" s="1533"/>
      <c r="V480" s="1533"/>
      <c r="W480" s="1533"/>
      <c r="X480" s="1533"/>
      <c r="Y480" s="1533"/>
      <c r="Z480" s="1533"/>
      <c r="AA480" s="1533"/>
      <c r="AB480" s="1533"/>
      <c r="AC480" s="1533"/>
      <c r="AD480" s="1533"/>
      <c r="AE480" s="1533"/>
      <c r="AF480" s="1533"/>
      <c r="AG480" s="1533"/>
      <c r="AH480" s="1533"/>
      <c r="AI480" s="1533"/>
      <c r="AJ480" s="1533"/>
      <c r="AK480" s="1533"/>
      <c r="AL480" s="1533"/>
      <c r="AM480" s="1533"/>
      <c r="AN480" s="1533"/>
      <c r="AO480" s="1533"/>
      <c r="AP480" s="1533"/>
      <c r="AQ480" s="1533"/>
      <c r="AR480" s="1533"/>
      <c r="AS480" s="1533"/>
      <c r="AT480" s="1533"/>
      <c r="AU480" s="95"/>
      <c r="AV480" s="95"/>
      <c r="AW480" s="95"/>
      <c r="AX480" s="95"/>
      <c r="AY480" s="95"/>
      <c r="AZ480" s="3"/>
      <c r="BB480" s="3"/>
      <c r="BC480" s="3"/>
    </row>
    <row r="481" spans="1:55" ht="12.95" customHeight="1">
      <c r="A481" s="1533"/>
      <c r="B481" s="1533"/>
      <c r="C481" s="1533"/>
      <c r="D481" s="1533"/>
      <c r="E481" s="1533"/>
      <c r="F481" s="1533"/>
      <c r="G481" s="1533"/>
      <c r="H481" s="1533"/>
      <c r="I481" s="1533"/>
      <c r="J481" s="1533"/>
      <c r="K481" s="1533"/>
      <c r="L481" s="1533"/>
      <c r="M481" s="1533"/>
      <c r="N481" s="1533"/>
      <c r="O481" s="1533"/>
      <c r="P481" s="1533"/>
      <c r="Q481" s="1533"/>
      <c r="R481" s="1533"/>
      <c r="S481" s="1533"/>
      <c r="T481" s="1533"/>
      <c r="U481" s="1533"/>
      <c r="V481" s="1533"/>
      <c r="W481" s="1533"/>
      <c r="X481" s="1533"/>
      <c r="Y481" s="1533"/>
      <c r="Z481" s="1533"/>
      <c r="AA481" s="1533"/>
      <c r="AB481" s="1533"/>
      <c r="AC481" s="1533"/>
      <c r="AD481" s="1533"/>
      <c r="AE481" s="1533"/>
      <c r="AF481" s="1533"/>
      <c r="AG481" s="1533"/>
      <c r="AH481" s="1533"/>
      <c r="AI481" s="1533"/>
      <c r="AJ481" s="1533"/>
      <c r="AK481" s="1533"/>
      <c r="AL481" s="1533"/>
      <c r="AM481" s="1533"/>
      <c r="AN481" s="1533"/>
      <c r="AO481" s="1533"/>
      <c r="AP481" s="1533"/>
      <c r="AQ481" s="1533"/>
      <c r="AR481" s="1533"/>
      <c r="AS481" s="1533"/>
      <c r="AT481" s="153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2687</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2688</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2689</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67" t="s">
        <v>166</v>
      </c>
      <c r="T489" s="1568"/>
      <c r="U489" s="1568"/>
      <c r="V489" s="1568"/>
      <c r="W489" s="1568"/>
      <c r="X489" s="1568"/>
      <c r="Y489" s="1568"/>
      <c r="Z489" s="1568"/>
      <c r="AA489" s="1568"/>
      <c r="AB489" s="1568"/>
      <c r="AC489" s="1568"/>
      <c r="AD489" s="1568"/>
      <c r="AE489" s="1568"/>
      <c r="AF489" s="1568"/>
      <c r="AG489" s="1568"/>
      <c r="AH489" s="1568"/>
      <c r="AI489" s="1568"/>
      <c r="AJ489" s="1568"/>
      <c r="AK489" s="1569"/>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70"/>
      <c r="T490" s="1529"/>
      <c r="U490" s="1529"/>
      <c r="V490" s="1529"/>
      <c r="W490" s="1529"/>
      <c r="X490" s="1529"/>
      <c r="Y490" s="1529"/>
      <c r="Z490" s="1529"/>
      <c r="AA490" s="1529"/>
      <c r="AB490" s="1529"/>
      <c r="AC490" s="1529"/>
      <c r="AD490" s="1529"/>
      <c r="AE490" s="1529"/>
      <c r="AF490" s="1529"/>
      <c r="AG490" s="1529"/>
      <c r="AH490" s="1529"/>
      <c r="AI490" s="1529"/>
      <c r="AJ490" s="1529"/>
      <c r="AK490" s="1571"/>
      <c r="AZ490" s="3"/>
      <c r="BA490" s="3"/>
      <c r="BB490" s="3"/>
      <c r="BC490" s="3"/>
    </row>
    <row r="491" spans="1:55" ht="12.95" customHeight="1">
      <c r="B491" s="895" t="s">
        <v>1673</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670</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t="s">
        <v>2690</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1670</v>
      </c>
      <c r="C494" s="5"/>
      <c r="D494" s="5"/>
      <c r="E494" s="5"/>
      <c r="F494" s="5"/>
      <c r="G494" s="5"/>
      <c r="H494" s="5"/>
      <c r="I494" s="5"/>
      <c r="J494" s="5"/>
      <c r="K494" s="5"/>
      <c r="L494" s="5"/>
      <c r="M494" s="5"/>
      <c r="N494" s="5"/>
      <c r="O494" s="5"/>
      <c r="P494" s="5"/>
      <c r="Q494" s="1370">
        <v>300</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1671</v>
      </c>
      <c r="C495" s="5"/>
      <c r="D495" s="5"/>
      <c r="E495" s="5"/>
      <c r="F495" s="5"/>
      <c r="G495" s="5"/>
      <c r="H495" s="5"/>
      <c r="I495" s="5"/>
      <c r="J495" s="5"/>
      <c r="K495" s="5"/>
      <c r="L495" s="5"/>
      <c r="M495" s="1381"/>
      <c r="N495" s="1382"/>
      <c r="O495" s="1382"/>
      <c r="P495" s="1383"/>
      <c r="Q495" s="121" t="s">
        <v>1672</v>
      </c>
      <c r="R495" s="5"/>
      <c r="S495" s="5"/>
      <c r="T495" s="5"/>
      <c r="U495" s="5"/>
      <c r="V495" s="5"/>
      <c r="W495" s="5"/>
      <c r="X495" s="5"/>
      <c r="Y495" s="5"/>
      <c r="Z495" s="5"/>
      <c r="AA495" s="5"/>
      <c r="AB495" s="5"/>
      <c r="AC495" s="5"/>
      <c r="AD495" s="5"/>
      <c r="AE495" s="5"/>
      <c r="AF495" s="5"/>
      <c r="AG495" s="5"/>
      <c r="AH495" s="1381">
        <v>300</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3</v>
      </c>
      <c r="AD501" s="1390"/>
      <c r="AE501" s="1390"/>
      <c r="AF501" s="1390"/>
      <c r="AG501" s="13" t="s">
        <v>403</v>
      </c>
      <c r="AH501" s="1427">
        <v>2016</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583">
        <v>4</v>
      </c>
      <c r="AD502" s="1390"/>
      <c r="AE502" s="1390"/>
      <c r="AF502" s="1390"/>
      <c r="AG502" s="38" t="s">
        <v>403</v>
      </c>
      <c r="AH502" s="1427">
        <v>2025</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t="s">
        <v>592</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v>10</v>
      </c>
      <c r="AD506" s="1390"/>
      <c r="AE506" s="1390"/>
      <c r="AF506" s="1390"/>
      <c r="AG506" s="13" t="s">
        <v>403</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11</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1677</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1674</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1675</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1676</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86"/>
      <c r="AI512" s="1586"/>
      <c r="AJ512" s="1586"/>
      <c r="AK512" s="1587"/>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4"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2107</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4</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2108</v>
      </c>
    </row>
    <row r="515" spans="2:66" ht="12.95"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2109</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2110</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4</v>
      </c>
      <c r="AD517" s="1356"/>
      <c r="AE517" s="1356"/>
      <c r="AF517" s="1356"/>
      <c r="AG517" s="129" t="s">
        <v>403</v>
      </c>
      <c r="AH517" s="1427"/>
      <c r="AI517" s="1427"/>
      <c r="AJ517" s="1427"/>
      <c r="AK517" s="1428"/>
      <c r="AZ517" s="3"/>
      <c r="BB517" s="3"/>
      <c r="BC517" s="3"/>
      <c r="BD517" s="3"/>
      <c r="BE517" s="3"/>
      <c r="BF517" s="3"/>
      <c r="BG517" s="3"/>
      <c r="BH517" s="3"/>
      <c r="BI517" s="3"/>
      <c r="BJ517" s="3"/>
      <c r="BK517" s="3"/>
      <c r="BL517" s="3"/>
      <c r="BM517" s="3"/>
      <c r="BN517" s="3" t="s">
        <v>2111</v>
      </c>
    </row>
    <row r="518" spans="2:66" ht="12.95" customHeight="1">
      <c r="B518" s="1399"/>
      <c r="C518" s="1400"/>
      <c r="D518" s="1400"/>
      <c r="E518" s="1400"/>
      <c r="F518" s="1400"/>
      <c r="G518" s="1400"/>
      <c r="H518" s="1401"/>
      <c r="I518" t="s">
        <v>416</v>
      </c>
      <c r="AC518" s="1389">
        <v>5</v>
      </c>
      <c r="AD518" s="1390"/>
      <c r="AE518" s="1390"/>
      <c r="AF518" s="1390"/>
      <c r="AG518" s="13" t="s">
        <v>403</v>
      </c>
      <c r="AH518" s="1427"/>
      <c r="AI518" s="1427"/>
      <c r="AJ518" s="1427"/>
      <c r="AK518" s="1428"/>
      <c r="BB518" s="3"/>
      <c r="BC518" s="3"/>
      <c r="BD518" s="3"/>
      <c r="BE518" s="3"/>
      <c r="BF518" s="3"/>
      <c r="BG518" s="3"/>
      <c r="BH518" s="3"/>
      <c r="BI518" s="3"/>
      <c r="BJ518" s="3"/>
      <c r="BK518" s="3"/>
      <c r="BL518" s="3"/>
      <c r="BM518" s="3"/>
      <c r="BN518" s="3" t="s">
        <v>2112</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7</v>
      </c>
      <c r="AD519" s="1390"/>
      <c r="AE519" s="1390"/>
      <c r="AF519" s="1390"/>
      <c r="AG519" s="38" t="s">
        <v>403</v>
      </c>
      <c r="AH519" s="1427">
        <v>2027</v>
      </c>
      <c r="AI519" s="1427"/>
      <c r="AJ519" s="1427"/>
      <c r="AK519" s="1428"/>
      <c r="BB519" s="3"/>
      <c r="BC519" s="3"/>
      <c r="BD519" s="3"/>
      <c r="BE519" s="3"/>
      <c r="BF519" s="3"/>
      <c r="BG519" s="3"/>
      <c r="BH519" s="3"/>
      <c r="BI519" s="3"/>
      <c r="BJ519" s="3"/>
      <c r="BK519" s="3"/>
      <c r="BL519" s="3"/>
      <c r="BM519" s="3"/>
      <c r="BN519" s="3" t="s">
        <v>2113</v>
      </c>
    </row>
    <row r="520" spans="2:66" ht="12.95" customHeight="1">
      <c r="B520" s="1396" t="s">
        <v>419</v>
      </c>
      <c r="C520" s="1397"/>
      <c r="D520" s="1397"/>
      <c r="E520" s="1397"/>
      <c r="F520" s="1397"/>
      <c r="G520" s="1397"/>
      <c r="H520" s="1398"/>
      <c r="I520" s="41" t="s">
        <v>420</v>
      </c>
      <c r="J520" s="42"/>
      <c r="K520" s="42"/>
      <c r="L520" s="42"/>
      <c r="M520" s="42"/>
      <c r="N520" s="42"/>
      <c r="O520" s="1433"/>
      <c r="P520" s="1434"/>
      <c r="Q520" s="1434"/>
      <c r="R520" s="1434"/>
      <c r="S520" s="1434"/>
      <c r="T520" s="1434"/>
      <c r="U520" s="1434"/>
      <c r="V520" s="1434"/>
      <c r="W520" s="1434"/>
      <c r="X520" s="1434"/>
      <c r="Y520" s="1434"/>
      <c r="Z520" s="1434"/>
      <c r="AA520" s="1434"/>
      <c r="AB520" s="58"/>
      <c r="AC520" s="1355"/>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2114</v>
      </c>
    </row>
    <row r="521" spans="2:66" ht="12.95" customHeight="1">
      <c r="B521" s="1399"/>
      <c r="C521" s="1400"/>
      <c r="D521" s="1400"/>
      <c r="E521" s="1400"/>
      <c r="F521" s="1400"/>
      <c r="G521" s="1400"/>
      <c r="H521" s="1401"/>
      <c r="I521" s="114" t="s">
        <v>421</v>
      </c>
      <c r="AB521" s="65"/>
      <c r="AC521" s="1389"/>
      <c r="AD521" s="1390"/>
      <c r="AE521" s="1390"/>
      <c r="AF521" s="1390"/>
      <c r="AG521" s="13" t="s">
        <v>403</v>
      </c>
      <c r="AH521" s="1427"/>
      <c r="AI521" s="1427"/>
      <c r="AJ521" s="1427"/>
      <c r="AK521" s="1428"/>
      <c r="AZ521" s="3"/>
      <c r="BB521" s="3"/>
      <c r="BC521" s="3"/>
      <c r="BD521" s="3"/>
      <c r="BE521" s="3"/>
      <c r="BF521" s="3"/>
      <c r="BG521" s="3"/>
      <c r="BH521" s="3"/>
      <c r="BI521" s="3"/>
      <c r="BJ521" s="3"/>
      <c r="BK521" s="3"/>
      <c r="BL521" s="3"/>
      <c r="BM521" s="3"/>
      <c r="BN521" s="3" t="s">
        <v>2115</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c r="AD522" s="1390"/>
      <c r="AE522" s="1390"/>
      <c r="AF522" s="1390"/>
      <c r="AG522" s="38" t="s">
        <v>403</v>
      </c>
      <c r="AH522" s="1427"/>
      <c r="AI522" s="1427"/>
      <c r="AJ522" s="1427"/>
      <c r="AK522" s="1428"/>
      <c r="AZ522" s="3"/>
      <c r="BA522" s="3"/>
      <c r="BB522" s="3"/>
      <c r="BC522" s="3"/>
      <c r="BD522" s="3"/>
      <c r="BE522" s="3"/>
      <c r="BF522" s="3"/>
      <c r="BG522" s="3"/>
      <c r="BH522" s="3"/>
      <c r="BI522" s="3"/>
      <c r="BJ522" s="3"/>
      <c r="BK522" s="3"/>
      <c r="BL522" s="3"/>
      <c r="BM522" s="3"/>
      <c r="BN522" s="3" t="s">
        <v>2116</v>
      </c>
    </row>
    <row r="523" spans="2:66" ht="12.95"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2117</v>
      </c>
    </row>
    <row r="524" spans="2:66" ht="12.95"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2118</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2119</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2120</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2121</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2122</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2123</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2124</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2125</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2126</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2127</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2128</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2129</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2130</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2131</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1</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4</v>
      </c>
      <c r="AD540" s="1390"/>
      <c r="AE540" s="1390"/>
      <c r="AF540" s="1390"/>
      <c r="AG540" s="38" t="s">
        <v>403</v>
      </c>
      <c r="AH540" s="1427">
        <v>2026</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4</v>
      </c>
      <c r="AD541" s="1390"/>
      <c r="AE541" s="1390"/>
      <c r="AF541" s="1390"/>
      <c r="AG541" s="38" t="s">
        <v>403</v>
      </c>
      <c r="AH541" s="1427">
        <v>2026</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8</v>
      </c>
      <c r="AD542" s="1390"/>
      <c r="AE542" s="1390"/>
      <c r="AF542" s="1390"/>
      <c r="AG542" s="38" t="s">
        <v>403</v>
      </c>
      <c r="AH542" s="1427">
        <v>2026</v>
      </c>
      <c r="AI542" s="1427"/>
      <c r="AJ542" s="1427"/>
      <c r="AK542" s="1428"/>
      <c r="BB542" s="3"/>
      <c r="BC542" s="3"/>
      <c r="BD542" s="3"/>
      <c r="BE542" s="3"/>
      <c r="BF542" s="3"/>
      <c r="BG542" s="3"/>
      <c r="BH542" s="3" t="s">
        <v>112</v>
      </c>
      <c r="BI542" s="3" t="str">
        <f>N649</f>
        <v>No</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2103</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396" t="s">
        <v>2105</v>
      </c>
      <c r="C551" s="1397"/>
      <c r="D551" s="1397"/>
      <c r="E551" s="1397"/>
      <c r="F551" s="1397"/>
      <c r="G551" s="1397"/>
      <c r="H551" s="1397"/>
      <c r="I551" s="1397"/>
      <c r="J551" s="1397"/>
      <c r="K551" s="1397"/>
      <c r="L551" s="1398"/>
      <c r="M551" s="1396" t="s">
        <v>2106</v>
      </c>
      <c r="N551" s="1397"/>
      <c r="O551" s="1397"/>
      <c r="P551" s="1398"/>
      <c r="Q551" s="1396" t="s">
        <v>2132</v>
      </c>
      <c r="R551" s="1397"/>
      <c r="S551" s="1398"/>
      <c r="T551" s="1396" t="s">
        <v>2133</v>
      </c>
      <c r="U551" s="1397"/>
      <c r="V551" s="1398"/>
      <c r="W551" s="1396" t="s">
        <v>454</v>
      </c>
      <c r="X551" s="1397"/>
      <c r="Y551" s="1398"/>
      <c r="Z551" s="1396" t="s">
        <v>1854</v>
      </c>
      <c r="AA551" s="1397"/>
      <c r="AB551" s="1397"/>
      <c r="AC551" s="1397"/>
      <c r="AD551" s="1398"/>
      <c r="AE551" s="1396" t="s">
        <v>1678</v>
      </c>
      <c r="AF551" s="1397"/>
      <c r="AG551" s="1397"/>
      <c r="AH551" s="1398"/>
      <c r="AI551" s="1396" t="s">
        <v>1679</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No</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2692</v>
      </c>
      <c r="D554" s="1439"/>
      <c r="E554" s="1439"/>
      <c r="F554" s="1439"/>
      <c r="G554" s="1439"/>
      <c r="H554" s="1439"/>
      <c r="I554" s="1439"/>
      <c r="J554" s="1439"/>
      <c r="K554" s="1439"/>
      <c r="L554" s="1439"/>
      <c r="M554" s="1439" t="s">
        <v>2122</v>
      </c>
      <c r="N554" s="1439"/>
      <c r="O554" s="1439"/>
      <c r="P554" s="1439"/>
      <c r="Q554" s="1425">
        <v>28</v>
      </c>
      <c r="R554" s="1425"/>
      <c r="S554" s="1426"/>
      <c r="T554" s="1424"/>
      <c r="U554" s="1425"/>
      <c r="V554" s="1426"/>
      <c r="W554" s="1421">
        <v>5.8700000000000002E-2</v>
      </c>
      <c r="X554" s="1422"/>
      <c r="Y554" s="1423"/>
      <c r="Z554" s="1430" t="s">
        <v>1185</v>
      </c>
      <c r="AA554" s="1430"/>
      <c r="AB554" s="1430"/>
      <c r="AC554" s="1430"/>
      <c r="AD554" s="1430"/>
      <c r="AE554" s="1412"/>
      <c r="AF554" s="1413"/>
      <c r="AG554" s="1413"/>
      <c r="AH554" s="1414"/>
      <c r="AI554" s="1436"/>
      <c r="AJ554" s="1437"/>
      <c r="AK554" s="1437"/>
      <c r="AL554" s="1438"/>
      <c r="AM554" s="1465">
        <v>36120000</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40" t="s">
        <v>2692</v>
      </c>
      <c r="D555" s="1440"/>
      <c r="E555" s="1440"/>
      <c r="F555" s="1440"/>
      <c r="G555" s="1440"/>
      <c r="H555" s="1440"/>
      <c r="I555" s="1440"/>
      <c r="J555" s="1440"/>
      <c r="K555" s="1440"/>
      <c r="L555" s="1440"/>
      <c r="M555" s="1439" t="s">
        <v>2121</v>
      </c>
      <c r="N555" s="1439"/>
      <c r="O555" s="1439"/>
      <c r="P555" s="1439"/>
      <c r="Q555" s="1424">
        <v>28</v>
      </c>
      <c r="R555" s="1425"/>
      <c r="S555" s="1426"/>
      <c r="T555" s="1424"/>
      <c r="U555" s="1425"/>
      <c r="V555" s="1426"/>
      <c r="W555" s="1421">
        <v>6.6699999999999995E-2</v>
      </c>
      <c r="X555" s="1422"/>
      <c r="Y555" s="1423"/>
      <c r="Z555" s="1430" t="s">
        <v>1185</v>
      </c>
      <c r="AA555" s="1430"/>
      <c r="AB555" s="1430"/>
      <c r="AC555" s="1430"/>
      <c r="AD555" s="1430"/>
      <c r="AE555" s="1412"/>
      <c r="AF555" s="1413"/>
      <c r="AG555" s="1413"/>
      <c r="AH555" s="1414"/>
      <c r="AI555" s="1436"/>
      <c r="AJ555" s="1437"/>
      <c r="AK555" s="1437"/>
      <c r="AL555" s="1438"/>
      <c r="AM555" s="1465">
        <v>31550000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40" t="s">
        <v>2691</v>
      </c>
      <c r="D556" s="1440"/>
      <c r="E556" s="1440"/>
      <c r="F556" s="1440"/>
      <c r="G556" s="1440"/>
      <c r="H556" s="1440"/>
      <c r="I556" s="1440"/>
      <c r="J556" s="1440"/>
      <c r="K556" s="1440"/>
      <c r="L556" s="1440"/>
      <c r="M556" s="1439" t="s">
        <v>2113</v>
      </c>
      <c r="N556" s="1439"/>
      <c r="O556" s="1439"/>
      <c r="P556" s="1439"/>
      <c r="Q556" s="1424">
        <v>696</v>
      </c>
      <c r="R556" s="1425"/>
      <c r="S556" s="1426"/>
      <c r="T556" s="1424"/>
      <c r="U556" s="1425"/>
      <c r="V556" s="1426"/>
      <c r="W556" s="1421"/>
      <c r="X556" s="1422"/>
      <c r="Y556" s="1423"/>
      <c r="Z556" s="1430" t="s">
        <v>1185</v>
      </c>
      <c r="AA556" s="1430"/>
      <c r="AB556" s="1430"/>
      <c r="AC556" s="1430"/>
      <c r="AD556" s="1430"/>
      <c r="AE556" s="1412"/>
      <c r="AF556" s="1413"/>
      <c r="AG556" s="1413"/>
      <c r="AH556" s="1414"/>
      <c r="AI556" s="1436"/>
      <c r="AJ556" s="1437"/>
      <c r="AK556" s="1437"/>
      <c r="AL556" s="1438"/>
      <c r="AM556" s="1465">
        <v>3240000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582</v>
      </c>
      <c r="C557" s="1440"/>
      <c r="D557" s="1440"/>
      <c r="E557" s="1440"/>
      <c r="F557" s="1440"/>
      <c r="G557" s="1440"/>
      <c r="H557" s="1440"/>
      <c r="I557" s="1440"/>
      <c r="J557" s="1440"/>
      <c r="K557" s="1440"/>
      <c r="L557" s="1440"/>
      <c r="M557" s="1439"/>
      <c r="N557" s="1439"/>
      <c r="O557" s="1439"/>
      <c r="P557" s="1439"/>
      <c r="Q557" s="1424"/>
      <c r="R557" s="1425"/>
      <c r="S557" s="1426"/>
      <c r="T557" s="1424"/>
      <c r="U557" s="1425"/>
      <c r="V557" s="1426"/>
      <c r="W557" s="1421"/>
      <c r="X557" s="1422"/>
      <c r="Y557" s="1423"/>
      <c r="Z557" s="1430" t="s">
        <v>1185</v>
      </c>
      <c r="AA557" s="1430"/>
      <c r="AB557" s="1430"/>
      <c r="AC557" s="1430"/>
      <c r="AD557" s="1430"/>
      <c r="AE557" s="1412"/>
      <c r="AF557" s="1413"/>
      <c r="AG557" s="1413"/>
      <c r="AH557" s="1414"/>
      <c r="AI557" s="1436"/>
      <c r="AJ557" s="1437"/>
      <c r="AK557" s="1437"/>
      <c r="AL557" s="1438"/>
      <c r="AM557" s="1465"/>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764</v>
      </c>
      <c r="C558" s="1440"/>
      <c r="D558" s="1440"/>
      <c r="E558" s="1440"/>
      <c r="F558" s="1440"/>
      <c r="G558" s="1440"/>
      <c r="H558" s="1440"/>
      <c r="I558" s="1440"/>
      <c r="J558" s="1440"/>
      <c r="K558" s="1440"/>
      <c r="L558" s="1440"/>
      <c r="M558" s="1439" t="s">
        <v>1185</v>
      </c>
      <c r="N558" s="1439"/>
      <c r="O558" s="1439"/>
      <c r="P558" s="1439"/>
      <c r="Q558" s="1424"/>
      <c r="R558" s="1425"/>
      <c r="S558" s="1426"/>
      <c r="T558" s="1424"/>
      <c r="U558" s="1425"/>
      <c r="V558" s="1426"/>
      <c r="W558" s="1421"/>
      <c r="X558" s="1422"/>
      <c r="Y558" s="1423"/>
      <c r="Z558" s="1430" t="s">
        <v>1185</v>
      </c>
      <c r="AA558" s="1430"/>
      <c r="AB558" s="1430"/>
      <c r="AC558" s="1430"/>
      <c r="AD558" s="1430"/>
      <c r="AE558" s="1412"/>
      <c r="AF558" s="1413"/>
      <c r="AG558" s="1413"/>
      <c r="AH558" s="1414"/>
      <c r="AI558" s="1436"/>
      <c r="AJ558" s="1437"/>
      <c r="AK558" s="1437"/>
      <c r="AL558" s="1438"/>
      <c r="AM558" s="1465"/>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440"/>
      <c r="D559" s="1440"/>
      <c r="E559" s="1440"/>
      <c r="F559" s="1440"/>
      <c r="G559" s="1440"/>
      <c r="H559" s="1440"/>
      <c r="I559" s="1440"/>
      <c r="J559" s="1440"/>
      <c r="K559" s="1440"/>
      <c r="L559" s="1440"/>
      <c r="M559" s="1439" t="s">
        <v>1185</v>
      </c>
      <c r="N559" s="1439"/>
      <c r="O559" s="1439"/>
      <c r="P559" s="1439"/>
      <c r="Q559" s="1424"/>
      <c r="R559" s="1425"/>
      <c r="S559" s="1426"/>
      <c r="T559" s="1424"/>
      <c r="U559" s="1425"/>
      <c r="V559" s="1426"/>
      <c r="W559" s="1421"/>
      <c r="X559" s="1422"/>
      <c r="Y559" s="1423"/>
      <c r="Z559" s="1430" t="s">
        <v>1185</v>
      </c>
      <c r="AA559" s="1430"/>
      <c r="AB559" s="1430"/>
      <c r="AC559" s="1430"/>
      <c r="AD559" s="1430"/>
      <c r="AE559" s="1412"/>
      <c r="AF559" s="1413"/>
      <c r="AG559" s="1413"/>
      <c r="AH559" s="1414"/>
      <c r="AI559" s="1436"/>
      <c r="AJ559" s="1437"/>
      <c r="AK559" s="1437"/>
      <c r="AL559" s="1438"/>
      <c r="AM559" s="1465"/>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5" customHeight="1">
      <c r="B560" s="52" t="s">
        <v>456</v>
      </c>
      <c r="C560" s="1440"/>
      <c r="D560" s="1440"/>
      <c r="E560" s="1440"/>
      <c r="F560" s="1440"/>
      <c r="G560" s="1440"/>
      <c r="H560" s="1440"/>
      <c r="I560" s="1440"/>
      <c r="J560" s="1440"/>
      <c r="K560" s="1440"/>
      <c r="L560" s="1440"/>
      <c r="M560" s="1439" t="s">
        <v>1185</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5"/>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70910000</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JPMorgan Chase Bank, N.A.</v>
      </c>
      <c r="H568" s="1483"/>
      <c r="I568" s="1483"/>
      <c r="J568" s="1483"/>
      <c r="K568" s="1483"/>
      <c r="L568" s="1483"/>
      <c r="M568" s="1483"/>
      <c r="N568" s="1483"/>
      <c r="O568" s="1483"/>
      <c r="P568" s="1483"/>
      <c r="Q568" s="1483"/>
      <c r="R568" s="1483"/>
      <c r="S568" s="8"/>
      <c r="T568" s="55" t="s">
        <v>113</v>
      </c>
      <c r="U568" t="s">
        <v>464</v>
      </c>
      <c r="Z568" s="1483" t="str">
        <f>C555</f>
        <v>JPMorgan Chase Bank, N.A.</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2693</v>
      </c>
      <c r="H569" s="1407"/>
      <c r="I569" s="1407"/>
      <c r="J569" s="1407"/>
      <c r="K569" s="1407"/>
      <c r="L569" s="1407"/>
      <c r="M569" s="1407"/>
      <c r="N569" s="1407"/>
      <c r="O569" s="1407"/>
      <c r="P569" s="1407"/>
      <c r="Q569" s="1407"/>
      <c r="R569" s="1407"/>
      <c r="S569" s="8"/>
      <c r="T569" s="22"/>
      <c r="U569" t="s">
        <v>85</v>
      </c>
      <c r="Z569" s="1407" t="s">
        <v>2693</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731</v>
      </c>
      <c r="H570" s="1407"/>
      <c r="I570" s="1407"/>
      <c r="J570" s="1407"/>
      <c r="K570" s="1407"/>
      <c r="L570" s="1407"/>
      <c r="M570" s="1407"/>
      <c r="N570" s="1407"/>
      <c r="O570" s="1407"/>
      <c r="P570" s="1407"/>
      <c r="Q570" s="1407"/>
      <c r="R570" s="1407"/>
      <c r="T570" s="22"/>
      <c r="U570" t="s">
        <v>581</v>
      </c>
      <c r="Z570" s="1371" t="s">
        <v>731</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2694</v>
      </c>
      <c r="H571" s="1407"/>
      <c r="I571" s="1407"/>
      <c r="J571" s="1407"/>
      <c r="K571" s="1407"/>
      <c r="L571" s="1407"/>
      <c r="M571" s="1407"/>
      <c r="N571" s="1407"/>
      <c r="O571" s="1407"/>
      <c r="P571" s="1407"/>
      <c r="Q571" s="1407"/>
      <c r="R571" s="1407"/>
      <c r="S571" s="8"/>
      <c r="T571" s="22"/>
      <c r="U571" t="s">
        <v>17</v>
      </c>
      <c r="Z571" s="1371" t="s">
        <v>2694</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674" t="s">
        <v>2695</v>
      </c>
      <c r="H572" s="1487"/>
      <c r="I572" s="1487"/>
      <c r="J572" s="1487"/>
      <c r="K572" s="1487"/>
      <c r="L572" s="1487"/>
      <c r="O572" s="33" t="s">
        <v>206</v>
      </c>
      <c r="P572" s="1471"/>
      <c r="Q572" s="1471"/>
      <c r="R572" s="1471"/>
      <c r="S572" s="10"/>
      <c r="T572" s="22"/>
      <c r="U572" t="s">
        <v>316</v>
      </c>
      <c r="Z572" s="1487" t="s">
        <v>2695</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2696</v>
      </c>
      <c r="I573" s="1407"/>
      <c r="J573" s="1407"/>
      <c r="K573" s="1407"/>
      <c r="L573" s="1407"/>
      <c r="M573" s="1407"/>
      <c r="N573" s="1407"/>
      <c r="O573" s="1407"/>
      <c r="P573" s="1407"/>
      <c r="Q573" s="1407"/>
      <c r="R573" s="1407"/>
      <c r="S573" s="8"/>
      <c r="T573" s="22"/>
      <c r="U573" t="s">
        <v>18</v>
      </c>
      <c r="AA573" s="1407" t="s">
        <v>2696</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598"/>
      <c r="N574" s="1598"/>
      <c r="O574" s="1598"/>
      <c r="P574" s="1598"/>
      <c r="Q574" s="1598"/>
      <c r="R574" s="1598"/>
      <c r="S574" s="8"/>
      <c r="T574" s="22"/>
      <c r="U574" s="320" t="s">
        <v>1186</v>
      </c>
      <c r="AA574" s="8"/>
      <c r="AB574" s="8"/>
      <c r="AC574" s="8"/>
      <c r="AD574" s="8"/>
      <c r="AE574" s="8"/>
      <c r="AF574" s="1598"/>
      <c r="AG574" s="1598"/>
      <c r="AH574" s="1598"/>
      <c r="AI574" s="1598"/>
      <c r="AJ574" s="1598"/>
      <c r="AK574" s="1598"/>
      <c r="BB574" s="3"/>
      <c r="BC574" s="3"/>
      <c r="BD574" s="3"/>
      <c r="BE574" s="3"/>
      <c r="BF574" s="3"/>
      <c r="BG574" s="3"/>
      <c r="BH574" s="3"/>
      <c r="BI574" s="3"/>
    </row>
    <row r="575" spans="1:61" ht="12.95" customHeight="1">
      <c r="A575" s="22"/>
      <c r="B575" t="s">
        <v>20</v>
      </c>
      <c r="N575" s="1415" t="s">
        <v>670</v>
      </c>
      <c r="O575" s="1415"/>
      <c r="T575" s="22"/>
      <c r="U575" t="s">
        <v>20</v>
      </c>
      <c r="AG575" s="1415" t="s">
        <v>670</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WNC</v>
      </c>
      <c r="H577" s="1483"/>
      <c r="I577" s="1483"/>
      <c r="J577" s="1483"/>
      <c r="K577" s="1483"/>
      <c r="L577" s="1483"/>
      <c r="M577" s="1483"/>
      <c r="N577" s="1483"/>
      <c r="O577" s="1483"/>
      <c r="P577" s="1483"/>
      <c r="Q577" s="1483"/>
      <c r="R577" s="1483"/>
      <c r="T577" s="55" t="s">
        <v>582</v>
      </c>
      <c r="U577" t="s">
        <v>464</v>
      </c>
      <c r="Z577" s="1483">
        <f>C557</f>
        <v>0</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2697</v>
      </c>
      <c r="H578" s="1407"/>
      <c r="I578" s="1407"/>
      <c r="J578" s="1407"/>
      <c r="K578" s="1407"/>
      <c r="L578" s="1407"/>
      <c r="M578" s="1407"/>
      <c r="N578" s="1407"/>
      <c r="O578" s="1407"/>
      <c r="P578" s="1407"/>
      <c r="Q578" s="1407"/>
      <c r="R578" s="1407"/>
      <c r="T578" s="22"/>
      <c r="U578" t="s">
        <v>85</v>
      </c>
      <c r="Z578" s="1407"/>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2698</v>
      </c>
      <c r="H579" s="1371"/>
      <c r="I579" s="1371"/>
      <c r="J579" s="1371"/>
      <c r="K579" s="1371"/>
      <c r="L579" s="1371"/>
      <c r="M579" s="1371"/>
      <c r="N579" s="1371"/>
      <c r="O579" s="1371"/>
      <c r="P579" s="1371"/>
      <c r="Q579" s="1371"/>
      <c r="R579" s="1371"/>
      <c r="T579" s="22"/>
      <c r="U579" t="s">
        <v>581</v>
      </c>
      <c r="Z579" s="1371"/>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2699</v>
      </c>
      <c r="H580" s="1371"/>
      <c r="I580" s="1371"/>
      <c r="J580" s="1371"/>
      <c r="K580" s="1371"/>
      <c r="L580" s="1371"/>
      <c r="M580" s="1371"/>
      <c r="N580" s="1371"/>
      <c r="O580" s="1371"/>
      <c r="P580" s="1371"/>
      <c r="Q580" s="1371"/>
      <c r="R580" s="1371"/>
      <c r="T580" s="22"/>
      <c r="U580" t="s">
        <v>17</v>
      </c>
      <c r="Z580" s="1371"/>
      <c r="AA580" s="1371"/>
      <c r="AB580" s="1371"/>
      <c r="AC580" s="1371"/>
      <c r="AD580" s="1371"/>
      <c r="AE580" s="1371"/>
      <c r="AF580" s="1371"/>
      <c r="AG580" s="1371"/>
      <c r="AH580" s="1371"/>
      <c r="AI580" s="1371"/>
      <c r="AJ580" s="1371"/>
      <c r="AK580" s="1371"/>
      <c r="BB580" s="3"/>
      <c r="BC580" s="3"/>
    </row>
    <row r="581" spans="1:55" ht="12.95" customHeight="1">
      <c r="A581" s="22"/>
      <c r="B581" t="s">
        <v>316</v>
      </c>
      <c r="G581" s="1487">
        <v>9494392616</v>
      </c>
      <c r="H581" s="1487"/>
      <c r="I581" s="1487"/>
      <c r="J581" s="1487"/>
      <c r="K581" s="1487"/>
      <c r="L581" s="1487"/>
      <c r="O581" s="33" t="s">
        <v>206</v>
      </c>
      <c r="P581" s="1471"/>
      <c r="Q581" s="1471"/>
      <c r="R581" s="1471"/>
      <c r="T581" s="22"/>
      <c r="U581" t="s">
        <v>316</v>
      </c>
      <c r="Z581" s="1487"/>
      <c r="AA581" s="1487"/>
      <c r="AB581" s="1487"/>
      <c r="AC581" s="1487"/>
      <c r="AD581" s="1487"/>
      <c r="AE581" s="1487"/>
      <c r="AH581" s="33" t="s">
        <v>206</v>
      </c>
      <c r="AI581" s="1471"/>
      <c r="AJ581" s="1471"/>
      <c r="AK581" s="1471"/>
      <c r="BB581" s="3"/>
      <c r="BC581" s="3"/>
    </row>
    <row r="582" spans="1:55" ht="12.95" customHeight="1">
      <c r="A582" s="22"/>
      <c r="B582" t="s">
        <v>18</v>
      </c>
      <c r="H582" s="1407" t="s">
        <v>2700</v>
      </c>
      <c r="I582" s="1407"/>
      <c r="J582" s="1407"/>
      <c r="K582" s="1407"/>
      <c r="L582" s="1407"/>
      <c r="M582" s="1407"/>
      <c r="N582" s="1407"/>
      <c r="O582" s="1407"/>
      <c r="P582" s="1407"/>
      <c r="Q582" s="1407"/>
      <c r="R582" s="1407"/>
      <c r="T582" s="22"/>
      <c r="U582" t="s">
        <v>18</v>
      </c>
      <c r="AA582" s="1407"/>
      <c r="AB582" s="1407"/>
      <c r="AC582" s="1407"/>
      <c r="AD582" s="1407"/>
      <c r="AE582" s="1407"/>
      <c r="AF582" s="1407"/>
      <c r="AG582" s="1407"/>
      <c r="AH582" s="1407"/>
      <c r="AI582" s="1407"/>
      <c r="AJ582" s="1407"/>
      <c r="AK582" s="1407"/>
      <c r="BB582" s="3"/>
      <c r="BC582" s="3"/>
    </row>
    <row r="583" spans="1:55" ht="12.95" customHeight="1">
      <c r="A583" s="22"/>
      <c r="B583" t="s">
        <v>20</v>
      </c>
      <c r="N583" s="1415" t="s">
        <v>670</v>
      </c>
      <c r="O583" s="1415"/>
      <c r="T583" s="22"/>
      <c r="U583" t="s">
        <v>20</v>
      </c>
      <c r="AG583" s="1415" t="s">
        <v>670</v>
      </c>
      <c r="AH583" s="1415"/>
      <c r="BB583" s="3"/>
      <c r="BC583" s="3"/>
    </row>
    <row r="584" spans="1:55" ht="12.95" customHeight="1">
      <c r="A584" s="22"/>
      <c r="T584" s="22"/>
      <c r="BB584" s="3"/>
      <c r="BC584" s="3"/>
    </row>
    <row r="585" spans="1:55" ht="12.95" customHeight="1">
      <c r="A585" s="55" t="s">
        <v>764</v>
      </c>
      <c r="B585" t="s">
        <v>464</v>
      </c>
      <c r="G585" s="1483">
        <f>C558</f>
        <v>0</v>
      </c>
      <c r="H585" s="1483"/>
      <c r="I585" s="1483"/>
      <c r="J585" s="1483"/>
      <c r="K585" s="1483"/>
      <c r="L585" s="1483"/>
      <c r="M585" s="1483"/>
      <c r="N585" s="1483"/>
      <c r="O585" s="1483"/>
      <c r="P585" s="1483"/>
      <c r="Q585" s="1483"/>
      <c r="R585" s="1483"/>
      <c r="T585" s="55" t="s">
        <v>585</v>
      </c>
      <c r="U585" t="s">
        <v>464</v>
      </c>
      <c r="Z585" s="1483">
        <f>C559</f>
        <v>0</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c r="H586" s="1407"/>
      <c r="I586" s="1407"/>
      <c r="J586" s="1407"/>
      <c r="K586" s="1407"/>
      <c r="L586" s="1407"/>
      <c r="M586" s="1407"/>
      <c r="N586" s="1407"/>
      <c r="O586" s="1407"/>
      <c r="P586" s="1407"/>
      <c r="Q586" s="1407"/>
      <c r="R586" s="1407"/>
      <c r="T586" s="22"/>
      <c r="U586" t="s">
        <v>85</v>
      </c>
      <c r="Z586" s="1407"/>
      <c r="AA586" s="1407"/>
      <c r="AB586" s="1407"/>
      <c r="AC586" s="1407"/>
      <c r="AD586" s="1407"/>
      <c r="AE586" s="1407"/>
      <c r="AF586" s="1407"/>
      <c r="AG586" s="1407"/>
      <c r="AH586" s="1407"/>
      <c r="AI586" s="1407"/>
      <c r="AJ586" s="1407"/>
      <c r="AK586" s="1407"/>
      <c r="BB586" s="3"/>
      <c r="BC586" s="3"/>
    </row>
    <row r="587" spans="1:55" ht="12.95" customHeight="1">
      <c r="A587" s="22"/>
      <c r="B587" t="s">
        <v>581</v>
      </c>
      <c r="G587" s="1407"/>
      <c r="H587" s="1407"/>
      <c r="I587" s="1407"/>
      <c r="J587" s="1407"/>
      <c r="K587" s="1407"/>
      <c r="L587" s="1407"/>
      <c r="M587" s="1407"/>
      <c r="N587" s="1407"/>
      <c r="O587" s="1407"/>
      <c r="P587" s="1407"/>
      <c r="Q587" s="1407"/>
      <c r="R587" s="1407"/>
      <c r="T587" s="22"/>
      <c r="U587" t="s">
        <v>581</v>
      </c>
      <c r="Z587" s="1371"/>
      <c r="AA587" s="1371"/>
      <c r="AB587" s="1371"/>
      <c r="AC587" s="1371"/>
      <c r="AD587" s="1371"/>
      <c r="AE587" s="1371"/>
      <c r="AF587" s="1371"/>
      <c r="AG587" s="1371"/>
      <c r="AH587" s="1371"/>
      <c r="AI587" s="1371"/>
      <c r="AJ587" s="1371"/>
      <c r="AK587" s="1371"/>
      <c r="BB587" s="3"/>
      <c r="BC587" s="3"/>
    </row>
    <row r="588" spans="1:55" ht="12.95" customHeight="1">
      <c r="A588" s="22"/>
      <c r="B588" t="s">
        <v>17</v>
      </c>
      <c r="G588" s="1407"/>
      <c r="H588" s="1407"/>
      <c r="I588" s="1407"/>
      <c r="J588" s="1407"/>
      <c r="K588" s="1407"/>
      <c r="L588" s="1407"/>
      <c r="M588" s="1407"/>
      <c r="N588" s="1407"/>
      <c r="O588" s="1407"/>
      <c r="P588" s="1407"/>
      <c r="Q588" s="1407"/>
      <c r="R588" s="1407"/>
      <c r="T588" s="22"/>
      <c r="U588" t="s">
        <v>17</v>
      </c>
      <c r="Z588" s="1371"/>
      <c r="AA588" s="1371"/>
      <c r="AB588" s="1371"/>
      <c r="AC588" s="1371"/>
      <c r="AD588" s="1371"/>
      <c r="AE588" s="1371"/>
      <c r="AF588" s="1371"/>
      <c r="AG588" s="1371"/>
      <c r="AH588" s="1371"/>
      <c r="AI588" s="1371"/>
      <c r="AJ588" s="1371"/>
      <c r="AK588" s="1371"/>
    </row>
    <row r="589" spans="1:55" ht="12.95" customHeight="1">
      <c r="A589" s="22"/>
      <c r="B589" t="s">
        <v>316</v>
      </c>
      <c r="G589" s="1487"/>
      <c r="H589" s="1487"/>
      <c r="I589" s="1487"/>
      <c r="J589" s="1487"/>
      <c r="K589" s="1487"/>
      <c r="L589" s="1487"/>
      <c r="O589" s="33" t="s">
        <v>206</v>
      </c>
      <c r="P589" s="1471"/>
      <c r="Q589" s="1471"/>
      <c r="R589" s="1471"/>
      <c r="T589" s="22"/>
      <c r="U589" t="s">
        <v>316</v>
      </c>
      <c r="Z589" s="1487"/>
      <c r="AA589" s="1487"/>
      <c r="AB589" s="1487"/>
      <c r="AC589" s="1487"/>
      <c r="AD589" s="1487"/>
      <c r="AE589" s="1487"/>
      <c r="AH589" s="33" t="s">
        <v>206</v>
      </c>
      <c r="AI589" s="1471"/>
      <c r="AJ589" s="1471"/>
      <c r="AK589" s="1471"/>
      <c r="AZ589" s="3"/>
      <c r="BA589" s="3"/>
      <c r="BB589" s="3"/>
      <c r="BC589" s="3"/>
    </row>
    <row r="590" spans="1:55" ht="12.95" customHeight="1">
      <c r="A590" s="22"/>
      <c r="B590" t="s">
        <v>18</v>
      </c>
      <c r="H590" s="1407"/>
      <c r="I590" s="1407"/>
      <c r="J590" s="1407"/>
      <c r="K590" s="1407"/>
      <c r="L590" s="1407"/>
      <c r="M590" s="1407"/>
      <c r="N590" s="1407"/>
      <c r="O590" s="1407"/>
      <c r="P590" s="1407"/>
      <c r="Q590" s="1407"/>
      <c r="R590" s="1407"/>
      <c r="T590" s="22"/>
      <c r="U590" t="s">
        <v>18</v>
      </c>
      <c r="AA590" s="1407"/>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670</v>
      </c>
      <c r="O591" s="1415"/>
      <c r="T591" s="22"/>
      <c r="U591" t="s">
        <v>20</v>
      </c>
      <c r="AG591" s="1415" t="s">
        <v>670</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f>C560</f>
        <v>0</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7"/>
      <c r="H597" s="1487"/>
      <c r="I597" s="1487"/>
      <c r="J597" s="1487"/>
      <c r="K597" s="1487"/>
      <c r="L597" s="1487"/>
      <c r="M597"/>
      <c r="N597"/>
      <c r="O597" s="33" t="s">
        <v>206</v>
      </c>
      <c r="P597" s="1471"/>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670</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2103</v>
      </c>
      <c r="AZ622" s="3"/>
      <c r="BA622" s="3"/>
      <c r="BB622" s="3"/>
      <c r="BC622" s="3"/>
    </row>
    <row r="623" spans="1:55" ht="12.95" customHeight="1">
      <c r="B623" s="512"/>
      <c r="C623" s="2"/>
      <c r="AU623" s="3"/>
      <c r="AZ623" s="3"/>
      <c r="BA623" s="3"/>
      <c r="BB623" s="3"/>
      <c r="BC623" s="3"/>
    </row>
    <row r="624" spans="1:55" ht="12.95" customHeight="1">
      <c r="B624" s="1668" t="s">
        <v>2105</v>
      </c>
      <c r="C624" s="1668"/>
      <c r="D624" s="1668"/>
      <c r="E624" s="1668"/>
      <c r="F624" s="1668"/>
      <c r="G624" s="1668"/>
      <c r="H624" s="1668"/>
      <c r="I624" s="1668"/>
      <c r="J624" s="1668"/>
      <c r="K624" s="1668"/>
      <c r="L624" s="1668"/>
      <c r="M624" s="1673" t="s">
        <v>2106</v>
      </c>
      <c r="N624" s="1673"/>
      <c r="O624" s="1673"/>
      <c r="P624" s="1673"/>
      <c r="Q624" s="1673" t="s">
        <v>1855</v>
      </c>
      <c r="R624" s="1673"/>
      <c r="S624" s="1673"/>
      <c r="T624" s="1673" t="s">
        <v>1853</v>
      </c>
      <c r="U624" s="1673"/>
      <c r="V624" s="1673"/>
      <c r="W624" s="1669" t="s">
        <v>454</v>
      </c>
      <c r="X624" s="1669"/>
      <c r="Y624" s="1669"/>
      <c r="Z624" s="1397" t="s">
        <v>2135</v>
      </c>
      <c r="AA624" s="1397"/>
      <c r="AB624" s="1398"/>
      <c r="AC624" s="1675" t="s">
        <v>1678</v>
      </c>
      <c r="AD624" s="1676"/>
      <c r="AE624" s="1677"/>
      <c r="AF624" s="1396" t="s">
        <v>1933</v>
      </c>
      <c r="AG624" s="1397"/>
      <c r="AH624" s="1397"/>
      <c r="AI624" s="1397"/>
      <c r="AJ624" s="1398"/>
      <c r="AK624" s="1589" t="s">
        <v>1934</v>
      </c>
      <c r="AL624" s="1590"/>
      <c r="AM624" s="1590"/>
      <c r="AN624" s="1591"/>
      <c r="AO624" s="1673" t="s">
        <v>455</v>
      </c>
      <c r="AP624" s="1673"/>
      <c r="AQ624" s="1673"/>
      <c r="AR624" s="1673"/>
      <c r="AS624" s="1673"/>
      <c r="AU624" s="3"/>
      <c r="AZ624" s="3"/>
      <c r="BA624" s="3"/>
      <c r="BB624" s="3"/>
      <c r="BC624" s="3"/>
    </row>
    <row r="625" spans="2:157" ht="12.95" customHeight="1">
      <c r="B625" s="1668"/>
      <c r="C625" s="1668"/>
      <c r="D625" s="1668"/>
      <c r="E625" s="1668"/>
      <c r="F625" s="1668"/>
      <c r="G625" s="1668"/>
      <c r="H625" s="1668"/>
      <c r="I625" s="1668"/>
      <c r="J625" s="1668"/>
      <c r="K625" s="1668"/>
      <c r="L625" s="1668"/>
      <c r="M625" s="1673"/>
      <c r="N625" s="1673"/>
      <c r="O625" s="1673"/>
      <c r="P625" s="1673"/>
      <c r="Q625" s="1673"/>
      <c r="R625" s="1673"/>
      <c r="S625" s="1673"/>
      <c r="T625" s="1673"/>
      <c r="U625" s="1673"/>
      <c r="V625" s="1673"/>
      <c r="W625" s="1669"/>
      <c r="X625" s="1669"/>
      <c r="Y625" s="1669"/>
      <c r="Z625" s="1400"/>
      <c r="AA625" s="1400"/>
      <c r="AB625" s="1401"/>
      <c r="AC625" s="1678"/>
      <c r="AD625" s="1679"/>
      <c r="AE625" s="1680"/>
      <c r="AF625" s="1399"/>
      <c r="AG625" s="1400"/>
      <c r="AH625" s="1400"/>
      <c r="AI625" s="1400"/>
      <c r="AJ625" s="1401"/>
      <c r="AK625" s="1592"/>
      <c r="AL625" s="1593"/>
      <c r="AM625" s="1593"/>
      <c r="AN625" s="1594"/>
      <c r="AO625" s="1673"/>
      <c r="AP625" s="1673"/>
      <c r="AQ625" s="1673"/>
      <c r="AR625" s="1673"/>
      <c r="AS625" s="1673"/>
      <c r="AU625" s="3"/>
      <c r="AZ625" s="3"/>
      <c r="BA625" s="3"/>
      <c r="BB625" s="3"/>
      <c r="BC625" s="3"/>
      <c r="BD625" s="3"/>
    </row>
    <row r="626" spans="2:157" ht="12.95" customHeight="1">
      <c r="B626" s="1668"/>
      <c r="C626" s="1668"/>
      <c r="D626" s="1668"/>
      <c r="E626" s="1668"/>
      <c r="F626" s="1668"/>
      <c r="G626" s="1668"/>
      <c r="H626" s="1668"/>
      <c r="I626" s="1668"/>
      <c r="J626" s="1668"/>
      <c r="K626" s="1668"/>
      <c r="L626" s="1668"/>
      <c r="M626" s="1673"/>
      <c r="N626" s="1673"/>
      <c r="O626" s="1673"/>
      <c r="P626" s="1673"/>
      <c r="Q626" s="1673"/>
      <c r="R626" s="1673"/>
      <c r="S626" s="1673"/>
      <c r="T626" s="1673"/>
      <c r="U626" s="1673"/>
      <c r="V626" s="1673"/>
      <c r="W626" s="1669"/>
      <c r="X626" s="1669"/>
      <c r="Y626" s="1669"/>
      <c r="Z626" s="1403"/>
      <c r="AA626" s="1403"/>
      <c r="AB626" s="1404"/>
      <c r="AC626" s="1681"/>
      <c r="AD626" s="1682"/>
      <c r="AE626" s="1683"/>
      <c r="AF626" s="1402"/>
      <c r="AG626" s="1403"/>
      <c r="AH626" s="1403"/>
      <c r="AI626" s="1403"/>
      <c r="AJ626" s="1404"/>
      <c r="AK626" s="1595"/>
      <c r="AL626" s="1596"/>
      <c r="AM626" s="1596"/>
      <c r="AN626" s="1597"/>
      <c r="AO626" s="1673"/>
      <c r="AP626" s="1673"/>
      <c r="AQ626" s="1673"/>
      <c r="AR626" s="1673"/>
      <c r="AS626" s="1673"/>
      <c r="AT626" s="3"/>
      <c r="AU626" s="3"/>
      <c r="AZ626" s="3"/>
      <c r="BA626" s="3"/>
      <c r="BB626" s="3"/>
      <c r="BC626" s="3"/>
      <c r="BD626" s="3"/>
    </row>
    <row r="627" spans="2:157" ht="12.95" customHeight="1">
      <c r="B627" s="51" t="s">
        <v>112</v>
      </c>
      <c r="C627" s="1479" t="s">
        <v>2692</v>
      </c>
      <c r="D627" s="1479"/>
      <c r="E627" s="1479"/>
      <c r="F627" s="1479"/>
      <c r="G627" s="1479"/>
      <c r="H627" s="1479"/>
      <c r="I627" s="1479"/>
      <c r="J627" s="1479"/>
      <c r="K627" s="1479"/>
      <c r="L627" s="1479"/>
      <c r="M627" s="1493" t="s">
        <v>2122</v>
      </c>
      <c r="N627" s="1493"/>
      <c r="O627" s="1493"/>
      <c r="P627" s="1493"/>
      <c r="Q627" s="1509">
        <v>204</v>
      </c>
      <c r="R627" s="1509"/>
      <c r="S627" s="1510"/>
      <c r="T627" s="1508">
        <v>480</v>
      </c>
      <c r="U627" s="1509"/>
      <c r="V627" s="1510"/>
      <c r="W627" s="1480">
        <v>6.5500000000000003E-2</v>
      </c>
      <c r="X627" s="1481"/>
      <c r="Y627" s="1482"/>
      <c r="Z627" s="1476" t="s">
        <v>1185</v>
      </c>
      <c r="AA627" s="1477"/>
      <c r="AB627" s="1478"/>
      <c r="AC627" s="1381"/>
      <c r="AD627" s="1382"/>
      <c r="AE627" s="1383"/>
      <c r="AF627" s="1490">
        <v>2412032</v>
      </c>
      <c r="AG627" s="1491"/>
      <c r="AH627" s="1491"/>
      <c r="AI627" s="1491"/>
      <c r="AJ627" s="1492"/>
      <c r="AK627" s="1484"/>
      <c r="AL627" s="1485"/>
      <c r="AM627" s="1485"/>
      <c r="AN627" s="1486"/>
      <c r="AO627" s="1637">
        <v>32620000</v>
      </c>
      <c r="AP627" s="1637"/>
      <c r="AQ627" s="1637"/>
      <c r="AR627" s="1637"/>
      <c r="AS627" s="1637"/>
      <c r="AT627" s="3"/>
      <c r="AU627" s="3"/>
      <c r="AZ627" s="3"/>
      <c r="BA627" s="3"/>
      <c r="BB627" s="3"/>
      <c r="BC627" s="3"/>
      <c r="BD627" s="3"/>
    </row>
    <row r="628" spans="2:157" ht="12.95" customHeight="1">
      <c r="B628" s="52" t="s">
        <v>113</v>
      </c>
      <c r="C628" s="1479" t="s">
        <v>2637</v>
      </c>
      <c r="D628" s="1479"/>
      <c r="E628" s="1479"/>
      <c r="F628" s="1479"/>
      <c r="G628" s="1479"/>
      <c r="H628" s="1479"/>
      <c r="I628" s="1479"/>
      <c r="J628" s="1479"/>
      <c r="K628" s="1479"/>
      <c r="L628" s="1479"/>
      <c r="M628" s="1493" t="s">
        <v>2109</v>
      </c>
      <c r="N628" s="1493"/>
      <c r="O628" s="1493"/>
      <c r="P628" s="1493"/>
      <c r="Q628" s="1508">
        <v>180</v>
      </c>
      <c r="R628" s="1509"/>
      <c r="S628" s="1510"/>
      <c r="T628" s="1508"/>
      <c r="U628" s="1509"/>
      <c r="V628" s="1510"/>
      <c r="W628" s="1480">
        <v>0</v>
      </c>
      <c r="X628" s="1481"/>
      <c r="Y628" s="1482"/>
      <c r="Z628" s="1476" t="s">
        <v>1185</v>
      </c>
      <c r="AA628" s="1477"/>
      <c r="AB628" s="1478"/>
      <c r="AC628" s="1381"/>
      <c r="AD628" s="1382"/>
      <c r="AE628" s="1383"/>
      <c r="AF628" s="1490"/>
      <c r="AG628" s="1491"/>
      <c r="AH628" s="1491"/>
      <c r="AI628" s="1491"/>
      <c r="AJ628" s="1492"/>
      <c r="AK628" s="1484"/>
      <c r="AL628" s="1485"/>
      <c r="AM628" s="1485"/>
      <c r="AN628" s="1486"/>
      <c r="AO628" s="1475">
        <v>5982728</v>
      </c>
      <c r="AP628" s="1338"/>
      <c r="AQ628" s="1338"/>
      <c r="AR628" s="1338"/>
      <c r="AS628" s="1339"/>
      <c r="AT628" s="1148" t="str">
        <f>IF(AND(NOT(C627=""),C628="",NOT(C629="")),"!","")</f>
        <v/>
      </c>
      <c r="AU628" s="3"/>
      <c r="AZ628" s="3"/>
      <c r="BA628" s="3"/>
      <c r="BB628" s="3"/>
      <c r="BC628" s="3"/>
      <c r="BD628" s="3"/>
    </row>
    <row r="629" spans="2:157" ht="12.95" customHeight="1">
      <c r="B629" s="52" t="s">
        <v>119</v>
      </c>
      <c r="C629" s="1479"/>
      <c r="D629" s="1479"/>
      <c r="E629" s="1479"/>
      <c r="F629" s="1479"/>
      <c r="G629" s="1479"/>
      <c r="H629" s="1479"/>
      <c r="I629" s="1479"/>
      <c r="J629" s="1479"/>
      <c r="K629" s="1479"/>
      <c r="L629" s="1479"/>
      <c r="M629" s="1493" t="s">
        <v>1185</v>
      </c>
      <c r="N629" s="1493"/>
      <c r="O629" s="1493"/>
      <c r="P629" s="1493"/>
      <c r="Q629" s="1508"/>
      <c r="R629" s="1509"/>
      <c r="S629" s="1510"/>
      <c r="T629" s="1508"/>
      <c r="U629" s="1509"/>
      <c r="V629" s="1510"/>
      <c r="W629" s="1480"/>
      <c r="X629" s="1481"/>
      <c r="Y629" s="1482"/>
      <c r="Z629" s="1476" t="s">
        <v>1185</v>
      </c>
      <c r="AA629" s="1477"/>
      <c r="AB629" s="1478"/>
      <c r="AC629" s="1381"/>
      <c r="AD629" s="1382"/>
      <c r="AE629" s="1383"/>
      <c r="AF629" s="1490"/>
      <c r="AG629" s="1491"/>
      <c r="AH629" s="1491"/>
      <c r="AI629" s="1491"/>
      <c r="AJ629" s="1492"/>
      <c r="AK629" s="1484"/>
      <c r="AL629" s="1485"/>
      <c r="AM629" s="1485"/>
      <c r="AN629" s="1486"/>
      <c r="AO629" s="1475"/>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89"/>
      <c r="D630" s="1489"/>
      <c r="E630" s="1489"/>
      <c r="F630" s="1489"/>
      <c r="G630" s="1489"/>
      <c r="H630" s="1489"/>
      <c r="I630" s="1489"/>
      <c r="J630" s="1489"/>
      <c r="K630" s="1489"/>
      <c r="L630" s="1489"/>
      <c r="M630" s="1493" t="s">
        <v>1185</v>
      </c>
      <c r="N630" s="1493"/>
      <c r="O630" s="1493"/>
      <c r="P630" s="1493"/>
      <c r="Q630" s="1508"/>
      <c r="R630" s="1509"/>
      <c r="S630" s="1510"/>
      <c r="T630" s="1508"/>
      <c r="U630" s="1509"/>
      <c r="V630" s="1510"/>
      <c r="W630" s="1480"/>
      <c r="X630" s="1481"/>
      <c r="Y630" s="1482"/>
      <c r="Z630" s="1476" t="s">
        <v>1185</v>
      </c>
      <c r="AA630" s="1477"/>
      <c r="AB630" s="1478"/>
      <c r="AC630" s="1381"/>
      <c r="AD630" s="1382"/>
      <c r="AE630" s="1383"/>
      <c r="AF630" s="1490"/>
      <c r="AG630" s="1491"/>
      <c r="AH630" s="1491"/>
      <c r="AI630" s="1491"/>
      <c r="AJ630" s="1492"/>
      <c r="AK630" s="1484"/>
      <c r="AL630" s="1485"/>
      <c r="AM630" s="1485"/>
      <c r="AN630" s="1486"/>
      <c r="AO630" s="1475"/>
      <c r="AP630" s="1338"/>
      <c r="AQ630" s="1338"/>
      <c r="AR630" s="1338"/>
      <c r="AS630" s="1339"/>
      <c r="AT630" s="1148" t="str">
        <f t="shared" si="1"/>
        <v/>
      </c>
      <c r="AU630" s="3"/>
      <c r="AZ630" s="3"/>
      <c r="BA630" s="3"/>
      <c r="BB630" s="3"/>
      <c r="BC630" s="3"/>
      <c r="BD630" s="3"/>
    </row>
    <row r="631" spans="2:157" ht="12.95" customHeight="1">
      <c r="B631" s="52" t="s">
        <v>764</v>
      </c>
      <c r="C631" s="1489"/>
      <c r="D631" s="1489"/>
      <c r="E631" s="1489"/>
      <c r="F631" s="1489"/>
      <c r="G631" s="1489"/>
      <c r="H631" s="1489"/>
      <c r="I631" s="1489"/>
      <c r="J631" s="1489"/>
      <c r="K631" s="1489"/>
      <c r="L631" s="1489"/>
      <c r="M631" s="1493" t="s">
        <v>1185</v>
      </c>
      <c r="N631" s="1493"/>
      <c r="O631" s="1493"/>
      <c r="P631" s="1493"/>
      <c r="Q631" s="1508"/>
      <c r="R631" s="1509"/>
      <c r="S631" s="1510"/>
      <c r="T631" s="1508"/>
      <c r="U631" s="1509"/>
      <c r="V631" s="1510"/>
      <c r="W631" s="1480"/>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1185</v>
      </c>
      <c r="N632" s="1493"/>
      <c r="O632" s="1493"/>
      <c r="P632" s="1493"/>
      <c r="Q632" s="1508"/>
      <c r="R632" s="1509"/>
      <c r="S632" s="1510"/>
      <c r="T632" s="1508"/>
      <c r="U632" s="1509"/>
      <c r="V632" s="1510"/>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1185</v>
      </c>
      <c r="N633" s="1493"/>
      <c r="O633" s="1493"/>
      <c r="P633" s="1493"/>
      <c r="Q633" s="1508"/>
      <c r="R633" s="1509"/>
      <c r="S633" s="1510"/>
      <c r="T633" s="1508"/>
      <c r="U633" s="1509"/>
      <c r="V633" s="1510"/>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1185</v>
      </c>
      <c r="N634" s="1493"/>
      <c r="O634" s="1493"/>
      <c r="P634" s="1493"/>
      <c r="Q634" s="1508"/>
      <c r="R634" s="1509"/>
      <c r="S634" s="1510"/>
      <c r="T634" s="1508"/>
      <c r="U634" s="1509"/>
      <c r="V634" s="1510"/>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89"/>
      <c r="D635" s="1489"/>
      <c r="E635" s="1489"/>
      <c r="F635" s="1489"/>
      <c r="G635" s="1489"/>
      <c r="H635" s="1489"/>
      <c r="I635" s="1489"/>
      <c r="J635" s="1489"/>
      <c r="K635" s="1489"/>
      <c r="L635" s="1489"/>
      <c r="M635" s="1493" t="s">
        <v>1185</v>
      </c>
      <c r="N635" s="1493"/>
      <c r="O635" s="1493"/>
      <c r="P635" s="1493"/>
      <c r="Q635" s="1508"/>
      <c r="R635" s="1509"/>
      <c r="S635" s="1510"/>
      <c r="T635" s="1508"/>
      <c r="U635" s="1509"/>
      <c r="V635" s="1510"/>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38.060606060606062</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1185</v>
      </c>
      <c r="N636" s="1493"/>
      <c r="O636" s="1493"/>
      <c r="P636" s="1493"/>
      <c r="Q636" s="1508"/>
      <c r="R636" s="1509"/>
      <c r="S636" s="1510"/>
      <c r="T636" s="1508"/>
      <c r="U636" s="1509"/>
      <c r="V636" s="1510"/>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67.333333333333329</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1185</v>
      </c>
      <c r="N637" s="1493"/>
      <c r="O637" s="1493"/>
      <c r="P637" s="1493"/>
      <c r="Q637" s="1508"/>
      <c r="R637" s="1509"/>
      <c r="S637" s="1510"/>
      <c r="T637" s="1508"/>
      <c r="U637" s="1509"/>
      <c r="V637" s="1510"/>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2134</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273.13131313131311</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1185</v>
      </c>
      <c r="N638" s="1493"/>
      <c r="O638" s="1493"/>
      <c r="P638" s="1493"/>
      <c r="Q638" s="1508"/>
      <c r="R638" s="1509"/>
      <c r="S638" s="1510"/>
      <c r="T638" s="1508"/>
      <c r="U638" s="1509"/>
      <c r="V638" s="1510"/>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289.63636363636363</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38602728</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f t="shared" si="3"/>
        <v>31.717171717171716</v>
      </c>
      <c r="ED639" s="1369"/>
      <c r="EE639" s="1369"/>
      <c r="EF639" s="1369"/>
      <c r="EG639" s="1369"/>
      <c r="EH639" s="1369" t="e">
        <f t="shared" si="4"/>
        <v>#VALUE!</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34478023</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f t="shared" si="3"/>
        <v>56.111111111111107</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2"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3"/>
      <c r="AO641" s="1472">
        <f>AO639+AO640</f>
        <v>73080751</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f t="shared" si="3"/>
        <v>273.13131313131311</v>
      </c>
      <c r="ED641" s="1369"/>
      <c r="EE641" s="1369"/>
      <c r="EF641" s="1369"/>
      <c r="EG641" s="1369"/>
      <c r="EH641" s="1369" t="e">
        <f t="shared" si="4"/>
        <v>#VALUE!</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f t="shared" si="3"/>
        <v>305.72727272727269</v>
      </c>
      <c r="ED642" s="1369"/>
      <c r="EE642" s="1369"/>
      <c r="EF642" s="1369"/>
      <c r="EG642" s="1369"/>
      <c r="EH642" s="1369" t="e">
        <f t="shared" si="4"/>
        <v>#VALUE!</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JPMorgan Chase Bank, N.A.</v>
      </c>
      <c r="H643" s="1483"/>
      <c r="I643" s="1483"/>
      <c r="J643" s="1483"/>
      <c r="K643" s="1483"/>
      <c r="L643" s="1483"/>
      <c r="M643" s="1483"/>
      <c r="N643" s="1483"/>
      <c r="O643" s="1483"/>
      <c r="P643" s="1483"/>
      <c r="Q643" s="1483"/>
      <c r="R643" s="1483"/>
      <c r="S643" s="8"/>
      <c r="T643" s="55" t="s">
        <v>113</v>
      </c>
      <c r="U643" t="s">
        <v>464</v>
      </c>
      <c r="Z643" s="1483" t="str">
        <f>C628</f>
        <v>St. Anton Communities, LLC</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f t="shared" si="4"/>
        <v>73.7</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2693</v>
      </c>
      <c r="H644" s="1407"/>
      <c r="I644" s="1407"/>
      <c r="J644" s="1407"/>
      <c r="K644" s="1407"/>
      <c r="L644" s="1407"/>
      <c r="M644" s="1407"/>
      <c r="N644" s="1407"/>
      <c r="O644" s="1407"/>
      <c r="P644" s="1407"/>
      <c r="Q644" s="1407"/>
      <c r="R644" s="1407"/>
      <c r="S644" s="8"/>
      <c r="T644" s="22"/>
      <c r="U644" t="s">
        <v>85</v>
      </c>
      <c r="Z644" s="1407" t="s">
        <v>2630</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f t="shared" si="4"/>
        <v>131.6</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731</v>
      </c>
      <c r="H645" s="1407"/>
      <c r="I645" s="1407"/>
      <c r="J645" s="1407"/>
      <c r="K645" s="1407"/>
      <c r="L645" s="1407"/>
      <c r="M645" s="1407"/>
      <c r="N645" s="1407"/>
      <c r="O645" s="1407"/>
      <c r="P645" s="1407"/>
      <c r="Q645" s="1407"/>
      <c r="R645" s="1407"/>
      <c r="T645" s="22"/>
      <c r="U645" t="s">
        <v>581</v>
      </c>
      <c r="Z645" s="1371" t="s">
        <v>68</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f t="shared" si="4"/>
        <v>642.40000000000009</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2694</v>
      </c>
      <c r="H646" s="1407"/>
      <c r="I646" s="1407"/>
      <c r="J646" s="1407"/>
      <c r="K646" s="1407"/>
      <c r="L646" s="1407"/>
      <c r="M646" s="1407"/>
      <c r="N646" s="1407"/>
      <c r="O646" s="1407"/>
      <c r="P646" s="1407"/>
      <c r="Q646" s="1407"/>
      <c r="R646" s="1407"/>
      <c r="S646" s="8"/>
      <c r="T646" s="22"/>
      <c r="U646" t="s">
        <v>17</v>
      </c>
      <c r="Z646" s="1371" t="s">
        <v>2702</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f t="shared" si="4"/>
        <v>758</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7" t="s">
        <v>2695</v>
      </c>
      <c r="H647" s="1487"/>
      <c r="I647" s="1487"/>
      <c r="J647" s="1487"/>
      <c r="K647" s="1487"/>
      <c r="L647" s="1487"/>
      <c r="O647" s="33" t="s">
        <v>206</v>
      </c>
      <c r="P647" s="1471"/>
      <c r="Q647" s="1471"/>
      <c r="R647" s="1471"/>
      <c r="S647" s="10"/>
      <c r="T647" s="22"/>
      <c r="U647" t="s">
        <v>316</v>
      </c>
      <c r="Z647" s="1487">
        <v>9164467599</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f t="shared" si="5"/>
        <v>83.600000000000009</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
        <v>2701</v>
      </c>
      <c r="I648" s="1407"/>
      <c r="J648" s="1407"/>
      <c r="K648" s="1407"/>
      <c r="L648" s="1407"/>
      <c r="M648" s="1407"/>
      <c r="N648" s="1407"/>
      <c r="O648" s="1407"/>
      <c r="P648" s="1407"/>
      <c r="Q648" s="1407"/>
      <c r="R648" s="1407"/>
      <c r="S648" s="8"/>
      <c r="T648" s="22"/>
      <c r="U648" t="s">
        <v>18</v>
      </c>
      <c r="AA648" s="1407" t="s">
        <v>2703</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f t="shared" si="5"/>
        <v>150.4</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670</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f t="shared" si="5"/>
        <v>735.6</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f t="shared" si="5"/>
        <v>869.2</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f>C629</f>
        <v>0</v>
      </c>
      <c r="H651" s="1483"/>
      <c r="I651" s="1483"/>
      <c r="J651" s="1483"/>
      <c r="K651" s="1483"/>
      <c r="L651" s="1483"/>
      <c r="M651" s="1483"/>
      <c r="N651" s="1483"/>
      <c r="O651" s="1483"/>
      <c r="P651" s="1483"/>
      <c r="Q651" s="1483"/>
      <c r="R651" s="1483"/>
      <c r="T651" s="55" t="s">
        <v>582</v>
      </c>
      <c r="U651" t="s">
        <v>464</v>
      </c>
      <c r="Z651" s="1483">
        <f>C630</f>
        <v>0</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c r="H653" s="1371"/>
      <c r="I653" s="1371"/>
      <c r="J653" s="1371"/>
      <c r="K653" s="1371"/>
      <c r="L653" s="1371"/>
      <c r="M653" s="1371"/>
      <c r="N653" s="1371"/>
      <c r="O653" s="1371"/>
      <c r="P653" s="1371"/>
      <c r="Q653" s="1371"/>
      <c r="R653" s="1371"/>
      <c r="T653" s="22"/>
      <c r="U653" t="s">
        <v>581</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7"/>
      <c r="H655" s="1487"/>
      <c r="I655" s="1487"/>
      <c r="J655" s="1487"/>
      <c r="K655" s="1487"/>
      <c r="L655" s="1487"/>
      <c r="O655" s="33" t="s">
        <v>206</v>
      </c>
      <c r="P655" s="1471"/>
      <c r="Q655" s="1471"/>
      <c r="R655" s="1471"/>
      <c r="T655" s="22"/>
      <c r="U655" t="s">
        <v>316</v>
      </c>
      <c r="Z655" s="1487"/>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670</v>
      </c>
      <c r="O657" s="1415"/>
      <c r="T657" s="22"/>
      <c r="U657" t="s">
        <v>20</v>
      </c>
      <c r="AG657" s="1415" t="s">
        <v>670</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f>C631</f>
        <v>0</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670</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1334.8484848484848</v>
      </c>
      <c r="ED670" s="1369"/>
      <c r="EE670" s="1369"/>
      <c r="EF670" s="1369"/>
      <c r="EG670" s="1369"/>
      <c r="EH670" s="1369">
        <f>SUMIF(EH635:EL669,"&gt;0")</f>
        <v>1605.7</v>
      </c>
      <c r="EI670" s="1369"/>
      <c r="EJ670" s="1369"/>
      <c r="EK670" s="1369"/>
      <c r="EL670" s="1369"/>
      <c r="EM670" s="1369">
        <f>SUMIF(EM635:EQ669,"&gt;0")</f>
        <v>1838.8000000000002</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670</v>
      </c>
      <c r="AF694" s="1415"/>
      <c r="AZ694" s="3"/>
    </row>
    <row r="695" spans="1:67" ht="12.95" customHeight="1">
      <c r="B695" s="135"/>
      <c r="C695" s="135"/>
      <c r="D695" s="136" t="s">
        <v>921</v>
      </c>
      <c r="E695" s="135"/>
      <c r="F695" s="135"/>
      <c r="G695" s="135"/>
      <c r="H695" s="135"/>
      <c r="AE695" s="1506">
        <v>45797</v>
      </c>
      <c r="AF695" s="1506"/>
      <c r="AG695" s="1506"/>
      <c r="AH695" s="1506"/>
      <c r="AI695" s="1506"/>
    </row>
    <row r="696" spans="1:67" ht="12.95" customHeight="1">
      <c r="B696" s="135"/>
      <c r="C696" s="135"/>
      <c r="D696" s="317" t="s">
        <v>984</v>
      </c>
      <c r="E696" s="135"/>
      <c r="F696" s="135"/>
      <c r="G696" s="135"/>
      <c r="H696" s="135"/>
      <c r="AE696" s="1664">
        <v>45874</v>
      </c>
      <c r="AF696" s="1664"/>
      <c r="AG696" s="1664"/>
      <c r="AH696" s="1664"/>
      <c r="AI696" s="1664"/>
    </row>
    <row r="697" spans="1:67" ht="12.95" customHeight="1">
      <c r="B697" s="135"/>
      <c r="C697" s="135"/>
    </row>
    <row r="698" spans="1:67" ht="12.95" customHeight="1">
      <c r="B698" s="135"/>
      <c r="C698" s="135"/>
      <c r="D698" s="136" t="s">
        <v>817</v>
      </c>
      <c r="E698" s="135"/>
      <c r="F698" s="135"/>
      <c r="G698" s="135"/>
      <c r="H698" s="135"/>
      <c r="AE698" s="1506">
        <v>46027</v>
      </c>
      <c r="AF698" s="1506"/>
      <c r="AG698" s="1506"/>
      <c r="AH698" s="1506"/>
      <c r="AI698" s="1506"/>
    </row>
    <row r="699" spans="1:67" ht="12.95" customHeight="1">
      <c r="B699" s="135"/>
      <c r="C699" s="135"/>
      <c r="D699" s="136" t="s">
        <v>436</v>
      </c>
      <c r="E699" s="135"/>
      <c r="F699" s="135"/>
      <c r="G699" s="135"/>
      <c r="H699" s="135"/>
      <c r="AE699" s="1685">
        <v>0.52249999999999996</v>
      </c>
      <c r="AF699" s="1685"/>
      <c r="AG699" s="1685"/>
      <c r="AH699" s="1685"/>
      <c r="AI699" s="1685"/>
    </row>
    <row r="700" spans="1:67" ht="12.95" customHeight="1">
      <c r="B700" s="135"/>
      <c r="C700" s="135"/>
      <c r="D700" s="136" t="s">
        <v>437</v>
      </c>
      <c r="E700" s="135"/>
      <c r="F700" s="135"/>
      <c r="G700" s="135"/>
      <c r="H700" s="135"/>
      <c r="W700" s="1483" t="str">
        <f>H335</f>
        <v>CalPFA</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4" t="s">
        <v>389</v>
      </c>
      <c r="C714" s="1495"/>
      <c r="D714" s="1495"/>
      <c r="E714" s="1495"/>
      <c r="F714" s="1496"/>
      <c r="G714" s="1494" t="s">
        <v>285</v>
      </c>
      <c r="H714" s="1495"/>
      <c r="I714" s="1495"/>
      <c r="J714" s="1496"/>
      <c r="K714" s="1511" t="s">
        <v>1681</v>
      </c>
      <c r="L714" s="1512"/>
      <c r="M714" s="1512"/>
      <c r="N714" s="1513"/>
      <c r="O714" s="1494" t="s">
        <v>448</v>
      </c>
      <c r="P714" s="1495"/>
      <c r="Q714" s="1495"/>
      <c r="R714" s="1495"/>
      <c r="S714" s="1496"/>
      <c r="T714" s="1507" t="s">
        <v>1952</v>
      </c>
      <c r="U714" s="1495"/>
      <c r="V714" s="1495"/>
      <c r="W714" s="1496"/>
      <c r="X714" s="1507" t="s">
        <v>1954</v>
      </c>
      <c r="Y714" s="1495"/>
      <c r="Z714" s="1495"/>
      <c r="AA714" s="1495"/>
      <c r="AB714" s="1496"/>
      <c r="AC714" s="1507" t="s">
        <v>1953</v>
      </c>
      <c r="AD714" s="1495"/>
      <c r="AE714" s="1495"/>
      <c r="AF714" s="1495"/>
      <c r="AG714" s="1496"/>
      <c r="AH714" s="1507" t="s">
        <v>1955</v>
      </c>
      <c r="AI714" s="1495"/>
      <c r="AJ714" s="1496"/>
      <c r="AK714" s="1507" t="s">
        <v>1982</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1630</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1845</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5" t="s">
        <v>634</v>
      </c>
      <c r="CQ717" s="1796"/>
      <c r="CR717" s="1796"/>
      <c r="CS717" s="1796"/>
      <c r="CT717" s="1797"/>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325</v>
      </c>
      <c r="C718" s="1356"/>
      <c r="D718" s="1356"/>
      <c r="E718" s="1356"/>
      <c r="F718" s="1357"/>
      <c r="G718" s="1364">
        <v>6</v>
      </c>
      <c r="H718" s="1365"/>
      <c r="I718" s="1365"/>
      <c r="J718" s="1366"/>
      <c r="K718" s="1603">
        <v>565</v>
      </c>
      <c r="L718" s="1604"/>
      <c r="M718" s="1604"/>
      <c r="N718" s="1605"/>
      <c r="O718" s="1468">
        <v>628</v>
      </c>
      <c r="P718" s="1469"/>
      <c r="Q718" s="1469"/>
      <c r="R718" s="1469"/>
      <c r="S718" s="1470"/>
      <c r="T718" s="1468">
        <v>63</v>
      </c>
      <c r="U718" s="1469"/>
      <c r="V718" s="1469"/>
      <c r="W718" s="1470"/>
      <c r="X718" s="1358">
        <f t="shared" ref="X718:X741" si="8">O718+T718</f>
        <v>691</v>
      </c>
      <c r="Y718" s="1359"/>
      <c r="Z718" s="1359"/>
      <c r="AA718" s="1359"/>
      <c r="AB718" s="1360"/>
      <c r="AC718" s="1612">
        <v>0.3</v>
      </c>
      <c r="AD718" s="1613"/>
      <c r="AE718" s="1613"/>
      <c r="AF718" s="1613"/>
      <c r="AG718" s="1614"/>
      <c r="AH718" s="1361">
        <f>IF($AC718&gt;0,($X718/$AZ718), "")</f>
        <v>0.28648424543946932</v>
      </c>
      <c r="AI718" s="1362"/>
      <c r="AJ718" s="1363"/>
      <c r="AK718" s="1355" t="s">
        <v>592</v>
      </c>
      <c r="AL718" s="1356"/>
      <c r="AM718" s="1356"/>
      <c r="AN718" s="1356"/>
      <c r="AO718" s="1357"/>
      <c r="AP718" s="3"/>
      <c r="AQ718" s="3"/>
      <c r="AR718" s="3"/>
      <c r="AS718" s="3"/>
      <c r="AZ718" s="118">
        <f t="shared" ref="AZ718:AZ752" si="9">IF($G718=0,"N/A",VLOOKUP($T$189,TC_Rent,(MATCH($B718,bedrooms,FALSE)),FALSE))</f>
        <v>2412</v>
      </c>
      <c r="BA718" s="3"/>
      <c r="BB718" s="3"/>
      <c r="BC718" s="3"/>
      <c r="BD718" s="3"/>
      <c r="BE718" s="204"/>
      <c r="BF718" s="293">
        <f t="shared" ref="BF718:BF752" si="10">G718</f>
        <v>6</v>
      </c>
      <c r="BG718" s="297">
        <f t="shared" ref="BG718:BG752" si="11">IF($BF$753=0,0,BF718/$BF$753)</f>
        <v>3.015075376884422E-2</v>
      </c>
      <c r="BH718" s="298">
        <f t="shared" ref="BH718:BH752" si="12">IF(BG718=0,"",BG718*AC718)</f>
        <v>9.0452261306532659E-3</v>
      </c>
      <c r="BI718" s="3"/>
      <c r="BJ718" s="3"/>
      <c r="BK718" s="3"/>
      <c r="BL718" s="3"/>
      <c r="BM718" s="3"/>
      <c r="BN718" s="3"/>
      <c r="BS718" s="293">
        <f t="shared" ref="BS718:BS752" si="13">G718</f>
        <v>6</v>
      </c>
      <c r="BT718" s="297">
        <f t="shared" ref="BT718:BT752" si="14">IF($BS$753=0,0,BS718/$BS$753)</f>
        <v>3.015075376884422E-2</v>
      </c>
      <c r="BU718" s="298">
        <f t="shared" ref="BU718:BU752" si="15">IF(BT718=0,"",BT718*AH718)</f>
        <v>8.6377159428985724E-3</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6</v>
      </c>
      <c r="CN718" s="1337"/>
      <c r="CO718" s="3"/>
      <c r="CP718" s="1332">
        <f t="shared" ref="CP718:CP752" si="18">IF(B718="SRO/Studio",G718,0)</f>
        <v>0</v>
      </c>
      <c r="CQ718" s="1333"/>
      <c r="CR718" s="1333"/>
      <c r="CS718" s="1333"/>
      <c r="CT718" s="1334"/>
      <c r="CU718" s="1354">
        <f t="shared" ref="CU718:CU752" si="19">IF(B718="1 Bedroom",G718,0)</f>
        <v>6</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6</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628</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325</v>
      </c>
      <c r="C719" s="1356"/>
      <c r="D719" s="1356"/>
      <c r="E719" s="1356"/>
      <c r="F719" s="1357"/>
      <c r="G719" s="1364">
        <v>6</v>
      </c>
      <c r="H719" s="1365"/>
      <c r="I719" s="1365"/>
      <c r="J719" s="1366"/>
      <c r="K719" s="1603">
        <v>565</v>
      </c>
      <c r="L719" s="1604"/>
      <c r="M719" s="1604"/>
      <c r="N719" s="1605"/>
      <c r="O719" s="1468">
        <v>1111</v>
      </c>
      <c r="P719" s="1469"/>
      <c r="Q719" s="1469"/>
      <c r="R719" s="1469"/>
      <c r="S719" s="1470"/>
      <c r="T719" s="1468">
        <v>63</v>
      </c>
      <c r="U719" s="1469"/>
      <c r="V719" s="1469"/>
      <c r="W719" s="1470"/>
      <c r="X719" s="1358">
        <f t="shared" si="8"/>
        <v>1174</v>
      </c>
      <c r="Y719" s="1359"/>
      <c r="Z719" s="1359"/>
      <c r="AA719" s="1359"/>
      <c r="AB719" s="1360"/>
      <c r="AC719" s="1612">
        <v>0.5</v>
      </c>
      <c r="AD719" s="1613"/>
      <c r="AE719" s="1613"/>
      <c r="AF719" s="1613"/>
      <c r="AG719" s="1614"/>
      <c r="AH719" s="1361">
        <f t="shared" ref="AH719:AH752" si="36">IF($AC719&gt;0,($X719/$AZ719), "")</f>
        <v>0.4867330016583748</v>
      </c>
      <c r="AI719" s="1362"/>
      <c r="AJ719" s="1363"/>
      <c r="AK719" s="1355" t="s">
        <v>592</v>
      </c>
      <c r="AL719" s="1356"/>
      <c r="AM719" s="1356"/>
      <c r="AN719" s="1356"/>
      <c r="AO719" s="1357"/>
      <c r="AP719" s="3"/>
      <c r="AQ719" s="3"/>
      <c r="AR719" s="3"/>
      <c r="AS719" s="3"/>
      <c r="AZ719" s="118">
        <f t="shared" si="9"/>
        <v>2412</v>
      </c>
      <c r="BA719" s="3"/>
      <c r="BB719" s="3"/>
      <c r="BC719" s="3"/>
      <c r="BD719" s="3"/>
      <c r="BE719" s="204"/>
      <c r="BF719" s="294">
        <f t="shared" si="10"/>
        <v>6</v>
      </c>
      <c r="BG719" s="297">
        <f t="shared" si="11"/>
        <v>3.015075376884422E-2</v>
      </c>
      <c r="BH719" s="298">
        <f t="shared" si="12"/>
        <v>1.507537688442211E-2</v>
      </c>
      <c r="BI719" s="3"/>
      <c r="BJ719" s="3"/>
      <c r="BK719" s="3"/>
      <c r="BL719" s="3"/>
      <c r="BM719" s="3"/>
      <c r="BN719" s="3"/>
      <c r="BS719" s="294">
        <f t="shared" si="13"/>
        <v>6</v>
      </c>
      <c r="BT719" s="297">
        <f t="shared" si="14"/>
        <v>3.015075376884422E-2</v>
      </c>
      <c r="BU719" s="298">
        <f t="shared" si="15"/>
        <v>1.4675366884172104E-2</v>
      </c>
      <c r="CC719" s="3"/>
      <c r="CD719" s="3"/>
      <c r="CE719" s="3"/>
      <c r="CF719" s="3"/>
      <c r="CG719" s="1351">
        <f t="shared" ref="CG719:CG752" si="37">IF(AND(AC719&lt;=0.5,AC719&gt;=0.36),1,0)</f>
        <v>1</v>
      </c>
      <c r="CH719" s="1353"/>
      <c r="CI719" s="1335">
        <f t="shared" ref="CI719:CI752" si="38">IF(CG719=1,G719,0)</f>
        <v>6</v>
      </c>
      <c r="CJ719" s="1337"/>
      <c r="CK719" s="1351">
        <f t="shared" si="16"/>
        <v>0</v>
      </c>
      <c r="CL719" s="1353"/>
      <c r="CM719" s="1335">
        <f t="shared" si="17"/>
        <v>0</v>
      </c>
      <c r="CN719" s="1337"/>
      <c r="CO719" s="3"/>
      <c r="CP719" s="1332">
        <f t="shared" si="18"/>
        <v>0</v>
      </c>
      <c r="CQ719" s="1333"/>
      <c r="CR719" s="1333"/>
      <c r="CS719" s="1333"/>
      <c r="CT719" s="1334"/>
      <c r="CU719" s="1354">
        <f t="shared" si="19"/>
        <v>6</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1111</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325</v>
      </c>
      <c r="C720" s="1356"/>
      <c r="D720" s="1356"/>
      <c r="E720" s="1356"/>
      <c r="F720" s="1357"/>
      <c r="G720" s="1364">
        <v>20</v>
      </c>
      <c r="H720" s="1365"/>
      <c r="I720" s="1365"/>
      <c r="J720" s="1366"/>
      <c r="K720" s="1603">
        <v>565</v>
      </c>
      <c r="L720" s="1604"/>
      <c r="M720" s="1604"/>
      <c r="N720" s="1605"/>
      <c r="O720" s="1468">
        <v>1352</v>
      </c>
      <c r="P720" s="1469"/>
      <c r="Q720" s="1469"/>
      <c r="R720" s="1469"/>
      <c r="S720" s="1470"/>
      <c r="T720" s="1468">
        <v>63</v>
      </c>
      <c r="U720" s="1469"/>
      <c r="V720" s="1469"/>
      <c r="W720" s="1470"/>
      <c r="X720" s="1358">
        <f t="shared" si="8"/>
        <v>1415</v>
      </c>
      <c r="Y720" s="1359"/>
      <c r="Z720" s="1359"/>
      <c r="AA720" s="1359"/>
      <c r="AB720" s="1360"/>
      <c r="AC720" s="1612">
        <v>0.6</v>
      </c>
      <c r="AD720" s="1613"/>
      <c r="AE720" s="1613"/>
      <c r="AF720" s="1613"/>
      <c r="AG720" s="1614"/>
      <c r="AH720" s="1361">
        <f t="shared" si="36"/>
        <v>0.58665008291873966</v>
      </c>
      <c r="AI720" s="1362"/>
      <c r="AJ720" s="1363"/>
      <c r="AK720" s="1355" t="s">
        <v>592</v>
      </c>
      <c r="AL720" s="1356"/>
      <c r="AM720" s="1356"/>
      <c r="AN720" s="1356"/>
      <c r="AO720" s="1357"/>
      <c r="AP720" s="3"/>
      <c r="AQ720" s="3"/>
      <c r="AR720" s="3"/>
      <c r="AS720" s="3"/>
      <c r="AZ720" s="118">
        <f t="shared" si="9"/>
        <v>2412</v>
      </c>
      <c r="BA720" s="3"/>
      <c r="BB720" s="3"/>
      <c r="BC720" s="3"/>
      <c r="BD720" s="3"/>
      <c r="BE720" s="204"/>
      <c r="BF720" s="294">
        <f t="shared" si="10"/>
        <v>20</v>
      </c>
      <c r="BG720" s="297">
        <f t="shared" si="11"/>
        <v>0.10050251256281408</v>
      </c>
      <c r="BH720" s="298">
        <f t="shared" si="12"/>
        <v>6.030150753768844E-2</v>
      </c>
      <c r="BI720" s="3"/>
      <c r="BJ720" s="3"/>
      <c r="BK720" s="3"/>
      <c r="BL720" s="3"/>
      <c r="BM720" s="3"/>
      <c r="BN720" s="3"/>
      <c r="BS720" s="294">
        <f t="shared" si="13"/>
        <v>20</v>
      </c>
      <c r="BT720" s="297">
        <f t="shared" si="14"/>
        <v>0.10050251256281408</v>
      </c>
      <c r="BU720" s="298">
        <f t="shared" si="15"/>
        <v>5.895980732851655E-2</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20</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1352</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325</v>
      </c>
      <c r="C721" s="1356"/>
      <c r="D721" s="1356"/>
      <c r="E721" s="1356"/>
      <c r="F721" s="1357"/>
      <c r="G721" s="1364">
        <v>18</v>
      </c>
      <c r="H721" s="1365"/>
      <c r="I721" s="1365"/>
      <c r="J721" s="1366"/>
      <c r="K721" s="1603">
        <v>565</v>
      </c>
      <c r="L721" s="1604"/>
      <c r="M721" s="1604"/>
      <c r="N721" s="1605"/>
      <c r="O721" s="1468">
        <v>1593</v>
      </c>
      <c r="P721" s="1469"/>
      <c r="Q721" s="1469"/>
      <c r="R721" s="1469"/>
      <c r="S721" s="1470"/>
      <c r="T721" s="1468">
        <v>63</v>
      </c>
      <c r="U721" s="1469"/>
      <c r="V721" s="1469"/>
      <c r="W721" s="1470"/>
      <c r="X721" s="1358">
        <f t="shared" si="8"/>
        <v>1656</v>
      </c>
      <c r="Y721" s="1359"/>
      <c r="Z721" s="1359"/>
      <c r="AA721" s="1359"/>
      <c r="AB721" s="1360"/>
      <c r="AC721" s="1612">
        <v>0.7</v>
      </c>
      <c r="AD721" s="1613"/>
      <c r="AE721" s="1613"/>
      <c r="AF721" s="1613"/>
      <c r="AG721" s="1614"/>
      <c r="AH721" s="1361">
        <f t="shared" si="36"/>
        <v>0.68656716417910446</v>
      </c>
      <c r="AI721" s="1362"/>
      <c r="AJ721" s="1363"/>
      <c r="AK721" s="1355" t="s">
        <v>592</v>
      </c>
      <c r="AL721" s="1356"/>
      <c r="AM721" s="1356"/>
      <c r="AN721" s="1356"/>
      <c r="AO721" s="1357"/>
      <c r="AP721" s="3"/>
      <c r="AQ721" s="3"/>
      <c r="AR721" s="3"/>
      <c r="AS721" s="3"/>
      <c r="AY721" s="116"/>
      <c r="AZ721" s="118">
        <f t="shared" si="9"/>
        <v>2412</v>
      </c>
      <c r="BA721" s="3"/>
      <c r="BB721" s="3"/>
      <c r="BC721" s="3"/>
      <c r="BD721" s="3"/>
      <c r="BE721" s="204"/>
      <c r="BF721" s="294">
        <f t="shared" si="10"/>
        <v>18</v>
      </c>
      <c r="BG721" s="297">
        <f t="shared" si="11"/>
        <v>9.0452261306532666E-2</v>
      </c>
      <c r="BH721" s="298">
        <f t="shared" si="12"/>
        <v>6.3316582914572858E-2</v>
      </c>
      <c r="BI721" s="3"/>
      <c r="BJ721" s="3"/>
      <c r="BK721" s="3"/>
      <c r="BL721" s="3"/>
      <c r="BM721" s="3"/>
      <c r="BN721" s="3"/>
      <c r="BS721" s="294">
        <f t="shared" si="13"/>
        <v>18</v>
      </c>
      <c r="BT721" s="297">
        <f t="shared" si="14"/>
        <v>9.0452261306532666E-2</v>
      </c>
      <c r="BU721" s="298">
        <f t="shared" si="15"/>
        <v>6.210155253881347E-2</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18</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1593</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325</v>
      </c>
      <c r="C722" s="1356"/>
      <c r="D722" s="1356"/>
      <c r="E722" s="1356"/>
      <c r="F722" s="1357"/>
      <c r="G722" s="1364">
        <v>5</v>
      </c>
      <c r="H722" s="1365"/>
      <c r="I722" s="1365"/>
      <c r="J722" s="1366"/>
      <c r="K722" s="1603">
        <v>706</v>
      </c>
      <c r="L722" s="1604"/>
      <c r="M722" s="1604"/>
      <c r="N722" s="1605"/>
      <c r="O722" s="1468">
        <v>628</v>
      </c>
      <c r="P722" s="1469"/>
      <c r="Q722" s="1469"/>
      <c r="R722" s="1469"/>
      <c r="S722" s="1470"/>
      <c r="T722" s="1468">
        <v>63</v>
      </c>
      <c r="U722" s="1469"/>
      <c r="V722" s="1469"/>
      <c r="W722" s="1470"/>
      <c r="X722" s="1358">
        <f t="shared" si="8"/>
        <v>691</v>
      </c>
      <c r="Y722" s="1359"/>
      <c r="Z722" s="1359"/>
      <c r="AA722" s="1359"/>
      <c r="AB722" s="1360"/>
      <c r="AC722" s="1612">
        <v>0.3</v>
      </c>
      <c r="AD722" s="1613"/>
      <c r="AE722" s="1613"/>
      <c r="AF722" s="1613"/>
      <c r="AG722" s="1614"/>
      <c r="AH722" s="1361">
        <f t="shared" si="36"/>
        <v>0.28648424543946932</v>
      </c>
      <c r="AI722" s="1362"/>
      <c r="AJ722" s="1363"/>
      <c r="AK722" s="1355" t="s">
        <v>592</v>
      </c>
      <c r="AL722" s="1356"/>
      <c r="AM722" s="1356"/>
      <c r="AN722" s="1356"/>
      <c r="AO722" s="1357"/>
      <c r="AP722" s="3"/>
      <c r="AQ722" s="3"/>
      <c r="AR722" s="3"/>
      <c r="AS722" s="3"/>
      <c r="AY722" s="116"/>
      <c r="AZ722" s="118">
        <f t="shared" si="9"/>
        <v>2412</v>
      </c>
      <c r="BA722" s="3"/>
      <c r="BB722" s="3"/>
      <c r="BC722" s="3"/>
      <c r="BD722" s="3"/>
      <c r="BE722" s="204"/>
      <c r="BF722" s="294">
        <f t="shared" si="10"/>
        <v>5</v>
      </c>
      <c r="BG722" s="297">
        <f t="shared" si="11"/>
        <v>2.5125628140703519E-2</v>
      </c>
      <c r="BH722" s="298">
        <f t="shared" si="12"/>
        <v>7.537688442211055E-3</v>
      </c>
      <c r="BI722" s="3"/>
      <c r="BJ722" s="3"/>
      <c r="BK722" s="3"/>
      <c r="BL722" s="3"/>
      <c r="BM722" s="3"/>
      <c r="BN722" s="3"/>
      <c r="BS722" s="294">
        <f t="shared" si="13"/>
        <v>5</v>
      </c>
      <c r="BT722" s="297">
        <f t="shared" si="14"/>
        <v>2.5125628140703519E-2</v>
      </c>
      <c r="BU722" s="298">
        <f t="shared" si="15"/>
        <v>7.1980966190821442E-3</v>
      </c>
      <c r="CC722" s="3"/>
      <c r="CD722" s="3"/>
      <c r="CE722" s="3"/>
      <c r="CF722" s="3"/>
      <c r="CG722" s="1351">
        <f t="shared" si="37"/>
        <v>0</v>
      </c>
      <c r="CH722" s="1353"/>
      <c r="CI722" s="1335">
        <f t="shared" si="38"/>
        <v>0</v>
      </c>
      <c r="CJ722" s="1337"/>
      <c r="CK722" s="1351">
        <f t="shared" si="16"/>
        <v>1</v>
      </c>
      <c r="CL722" s="1353"/>
      <c r="CM722" s="1335">
        <f t="shared" si="17"/>
        <v>5</v>
      </c>
      <c r="CN722" s="1337"/>
      <c r="CO722" s="3"/>
      <c r="CP722" s="1332">
        <f t="shared" si="18"/>
        <v>0</v>
      </c>
      <c r="CQ722" s="1333"/>
      <c r="CR722" s="1333"/>
      <c r="CS722" s="1333"/>
      <c r="CT722" s="1334"/>
      <c r="CU722" s="1354">
        <f t="shared" si="19"/>
        <v>5</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5</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f t="shared" si="31"/>
        <v>628</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325</v>
      </c>
      <c r="C723" s="1356"/>
      <c r="D723" s="1356"/>
      <c r="E723" s="1356"/>
      <c r="F723" s="1357"/>
      <c r="G723" s="1364">
        <v>5</v>
      </c>
      <c r="H723" s="1365"/>
      <c r="I723" s="1365"/>
      <c r="J723" s="1366"/>
      <c r="K723" s="1603">
        <v>706</v>
      </c>
      <c r="L723" s="1604"/>
      <c r="M723" s="1604"/>
      <c r="N723" s="1605"/>
      <c r="O723" s="1468">
        <v>1111</v>
      </c>
      <c r="P723" s="1469"/>
      <c r="Q723" s="1469"/>
      <c r="R723" s="1469"/>
      <c r="S723" s="1470"/>
      <c r="T723" s="1468">
        <v>63</v>
      </c>
      <c r="U723" s="1469"/>
      <c r="V723" s="1469"/>
      <c r="W723" s="1470"/>
      <c r="X723" s="1358">
        <f t="shared" si="8"/>
        <v>1174</v>
      </c>
      <c r="Y723" s="1359"/>
      <c r="Z723" s="1359"/>
      <c r="AA723" s="1359"/>
      <c r="AB723" s="1360"/>
      <c r="AC723" s="1612">
        <v>0.5</v>
      </c>
      <c r="AD723" s="1613"/>
      <c r="AE723" s="1613"/>
      <c r="AF723" s="1613"/>
      <c r="AG723" s="1614"/>
      <c r="AH723" s="1361">
        <f t="shared" si="36"/>
        <v>0.4867330016583748</v>
      </c>
      <c r="AI723" s="1362"/>
      <c r="AJ723" s="1363"/>
      <c r="AK723" s="1355" t="s">
        <v>592</v>
      </c>
      <c r="AL723" s="1356"/>
      <c r="AM723" s="1356"/>
      <c r="AN723" s="1356"/>
      <c r="AO723" s="1357"/>
      <c r="AP723" s="3"/>
      <c r="AQ723" s="3"/>
      <c r="AR723" s="3"/>
      <c r="AS723" s="3"/>
      <c r="AY723" s="116"/>
      <c r="AZ723" s="118">
        <f t="shared" si="9"/>
        <v>2412</v>
      </c>
      <c r="BA723" s="3"/>
      <c r="BB723" s="3"/>
      <c r="BC723" s="3"/>
      <c r="BD723" s="3"/>
      <c r="BE723" s="204"/>
      <c r="BF723" s="294">
        <f t="shared" si="10"/>
        <v>5</v>
      </c>
      <c r="BG723" s="297">
        <f t="shared" si="11"/>
        <v>2.5125628140703519E-2</v>
      </c>
      <c r="BH723" s="298">
        <f t="shared" si="12"/>
        <v>1.2562814070351759E-2</v>
      </c>
      <c r="BI723" s="3"/>
      <c r="BJ723" s="3"/>
      <c r="BK723" s="3"/>
      <c r="BL723" s="3"/>
      <c r="BM723" s="3"/>
      <c r="BN723" s="3"/>
      <c r="BS723" s="294">
        <f t="shared" si="13"/>
        <v>5</v>
      </c>
      <c r="BT723" s="297">
        <f t="shared" si="14"/>
        <v>2.5125628140703519E-2</v>
      </c>
      <c r="BU723" s="298">
        <f t="shared" si="15"/>
        <v>1.2229472403476754E-2</v>
      </c>
      <c r="CC723" s="3"/>
      <c r="CD723" s="3"/>
      <c r="CE723" s="3"/>
      <c r="CF723" s="3"/>
      <c r="CG723" s="1351">
        <f t="shared" si="37"/>
        <v>1</v>
      </c>
      <c r="CH723" s="1353"/>
      <c r="CI723" s="1335">
        <f t="shared" si="38"/>
        <v>5</v>
      </c>
      <c r="CJ723" s="1337"/>
      <c r="CK723" s="1351">
        <f t="shared" si="16"/>
        <v>0</v>
      </c>
      <c r="CL723" s="1353"/>
      <c r="CM723" s="1335">
        <f t="shared" si="17"/>
        <v>0</v>
      </c>
      <c r="CN723" s="1337"/>
      <c r="CO723" s="3"/>
      <c r="CP723" s="1332">
        <f t="shared" si="18"/>
        <v>0</v>
      </c>
      <c r="CQ723" s="1333"/>
      <c r="CR723" s="1333"/>
      <c r="CS723" s="1333"/>
      <c r="CT723" s="1334"/>
      <c r="CU723" s="1354">
        <f t="shared" si="19"/>
        <v>5</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f t="shared" si="31"/>
        <v>1111</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325</v>
      </c>
      <c r="C724" s="1356"/>
      <c r="D724" s="1356"/>
      <c r="E724" s="1356"/>
      <c r="F724" s="1357"/>
      <c r="G724" s="1364">
        <v>20</v>
      </c>
      <c r="H724" s="1365"/>
      <c r="I724" s="1365"/>
      <c r="J724" s="1366"/>
      <c r="K724" s="1603">
        <v>706</v>
      </c>
      <c r="L724" s="1604"/>
      <c r="M724" s="1604"/>
      <c r="N724" s="1605"/>
      <c r="O724" s="1468">
        <v>1352</v>
      </c>
      <c r="P724" s="1469"/>
      <c r="Q724" s="1469"/>
      <c r="R724" s="1469"/>
      <c r="S724" s="1470"/>
      <c r="T724" s="1468">
        <v>63</v>
      </c>
      <c r="U724" s="1469"/>
      <c r="V724" s="1469"/>
      <c r="W724" s="1470"/>
      <c r="X724" s="1358">
        <f t="shared" si="8"/>
        <v>1415</v>
      </c>
      <c r="Y724" s="1359"/>
      <c r="Z724" s="1359"/>
      <c r="AA724" s="1359"/>
      <c r="AB724" s="1360"/>
      <c r="AC724" s="1612">
        <v>0.6</v>
      </c>
      <c r="AD724" s="1613"/>
      <c r="AE724" s="1613"/>
      <c r="AF724" s="1613"/>
      <c r="AG724" s="1614"/>
      <c r="AH724" s="1361">
        <f t="shared" si="36"/>
        <v>0.58665008291873966</v>
      </c>
      <c r="AI724" s="1362"/>
      <c r="AJ724" s="1363"/>
      <c r="AK724" s="1355" t="s">
        <v>592</v>
      </c>
      <c r="AL724" s="1356"/>
      <c r="AM724" s="1356"/>
      <c r="AN724" s="1356"/>
      <c r="AO724" s="1357"/>
      <c r="AP724" s="3"/>
      <c r="AQ724" s="3"/>
      <c r="AR724" s="3"/>
      <c r="AS724" s="3"/>
      <c r="AY724" s="116"/>
      <c r="AZ724" s="118">
        <f t="shared" si="9"/>
        <v>2412</v>
      </c>
      <c r="BA724" s="3"/>
      <c r="BB724" s="3"/>
      <c r="BC724" s="3"/>
      <c r="BD724" s="3"/>
      <c r="BE724" s="204"/>
      <c r="BF724" s="294">
        <f t="shared" si="10"/>
        <v>20</v>
      </c>
      <c r="BG724" s="297">
        <f t="shared" si="11"/>
        <v>0.10050251256281408</v>
      </c>
      <c r="BH724" s="298">
        <f t="shared" si="12"/>
        <v>6.030150753768844E-2</v>
      </c>
      <c r="BI724" s="3"/>
      <c r="BJ724" s="3"/>
      <c r="BK724" s="3"/>
      <c r="BL724" s="3"/>
      <c r="BM724" s="3"/>
      <c r="BN724" s="3"/>
      <c r="BS724" s="294">
        <f t="shared" si="13"/>
        <v>20</v>
      </c>
      <c r="BT724" s="297">
        <f t="shared" si="14"/>
        <v>0.10050251256281408</v>
      </c>
      <c r="BU724" s="298">
        <f t="shared" si="15"/>
        <v>5.895980732851655E-2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20</v>
      </c>
      <c r="CV724" s="1354"/>
      <c r="CW724" s="1354"/>
      <c r="CX724" s="1354"/>
      <c r="CY724" s="1354"/>
      <c r="CZ724" s="1354">
        <f t="shared" si="20"/>
        <v>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f t="shared" si="31"/>
        <v>1352</v>
      </c>
      <c r="FF724" s="1352"/>
      <c r="FG724" s="1352"/>
      <c r="FH724" s="1352"/>
      <c r="FI724" s="1353"/>
      <c r="FJ724" s="1351" t="str">
        <f t="shared" si="32"/>
        <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325</v>
      </c>
      <c r="C725" s="1356"/>
      <c r="D725" s="1356"/>
      <c r="E725" s="1356"/>
      <c r="F725" s="1357"/>
      <c r="G725" s="1364">
        <v>19</v>
      </c>
      <c r="H725" s="1365"/>
      <c r="I725" s="1365"/>
      <c r="J725" s="1366"/>
      <c r="K725" s="1603">
        <v>706</v>
      </c>
      <c r="L725" s="1604"/>
      <c r="M725" s="1604"/>
      <c r="N725" s="1605"/>
      <c r="O725" s="1468">
        <v>1593</v>
      </c>
      <c r="P725" s="1469"/>
      <c r="Q725" s="1469"/>
      <c r="R725" s="1469"/>
      <c r="S725" s="1470"/>
      <c r="T725" s="1468">
        <v>63</v>
      </c>
      <c r="U725" s="1469"/>
      <c r="V725" s="1469"/>
      <c r="W725" s="1470"/>
      <c r="X725" s="1358">
        <f t="shared" si="8"/>
        <v>1656</v>
      </c>
      <c r="Y725" s="1359"/>
      <c r="Z725" s="1359"/>
      <c r="AA725" s="1359"/>
      <c r="AB725" s="1360"/>
      <c r="AC725" s="1612">
        <v>0.7</v>
      </c>
      <c r="AD725" s="1613"/>
      <c r="AE725" s="1613"/>
      <c r="AF725" s="1613"/>
      <c r="AG725" s="1614"/>
      <c r="AH725" s="1361">
        <f t="shared" si="36"/>
        <v>0.68656716417910446</v>
      </c>
      <c r="AI725" s="1362"/>
      <c r="AJ725" s="1363"/>
      <c r="AK725" s="1355" t="s">
        <v>592</v>
      </c>
      <c r="AL725" s="1356"/>
      <c r="AM725" s="1356"/>
      <c r="AN725" s="1356"/>
      <c r="AO725" s="1357"/>
      <c r="AP725" s="3"/>
      <c r="AQ725" s="3"/>
      <c r="AR725" s="3"/>
      <c r="AS725" s="3"/>
      <c r="AY725" s="1085"/>
      <c r="AZ725" s="118">
        <f t="shared" si="9"/>
        <v>2412</v>
      </c>
      <c r="BA725" s="3"/>
      <c r="BB725" s="3"/>
      <c r="BC725" s="3"/>
      <c r="BD725" s="3"/>
      <c r="BE725" s="204"/>
      <c r="BF725" s="294">
        <f t="shared" si="10"/>
        <v>19</v>
      </c>
      <c r="BG725" s="297">
        <f t="shared" si="11"/>
        <v>9.5477386934673364E-2</v>
      </c>
      <c r="BH725" s="298">
        <f t="shared" si="12"/>
        <v>6.6834170854271346E-2</v>
      </c>
      <c r="BI725" s="3"/>
      <c r="BJ725" s="3"/>
      <c r="BK725" s="3"/>
      <c r="BL725" s="3"/>
      <c r="BM725" s="3"/>
      <c r="BN725" s="3"/>
      <c r="BS725" s="294">
        <f t="shared" si="13"/>
        <v>19</v>
      </c>
      <c r="BT725" s="297">
        <f t="shared" si="14"/>
        <v>9.5477386934673364E-2</v>
      </c>
      <c r="BU725" s="298">
        <f t="shared" si="15"/>
        <v>6.5551638790969771E-2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19</v>
      </c>
      <c r="CV725" s="1354"/>
      <c r="CW725" s="1354"/>
      <c r="CX725" s="1354"/>
      <c r="CY725" s="1354"/>
      <c r="CZ725" s="1354">
        <f t="shared" si="20"/>
        <v>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f t="shared" si="31"/>
        <v>1593</v>
      </c>
      <c r="FF725" s="1352"/>
      <c r="FG725" s="1352"/>
      <c r="FH725" s="1352"/>
      <c r="FI725" s="1353"/>
      <c r="FJ725" s="1351" t="str">
        <f t="shared" si="32"/>
        <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163</v>
      </c>
      <c r="C726" s="1356"/>
      <c r="D726" s="1356"/>
      <c r="E726" s="1356"/>
      <c r="F726" s="1357"/>
      <c r="G726" s="1364">
        <v>5</v>
      </c>
      <c r="H726" s="1365"/>
      <c r="I726" s="1365"/>
      <c r="J726" s="1366"/>
      <c r="K726" s="1603">
        <v>907</v>
      </c>
      <c r="L726" s="1604"/>
      <c r="M726" s="1604"/>
      <c r="N726" s="1605"/>
      <c r="O726" s="1468">
        <v>737</v>
      </c>
      <c r="P726" s="1469"/>
      <c r="Q726" s="1469"/>
      <c r="R726" s="1469"/>
      <c r="S726" s="1470"/>
      <c r="T726" s="1468">
        <v>76</v>
      </c>
      <c r="U726" s="1469"/>
      <c r="V726" s="1469"/>
      <c r="W726" s="1470"/>
      <c r="X726" s="1358">
        <f t="shared" si="8"/>
        <v>813</v>
      </c>
      <c r="Y726" s="1359"/>
      <c r="Z726" s="1359"/>
      <c r="AA726" s="1359"/>
      <c r="AB726" s="1360"/>
      <c r="AC726" s="1612">
        <v>0.3</v>
      </c>
      <c r="AD726" s="1613"/>
      <c r="AE726" s="1613"/>
      <c r="AF726" s="1613"/>
      <c r="AG726" s="1614"/>
      <c r="AH726" s="1361">
        <f t="shared" si="36"/>
        <v>0.28092605390463027</v>
      </c>
      <c r="AI726" s="1362"/>
      <c r="AJ726" s="1363"/>
      <c r="AK726" s="1355" t="s">
        <v>592</v>
      </c>
      <c r="AL726" s="1356"/>
      <c r="AM726" s="1356"/>
      <c r="AN726" s="1356"/>
      <c r="AO726" s="1357"/>
      <c r="AP726" s="3"/>
      <c r="AQ726" s="3"/>
      <c r="AR726" s="3"/>
      <c r="AS726" s="3"/>
      <c r="AY726" s="1085"/>
      <c r="AZ726" s="118">
        <f t="shared" si="9"/>
        <v>2894</v>
      </c>
      <c r="BA726" s="3"/>
      <c r="BB726" s="3"/>
      <c r="BC726" s="3"/>
      <c r="BD726" s="3"/>
      <c r="BE726" s="204"/>
      <c r="BF726" s="294">
        <f t="shared" si="10"/>
        <v>5</v>
      </c>
      <c r="BG726" s="297">
        <f t="shared" si="11"/>
        <v>2.5125628140703519E-2</v>
      </c>
      <c r="BH726" s="298">
        <f t="shared" si="12"/>
        <v>7.537688442211055E-3</v>
      </c>
      <c r="BI726" s="3"/>
      <c r="BJ726" s="3"/>
      <c r="BK726" s="3"/>
      <c r="BL726" s="3"/>
      <c r="BM726" s="3"/>
      <c r="BN726" s="3"/>
      <c r="BS726" s="294">
        <f t="shared" si="13"/>
        <v>5</v>
      </c>
      <c r="BT726" s="297">
        <f t="shared" si="14"/>
        <v>2.5125628140703519E-2</v>
      </c>
      <c r="BU726" s="298">
        <f t="shared" si="15"/>
        <v>7.0584435654429721E-3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5</v>
      </c>
      <c r="CN726" s="1337"/>
      <c r="CO726" s="3"/>
      <c r="CP726" s="1332">
        <f t="shared" si="18"/>
        <v>0</v>
      </c>
      <c r="CQ726" s="1333"/>
      <c r="CR726" s="1333"/>
      <c r="CS726" s="1333"/>
      <c r="CT726" s="1334"/>
      <c r="CU726" s="1354">
        <f t="shared" si="19"/>
        <v>0</v>
      </c>
      <c r="CV726" s="1354"/>
      <c r="CW726" s="1354"/>
      <c r="CX726" s="1354"/>
      <c r="CY726" s="1354"/>
      <c r="CZ726" s="1354">
        <f t="shared" si="20"/>
        <v>5</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5</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f t="shared" si="32"/>
        <v>737</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t="s">
        <v>163</v>
      </c>
      <c r="C727" s="1356"/>
      <c r="D727" s="1356"/>
      <c r="E727" s="1356"/>
      <c r="F727" s="1357"/>
      <c r="G727" s="1364">
        <v>5</v>
      </c>
      <c r="H727" s="1365"/>
      <c r="I727" s="1365"/>
      <c r="J727" s="1366"/>
      <c r="K727" s="1603">
        <v>907</v>
      </c>
      <c r="L727" s="1604"/>
      <c r="M727" s="1604"/>
      <c r="N727" s="1605"/>
      <c r="O727" s="1468">
        <v>1316</v>
      </c>
      <c r="P727" s="1469"/>
      <c r="Q727" s="1469"/>
      <c r="R727" s="1469"/>
      <c r="S727" s="1470"/>
      <c r="T727" s="1468">
        <v>76</v>
      </c>
      <c r="U727" s="1469"/>
      <c r="V727" s="1469"/>
      <c r="W727" s="1470"/>
      <c r="X727" s="1358">
        <f t="shared" si="8"/>
        <v>1392</v>
      </c>
      <c r="Y727" s="1359"/>
      <c r="Z727" s="1359"/>
      <c r="AA727" s="1359"/>
      <c r="AB727" s="1360"/>
      <c r="AC727" s="1612">
        <v>0.5</v>
      </c>
      <c r="AD727" s="1613"/>
      <c r="AE727" s="1613"/>
      <c r="AF727" s="1613"/>
      <c r="AG727" s="1614"/>
      <c r="AH727" s="1361">
        <f t="shared" si="36"/>
        <v>0.48099516240497581</v>
      </c>
      <c r="AI727" s="1362"/>
      <c r="AJ727" s="1363"/>
      <c r="AK727" s="1355" t="s">
        <v>592</v>
      </c>
      <c r="AL727" s="1356"/>
      <c r="AM727" s="1356"/>
      <c r="AN727" s="1356"/>
      <c r="AO727" s="1357"/>
      <c r="AP727" s="3"/>
      <c r="AQ727" s="3"/>
      <c r="AR727" s="3"/>
      <c r="AS727" s="3"/>
      <c r="AY727" s="1085"/>
      <c r="AZ727" s="118">
        <f t="shared" si="9"/>
        <v>2894</v>
      </c>
      <c r="BA727" s="3"/>
      <c r="BB727" s="3"/>
      <c r="BC727" s="3"/>
      <c r="BD727" s="3"/>
      <c r="BE727" s="204"/>
      <c r="BF727" s="294">
        <f t="shared" si="10"/>
        <v>5</v>
      </c>
      <c r="BG727" s="297">
        <f t="shared" si="11"/>
        <v>2.5125628140703519E-2</v>
      </c>
      <c r="BH727" s="298">
        <f t="shared" si="12"/>
        <v>1.2562814070351759E-2</v>
      </c>
      <c r="BI727" s="3"/>
      <c r="BJ727" s="3"/>
      <c r="BK727" s="3"/>
      <c r="BL727" s="3"/>
      <c r="BM727" s="3"/>
      <c r="BN727" s="3"/>
      <c r="BS727" s="294">
        <f t="shared" si="13"/>
        <v>5</v>
      </c>
      <c r="BT727" s="297">
        <f t="shared" si="14"/>
        <v>2.5125628140703519E-2</v>
      </c>
      <c r="BU727" s="298">
        <f t="shared" si="15"/>
        <v>1.2085305588064719E-2</v>
      </c>
      <c r="BV727" s="3"/>
      <c r="BW727" s="3"/>
      <c r="BX727" s="3"/>
      <c r="BY727" s="3"/>
      <c r="BZ727" s="3"/>
      <c r="CA727" s="3"/>
      <c r="CB727" s="3"/>
      <c r="CC727" s="3"/>
      <c r="CE727" s="3"/>
      <c r="CF727" s="3"/>
      <c r="CG727" s="1351">
        <f t="shared" si="37"/>
        <v>1</v>
      </c>
      <c r="CH727" s="1353"/>
      <c r="CI727" s="1335">
        <f t="shared" si="38"/>
        <v>5</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5</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f t="shared" si="32"/>
        <v>1316</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
        <v>163</v>
      </c>
      <c r="C728" s="1356"/>
      <c r="D728" s="1356"/>
      <c r="E728" s="1356"/>
      <c r="F728" s="1357"/>
      <c r="G728" s="1364">
        <v>20</v>
      </c>
      <c r="H728" s="1365"/>
      <c r="I728" s="1365"/>
      <c r="J728" s="1366"/>
      <c r="K728" s="1603">
        <v>907</v>
      </c>
      <c r="L728" s="1604"/>
      <c r="M728" s="1604"/>
      <c r="N728" s="1605"/>
      <c r="O728" s="1468">
        <v>1606</v>
      </c>
      <c r="P728" s="1469"/>
      <c r="Q728" s="1469"/>
      <c r="R728" s="1469"/>
      <c r="S728" s="1470"/>
      <c r="T728" s="1468">
        <v>76</v>
      </c>
      <c r="U728" s="1469"/>
      <c r="V728" s="1469"/>
      <c r="W728" s="1470"/>
      <c r="X728" s="1358">
        <f t="shared" si="8"/>
        <v>1682</v>
      </c>
      <c r="Y728" s="1359"/>
      <c r="Z728" s="1359"/>
      <c r="AA728" s="1359"/>
      <c r="AB728" s="1360"/>
      <c r="AC728" s="1612">
        <v>0.6</v>
      </c>
      <c r="AD728" s="1613"/>
      <c r="AE728" s="1613"/>
      <c r="AF728" s="1613"/>
      <c r="AG728" s="1614"/>
      <c r="AH728" s="1361">
        <f t="shared" si="36"/>
        <v>0.58120248790601248</v>
      </c>
      <c r="AI728" s="1362"/>
      <c r="AJ728" s="1363"/>
      <c r="AK728" s="1355" t="s">
        <v>592</v>
      </c>
      <c r="AL728" s="1356"/>
      <c r="AM728" s="1356"/>
      <c r="AN728" s="1356"/>
      <c r="AO728" s="1357"/>
      <c r="AP728" s="3"/>
      <c r="AQ728" s="3"/>
      <c r="AR728" s="3"/>
      <c r="AS728" s="3"/>
      <c r="AY728" s="1085"/>
      <c r="AZ728" s="118">
        <f t="shared" si="9"/>
        <v>2894</v>
      </c>
      <c r="BA728" s="3"/>
      <c r="BB728" s="3"/>
      <c r="BC728" s="3"/>
      <c r="BD728" s="3"/>
      <c r="BE728" s="204"/>
      <c r="BF728" s="294">
        <f t="shared" si="10"/>
        <v>20</v>
      </c>
      <c r="BG728" s="297">
        <f t="shared" si="11"/>
        <v>0.10050251256281408</v>
      </c>
      <c r="BH728" s="298">
        <f t="shared" si="12"/>
        <v>6.030150753768844E-2</v>
      </c>
      <c r="BI728" s="3"/>
      <c r="BJ728" s="3"/>
      <c r="BK728" s="3"/>
      <c r="BL728" s="3"/>
      <c r="BM728" s="3"/>
      <c r="BN728" s="3"/>
      <c r="BS728" s="294">
        <f t="shared" si="13"/>
        <v>20</v>
      </c>
      <c r="BT728" s="297">
        <f t="shared" si="14"/>
        <v>0.10050251256281408</v>
      </c>
      <c r="BU728" s="298">
        <f t="shared" si="15"/>
        <v>5.8412310342312812E-2</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20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f t="shared" si="32"/>
        <v>1606</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
        <v>163</v>
      </c>
      <c r="C729" s="1356"/>
      <c r="D729" s="1356"/>
      <c r="E729" s="1356"/>
      <c r="F729" s="1357"/>
      <c r="G729" s="1364">
        <v>20</v>
      </c>
      <c r="H729" s="1365"/>
      <c r="I729" s="1365"/>
      <c r="J729" s="1366"/>
      <c r="K729" s="1603">
        <v>907</v>
      </c>
      <c r="L729" s="1604"/>
      <c r="M729" s="1604"/>
      <c r="N729" s="1605"/>
      <c r="O729" s="1468">
        <v>1895</v>
      </c>
      <c r="P729" s="1469"/>
      <c r="Q729" s="1469"/>
      <c r="R729" s="1469"/>
      <c r="S729" s="1470"/>
      <c r="T729" s="1468">
        <v>76</v>
      </c>
      <c r="U729" s="1469"/>
      <c r="V729" s="1469"/>
      <c r="W729" s="1470"/>
      <c r="X729" s="1358">
        <f t="shared" si="8"/>
        <v>1971</v>
      </c>
      <c r="Y729" s="1359"/>
      <c r="Z729" s="1359"/>
      <c r="AA729" s="1359"/>
      <c r="AB729" s="1360"/>
      <c r="AC729" s="1612">
        <v>0.7</v>
      </c>
      <c r="AD729" s="1613"/>
      <c r="AE729" s="1613"/>
      <c r="AF729" s="1613"/>
      <c r="AG729" s="1614"/>
      <c r="AH729" s="1361">
        <f t="shared" si="36"/>
        <v>0.6810642709053214</v>
      </c>
      <c r="AI729" s="1362"/>
      <c r="AJ729" s="1363"/>
      <c r="AK729" s="1355" t="s">
        <v>592</v>
      </c>
      <c r="AL729" s="1356"/>
      <c r="AM729" s="1356"/>
      <c r="AN729" s="1356"/>
      <c r="AO729" s="1357"/>
      <c r="AP729" s="3"/>
      <c r="AQ729" s="3"/>
      <c r="AR729" s="3"/>
      <c r="AS729" s="3"/>
      <c r="AY729" s="1085"/>
      <c r="AZ729" s="118">
        <f t="shared" si="9"/>
        <v>2894</v>
      </c>
      <c r="BA729" s="3"/>
      <c r="BB729" s="3"/>
      <c r="BC729" s="3"/>
      <c r="BD729" s="3"/>
      <c r="BE729" s="204"/>
      <c r="BF729" s="294">
        <f t="shared" si="10"/>
        <v>20</v>
      </c>
      <c r="BG729" s="297">
        <f t="shared" si="11"/>
        <v>0.10050251256281408</v>
      </c>
      <c r="BH729" s="298">
        <f t="shared" si="12"/>
        <v>7.0351758793969849E-2</v>
      </c>
      <c r="BI729" s="3"/>
      <c r="BJ729" s="3"/>
      <c r="BK729" s="3"/>
      <c r="BL729" s="3"/>
      <c r="BM729" s="3"/>
      <c r="BN729" s="3"/>
      <c r="BS729" s="294">
        <f t="shared" si="13"/>
        <v>20</v>
      </c>
      <c r="BT729" s="297">
        <f t="shared" si="14"/>
        <v>0.10050251256281408</v>
      </c>
      <c r="BU729" s="298">
        <f t="shared" si="15"/>
        <v>6.8448670442745871E-2</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20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f t="shared" si="32"/>
        <v>1895</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t="s">
        <v>164</v>
      </c>
      <c r="C730" s="1356"/>
      <c r="D730" s="1356"/>
      <c r="E730" s="1356"/>
      <c r="F730" s="1357"/>
      <c r="G730" s="1364">
        <v>5</v>
      </c>
      <c r="H730" s="1365"/>
      <c r="I730" s="1365"/>
      <c r="J730" s="1366"/>
      <c r="K730" s="1603">
        <v>1187</v>
      </c>
      <c r="L730" s="1604"/>
      <c r="M730" s="1604"/>
      <c r="N730" s="1605"/>
      <c r="O730" s="1468">
        <v>836</v>
      </c>
      <c r="P730" s="1469"/>
      <c r="Q730" s="1469"/>
      <c r="R730" s="1469"/>
      <c r="S730" s="1470"/>
      <c r="T730" s="1468">
        <v>91</v>
      </c>
      <c r="U730" s="1469"/>
      <c r="V730" s="1469"/>
      <c r="W730" s="1470"/>
      <c r="X730" s="1358">
        <f t="shared" si="8"/>
        <v>927</v>
      </c>
      <c r="Y730" s="1359"/>
      <c r="Z730" s="1359"/>
      <c r="AA730" s="1359"/>
      <c r="AB730" s="1360"/>
      <c r="AC730" s="1612">
        <v>0.3</v>
      </c>
      <c r="AD730" s="1613"/>
      <c r="AE730" s="1613"/>
      <c r="AF730" s="1613"/>
      <c r="AG730" s="1614"/>
      <c r="AH730" s="1361">
        <f t="shared" si="36"/>
        <v>0.27737881508078993</v>
      </c>
      <c r="AI730" s="1362"/>
      <c r="AJ730" s="1363"/>
      <c r="AK730" s="1355" t="s">
        <v>592</v>
      </c>
      <c r="AL730" s="1356"/>
      <c r="AM730" s="1356"/>
      <c r="AN730" s="1356"/>
      <c r="AO730" s="1357"/>
      <c r="AP730" s="3"/>
      <c r="AQ730" s="3"/>
      <c r="AR730" s="3"/>
      <c r="AS730" s="3"/>
      <c r="AY730" s="1085"/>
      <c r="AZ730" s="118">
        <f t="shared" si="9"/>
        <v>3342</v>
      </c>
      <c r="BA730" s="3"/>
      <c r="BB730" s="3"/>
      <c r="BC730" s="3"/>
      <c r="BD730" s="3"/>
      <c r="BE730" s="204"/>
      <c r="BF730" s="294">
        <f t="shared" si="10"/>
        <v>5</v>
      </c>
      <c r="BG730" s="297">
        <f t="shared" si="11"/>
        <v>2.5125628140703519E-2</v>
      </c>
      <c r="BH730" s="298">
        <f t="shared" si="12"/>
        <v>7.537688442211055E-3</v>
      </c>
      <c r="BI730" s="3"/>
      <c r="BJ730" s="3"/>
      <c r="BK730" s="3"/>
      <c r="BL730" s="3"/>
      <c r="BM730" s="3"/>
      <c r="BN730" s="3"/>
      <c r="BS730" s="294">
        <f t="shared" si="13"/>
        <v>5</v>
      </c>
      <c r="BT730" s="297">
        <f t="shared" si="14"/>
        <v>2.5125628140703519E-2</v>
      </c>
      <c r="BU730" s="298">
        <f t="shared" si="15"/>
        <v>6.9693169618288931E-3</v>
      </c>
      <c r="BV730" s="3"/>
      <c r="BW730" s="3"/>
      <c r="BX730" s="3"/>
      <c r="BY730" s="3"/>
      <c r="BZ730" s="3"/>
      <c r="CA730" s="3"/>
      <c r="CB730" s="3"/>
      <c r="CC730" s="3"/>
      <c r="CE730" s="3"/>
      <c r="CF730" s="3"/>
      <c r="CG730" s="1351">
        <f t="shared" si="37"/>
        <v>0</v>
      </c>
      <c r="CH730" s="1353"/>
      <c r="CI730" s="1335">
        <f t="shared" si="38"/>
        <v>0</v>
      </c>
      <c r="CJ730" s="1337"/>
      <c r="CK730" s="1351">
        <f t="shared" si="16"/>
        <v>1</v>
      </c>
      <c r="CL730" s="1353"/>
      <c r="CM730" s="1335">
        <f t="shared" si="17"/>
        <v>5</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5</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5</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f t="shared" si="33"/>
        <v>836</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t="s">
        <v>164</v>
      </c>
      <c r="C731" s="1356"/>
      <c r="D731" s="1356"/>
      <c r="E731" s="1356"/>
      <c r="F731" s="1357"/>
      <c r="G731" s="1364">
        <v>5</v>
      </c>
      <c r="H731" s="1365"/>
      <c r="I731" s="1365"/>
      <c r="J731" s="1366"/>
      <c r="K731" s="1603">
        <v>1187</v>
      </c>
      <c r="L731" s="1604"/>
      <c r="M731" s="1604"/>
      <c r="N731" s="1605"/>
      <c r="O731" s="1468">
        <v>1504</v>
      </c>
      <c r="P731" s="1469"/>
      <c r="Q731" s="1469"/>
      <c r="R731" s="1469"/>
      <c r="S731" s="1470"/>
      <c r="T731" s="1468">
        <v>91</v>
      </c>
      <c r="U731" s="1469"/>
      <c r="V731" s="1469"/>
      <c r="W731" s="1470"/>
      <c r="X731" s="1358">
        <f t="shared" si="8"/>
        <v>1595</v>
      </c>
      <c r="Y731" s="1359"/>
      <c r="Z731" s="1359"/>
      <c r="AA731" s="1359"/>
      <c r="AB731" s="1360"/>
      <c r="AC731" s="1612">
        <v>0.5</v>
      </c>
      <c r="AD731" s="1613"/>
      <c r="AE731" s="1613"/>
      <c r="AF731" s="1613"/>
      <c r="AG731" s="1614"/>
      <c r="AH731" s="1361">
        <f t="shared" si="36"/>
        <v>0.47725912627169359</v>
      </c>
      <c r="AI731" s="1362"/>
      <c r="AJ731" s="1363"/>
      <c r="AK731" s="1355" t="s">
        <v>592</v>
      </c>
      <c r="AL731" s="1356"/>
      <c r="AM731" s="1356"/>
      <c r="AN731" s="1356"/>
      <c r="AO731" s="1357"/>
      <c r="AP731" s="3"/>
      <c r="AQ731" s="3"/>
      <c r="AR731" s="3"/>
      <c r="AS731" s="3"/>
      <c r="AY731" s="1085"/>
      <c r="AZ731" s="118">
        <f t="shared" si="9"/>
        <v>3342</v>
      </c>
      <c r="BA731" s="3"/>
      <c r="BB731" s="3"/>
      <c r="BC731" s="3"/>
      <c r="BD731" s="3"/>
      <c r="BE731" s="204"/>
      <c r="BF731" s="294">
        <f t="shared" si="10"/>
        <v>5</v>
      </c>
      <c r="BG731" s="297">
        <f t="shared" si="11"/>
        <v>2.5125628140703519E-2</v>
      </c>
      <c r="BH731" s="298">
        <f t="shared" si="12"/>
        <v>1.2562814070351759E-2</v>
      </c>
      <c r="BI731" s="3"/>
      <c r="BJ731" s="3"/>
      <c r="BK731" s="3"/>
      <c r="BL731" s="3"/>
      <c r="BM731" s="3"/>
      <c r="BN731" s="3"/>
      <c r="BS731" s="294">
        <f t="shared" si="13"/>
        <v>5</v>
      </c>
      <c r="BT731" s="297">
        <f t="shared" si="14"/>
        <v>2.5125628140703519E-2</v>
      </c>
      <c r="BU731" s="298">
        <f t="shared" si="15"/>
        <v>1.1991435333459638E-2</v>
      </c>
      <c r="BV731" s="3"/>
      <c r="BW731" s="3"/>
      <c r="BX731" s="3"/>
      <c r="BY731" s="3"/>
      <c r="BZ731" s="3"/>
      <c r="CA731" s="3"/>
      <c r="CB731" s="3"/>
      <c r="CC731" s="3"/>
      <c r="CE731" s="3"/>
      <c r="CF731" s="3"/>
      <c r="CG731" s="1351">
        <f t="shared" si="37"/>
        <v>1</v>
      </c>
      <c r="CH731" s="1353"/>
      <c r="CI731" s="1335">
        <f t="shared" si="38"/>
        <v>5</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5</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f t="shared" si="33"/>
        <v>1504</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t="s">
        <v>164</v>
      </c>
      <c r="C732" s="1356"/>
      <c r="D732" s="1356"/>
      <c r="E732" s="1356"/>
      <c r="F732" s="1357"/>
      <c r="G732" s="1364">
        <v>20</v>
      </c>
      <c r="H732" s="1365"/>
      <c r="I732" s="1365"/>
      <c r="J732" s="1366"/>
      <c r="K732" s="1603">
        <v>1187</v>
      </c>
      <c r="L732" s="1604"/>
      <c r="M732" s="1604"/>
      <c r="N732" s="1605"/>
      <c r="O732" s="1468">
        <v>1839</v>
      </c>
      <c r="P732" s="1469"/>
      <c r="Q732" s="1469"/>
      <c r="R732" s="1469"/>
      <c r="S732" s="1470"/>
      <c r="T732" s="1468">
        <v>91</v>
      </c>
      <c r="U732" s="1469"/>
      <c r="V732" s="1469"/>
      <c r="W732" s="1470"/>
      <c r="X732" s="1358">
        <f t="shared" si="8"/>
        <v>1930</v>
      </c>
      <c r="Y732" s="1359"/>
      <c r="Z732" s="1359"/>
      <c r="AA732" s="1359"/>
      <c r="AB732" s="1360"/>
      <c r="AC732" s="1612">
        <v>0.6</v>
      </c>
      <c r="AD732" s="1613"/>
      <c r="AE732" s="1613"/>
      <c r="AF732" s="1613"/>
      <c r="AG732" s="1614"/>
      <c r="AH732" s="1361">
        <f t="shared" si="36"/>
        <v>0.57749850388988633</v>
      </c>
      <c r="AI732" s="1362"/>
      <c r="AJ732" s="1363"/>
      <c r="AK732" s="1355" t="s">
        <v>592</v>
      </c>
      <c r="AL732" s="1356"/>
      <c r="AM732" s="1356"/>
      <c r="AN732" s="1356"/>
      <c r="AO732" s="1357"/>
      <c r="AP732" s="3"/>
      <c r="AQ732" s="3"/>
      <c r="AR732" s="3"/>
      <c r="AS732" s="3"/>
      <c r="AY732" s="1085"/>
      <c r="AZ732" s="118">
        <f t="shared" si="9"/>
        <v>3342</v>
      </c>
      <c r="BA732" s="3"/>
      <c r="BB732" s="3"/>
      <c r="BC732" s="3"/>
      <c r="BD732" s="3"/>
      <c r="BE732" s="204"/>
      <c r="BF732" s="294">
        <f t="shared" si="10"/>
        <v>20</v>
      </c>
      <c r="BG732" s="297">
        <f t="shared" si="11"/>
        <v>0.10050251256281408</v>
      </c>
      <c r="BH732" s="298">
        <f t="shared" si="12"/>
        <v>6.030150753768844E-2</v>
      </c>
      <c r="BI732" s="3"/>
      <c r="BJ732" s="3"/>
      <c r="BK732" s="3"/>
      <c r="BL732" s="3"/>
      <c r="BM732" s="3"/>
      <c r="BN732" s="3"/>
      <c r="BS732" s="294">
        <f t="shared" si="13"/>
        <v>20</v>
      </c>
      <c r="BT732" s="297">
        <f t="shared" si="14"/>
        <v>0.10050251256281408</v>
      </c>
      <c r="BU732" s="298">
        <f t="shared" si="15"/>
        <v>5.8040050642199636E-2</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20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f t="shared" si="33"/>
        <v>1839</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t="s">
        <v>164</v>
      </c>
      <c r="C733" s="1356"/>
      <c r="D733" s="1356"/>
      <c r="E733" s="1356"/>
      <c r="F733" s="1357"/>
      <c r="G733" s="1364">
        <v>20</v>
      </c>
      <c r="H733" s="1365"/>
      <c r="I733" s="1365"/>
      <c r="J733" s="1366"/>
      <c r="K733" s="1603">
        <v>1187</v>
      </c>
      <c r="L733" s="1604"/>
      <c r="M733" s="1604"/>
      <c r="N733" s="1605"/>
      <c r="O733" s="1468">
        <v>2173</v>
      </c>
      <c r="P733" s="1469"/>
      <c r="Q733" s="1469"/>
      <c r="R733" s="1469"/>
      <c r="S733" s="1470"/>
      <c r="T733" s="1468">
        <v>91</v>
      </c>
      <c r="U733" s="1469"/>
      <c r="V733" s="1469"/>
      <c r="W733" s="1470"/>
      <c r="X733" s="1358">
        <f t="shared" si="8"/>
        <v>2264</v>
      </c>
      <c r="Y733" s="1359"/>
      <c r="Z733" s="1359"/>
      <c r="AA733" s="1359"/>
      <c r="AB733" s="1360"/>
      <c r="AC733" s="1612">
        <v>0.7</v>
      </c>
      <c r="AD733" s="1613"/>
      <c r="AE733" s="1613"/>
      <c r="AF733" s="1613"/>
      <c r="AG733" s="1614"/>
      <c r="AH733" s="1361">
        <f t="shared" si="36"/>
        <v>0.6774386594853381</v>
      </c>
      <c r="AI733" s="1362"/>
      <c r="AJ733" s="1363"/>
      <c r="AK733" s="1355" t="s">
        <v>592</v>
      </c>
      <c r="AL733" s="1356"/>
      <c r="AM733" s="1356"/>
      <c r="AN733" s="1356"/>
      <c r="AO733" s="1357"/>
      <c r="AP733" s="3"/>
      <c r="AQ733" s="3"/>
      <c r="AR733" s="3"/>
      <c r="AS733" s="3"/>
      <c r="AY733" s="1085"/>
      <c r="AZ733" s="118">
        <f t="shared" si="9"/>
        <v>3342</v>
      </c>
      <c r="BA733" s="3"/>
      <c r="BB733" s="3"/>
      <c r="BC733" s="3"/>
      <c r="BD733" s="3"/>
      <c r="BE733" s="204"/>
      <c r="BF733" s="294">
        <f t="shared" si="10"/>
        <v>20</v>
      </c>
      <c r="BG733" s="297">
        <f t="shared" si="11"/>
        <v>0.10050251256281408</v>
      </c>
      <c r="BH733" s="298">
        <f t="shared" si="12"/>
        <v>7.0351758793969849E-2</v>
      </c>
      <c r="BI733" s="3"/>
      <c r="BJ733" s="3"/>
      <c r="BK733" s="3"/>
      <c r="BL733" s="3"/>
      <c r="BM733" s="3"/>
      <c r="BN733" s="3"/>
      <c r="BS733" s="294">
        <f t="shared" si="13"/>
        <v>20</v>
      </c>
      <c r="BT733" s="297">
        <f t="shared" si="14"/>
        <v>0.10050251256281408</v>
      </c>
      <c r="BU733" s="298">
        <f t="shared" si="15"/>
        <v>6.8084287385461115E-2</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20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f t="shared" si="33"/>
        <v>2173</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3"/>
      <c r="L734" s="1604"/>
      <c r="M734" s="1604"/>
      <c r="N734" s="1605"/>
      <c r="O734" s="1468"/>
      <c r="P734" s="1469"/>
      <c r="Q734" s="1469"/>
      <c r="R734" s="1469"/>
      <c r="S734" s="1470"/>
      <c r="T734" s="1468"/>
      <c r="U734" s="1469"/>
      <c r="V734" s="1469"/>
      <c r="W734" s="1470"/>
      <c r="X734" s="1358">
        <f t="shared" si="8"/>
        <v>0</v>
      </c>
      <c r="Y734" s="1359"/>
      <c r="Z734" s="1359"/>
      <c r="AA734" s="1359"/>
      <c r="AB734" s="1360"/>
      <c r="AC734" s="1612"/>
      <c r="AD734" s="1613"/>
      <c r="AE734" s="1613"/>
      <c r="AF734" s="1613"/>
      <c r="AG734" s="1614"/>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3"/>
      <c r="L735" s="1604"/>
      <c r="M735" s="1604"/>
      <c r="N735" s="1605"/>
      <c r="O735" s="1468"/>
      <c r="P735" s="1469"/>
      <c r="Q735" s="1469"/>
      <c r="R735" s="1469"/>
      <c r="S735" s="1470"/>
      <c r="T735" s="1468"/>
      <c r="U735" s="1469"/>
      <c r="V735" s="1469"/>
      <c r="W735" s="1470"/>
      <c r="X735" s="1358">
        <f t="shared" si="8"/>
        <v>0</v>
      </c>
      <c r="Y735" s="1359"/>
      <c r="Z735" s="1359"/>
      <c r="AA735" s="1359"/>
      <c r="AB735" s="1360"/>
      <c r="AC735" s="1612"/>
      <c r="AD735" s="1613"/>
      <c r="AE735" s="1613"/>
      <c r="AF735" s="1613"/>
      <c r="AG735" s="1614"/>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3"/>
      <c r="L736" s="1604"/>
      <c r="M736" s="1604"/>
      <c r="N736" s="1605"/>
      <c r="O736" s="1468"/>
      <c r="P736" s="1469"/>
      <c r="Q736" s="1469"/>
      <c r="R736" s="1469"/>
      <c r="S736" s="1470"/>
      <c r="T736" s="1468"/>
      <c r="U736" s="1469"/>
      <c r="V736" s="1469"/>
      <c r="W736" s="1470"/>
      <c r="X736" s="1358">
        <f t="shared" si="8"/>
        <v>0</v>
      </c>
      <c r="Y736" s="1359"/>
      <c r="Z736" s="1359"/>
      <c r="AA736" s="1359"/>
      <c r="AB736" s="1360"/>
      <c r="AC736" s="1612"/>
      <c r="AD736" s="1613"/>
      <c r="AE736" s="1613"/>
      <c r="AF736" s="1613"/>
      <c r="AG736" s="1614"/>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3"/>
      <c r="L737" s="1604"/>
      <c r="M737" s="1604"/>
      <c r="N737" s="1605"/>
      <c r="O737" s="1468"/>
      <c r="P737" s="1469"/>
      <c r="Q737" s="1469"/>
      <c r="R737" s="1469"/>
      <c r="S737" s="1470"/>
      <c r="T737" s="1468"/>
      <c r="U737" s="1469"/>
      <c r="V737" s="1469"/>
      <c r="W737" s="1470"/>
      <c r="X737" s="1358">
        <f t="shared" si="8"/>
        <v>0</v>
      </c>
      <c r="Y737" s="1359"/>
      <c r="Z737" s="1359"/>
      <c r="AA737" s="1359"/>
      <c r="AB737" s="1360"/>
      <c r="AC737" s="1612"/>
      <c r="AD737" s="1613"/>
      <c r="AE737" s="1613"/>
      <c r="AF737" s="1613"/>
      <c r="AG737" s="1614"/>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3"/>
      <c r="L738" s="1604"/>
      <c r="M738" s="1604"/>
      <c r="N738" s="1605"/>
      <c r="O738" s="1468"/>
      <c r="P738" s="1469"/>
      <c r="Q738" s="1469"/>
      <c r="R738" s="1469"/>
      <c r="S738" s="1470"/>
      <c r="T738" s="1468"/>
      <c r="U738" s="1469"/>
      <c r="V738" s="1469"/>
      <c r="W738" s="1470"/>
      <c r="X738" s="1358">
        <f t="shared" si="8"/>
        <v>0</v>
      </c>
      <c r="Y738" s="1359"/>
      <c r="Z738" s="1359"/>
      <c r="AA738" s="1359"/>
      <c r="AB738" s="1360"/>
      <c r="AC738" s="1612"/>
      <c r="AD738" s="1613"/>
      <c r="AE738" s="1613"/>
      <c r="AF738" s="1613"/>
      <c r="AG738" s="1614"/>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3"/>
      <c r="L739" s="1604"/>
      <c r="M739" s="1604"/>
      <c r="N739" s="1605"/>
      <c r="O739" s="1468"/>
      <c r="P739" s="1469"/>
      <c r="Q739" s="1469"/>
      <c r="R739" s="1469"/>
      <c r="S739" s="1470"/>
      <c r="T739" s="1468"/>
      <c r="U739" s="1469"/>
      <c r="V739" s="1469"/>
      <c r="W739" s="1470"/>
      <c r="X739" s="1358">
        <f t="shared" si="8"/>
        <v>0</v>
      </c>
      <c r="Y739" s="1359"/>
      <c r="Z739" s="1359"/>
      <c r="AA739" s="1359"/>
      <c r="AB739" s="1360"/>
      <c r="AC739" s="1612"/>
      <c r="AD739" s="1613"/>
      <c r="AE739" s="1613"/>
      <c r="AF739" s="1613"/>
      <c r="AG739" s="1614"/>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3"/>
      <c r="L740" s="1604"/>
      <c r="M740" s="1604"/>
      <c r="N740" s="1605"/>
      <c r="O740" s="1468"/>
      <c r="P740" s="1469"/>
      <c r="Q740" s="1469"/>
      <c r="R740" s="1469"/>
      <c r="S740" s="1470"/>
      <c r="T740" s="1468"/>
      <c r="U740" s="1469"/>
      <c r="V740" s="1469"/>
      <c r="W740" s="1470"/>
      <c r="X740" s="1358">
        <f t="shared" si="8"/>
        <v>0</v>
      </c>
      <c r="Y740" s="1359"/>
      <c r="Z740" s="1359"/>
      <c r="AA740" s="1359"/>
      <c r="AB740" s="1360"/>
      <c r="AC740" s="1612"/>
      <c r="AD740" s="1613"/>
      <c r="AE740" s="1613"/>
      <c r="AF740" s="1613"/>
      <c r="AG740" s="1614"/>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3"/>
      <c r="L741" s="1604"/>
      <c r="M741" s="1604"/>
      <c r="N741" s="1605"/>
      <c r="O741" s="1468"/>
      <c r="P741" s="1469"/>
      <c r="Q741" s="1469"/>
      <c r="R741" s="1469"/>
      <c r="S741" s="1470"/>
      <c r="T741" s="1468"/>
      <c r="U741" s="1469"/>
      <c r="V741" s="1469"/>
      <c r="W741" s="1470"/>
      <c r="X741" s="1358">
        <f t="shared" si="8"/>
        <v>0</v>
      </c>
      <c r="Y741" s="1359"/>
      <c r="Z741" s="1359"/>
      <c r="AA741" s="1359"/>
      <c r="AB741" s="1360"/>
      <c r="AC741" s="1612"/>
      <c r="AD741" s="1613"/>
      <c r="AE741" s="1613"/>
      <c r="AF741" s="1613"/>
      <c r="AG741" s="1614"/>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3"/>
      <c r="L742" s="1604"/>
      <c r="M742" s="1604"/>
      <c r="N742" s="1605"/>
      <c r="O742" s="1468"/>
      <c r="P742" s="1469"/>
      <c r="Q742" s="1469"/>
      <c r="R742" s="1469"/>
      <c r="S742" s="1470"/>
      <c r="T742" s="1468"/>
      <c r="U742" s="1469"/>
      <c r="V742" s="1469"/>
      <c r="W742" s="1470"/>
      <c r="X742" s="1358">
        <f t="shared" ref="X742:X751" si="39">O742+T742</f>
        <v>0</v>
      </c>
      <c r="Y742" s="1359"/>
      <c r="Z742" s="1359"/>
      <c r="AA742" s="1359"/>
      <c r="AB742" s="1360"/>
      <c r="AC742" s="1612"/>
      <c r="AD742" s="1613"/>
      <c r="AE742" s="1613"/>
      <c r="AF742" s="1613"/>
      <c r="AG742" s="1614"/>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3"/>
      <c r="L743" s="1604"/>
      <c r="M743" s="1604"/>
      <c r="N743" s="1605"/>
      <c r="O743" s="1468"/>
      <c r="P743" s="1469"/>
      <c r="Q743" s="1469"/>
      <c r="R743" s="1469"/>
      <c r="S743" s="1470"/>
      <c r="T743" s="1468"/>
      <c r="U743" s="1469"/>
      <c r="V743" s="1469"/>
      <c r="W743" s="1470"/>
      <c r="X743" s="1358">
        <f t="shared" si="39"/>
        <v>0</v>
      </c>
      <c r="Y743" s="1359"/>
      <c r="Z743" s="1359"/>
      <c r="AA743" s="1359"/>
      <c r="AB743" s="1360"/>
      <c r="AC743" s="1612"/>
      <c r="AD743" s="1613"/>
      <c r="AE743" s="1613"/>
      <c r="AF743" s="1613"/>
      <c r="AG743" s="1614"/>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3"/>
      <c r="L744" s="1604"/>
      <c r="M744" s="1604"/>
      <c r="N744" s="1605"/>
      <c r="O744" s="1468"/>
      <c r="P744" s="1469"/>
      <c r="Q744" s="1469"/>
      <c r="R744" s="1469"/>
      <c r="S744" s="1470"/>
      <c r="T744" s="1468"/>
      <c r="U744" s="1469"/>
      <c r="V744" s="1469"/>
      <c r="W744" s="1470"/>
      <c r="X744" s="1358">
        <f t="shared" si="39"/>
        <v>0</v>
      </c>
      <c r="Y744" s="1359"/>
      <c r="Z744" s="1359"/>
      <c r="AA744" s="1359"/>
      <c r="AB744" s="1360"/>
      <c r="AC744" s="1612"/>
      <c r="AD744" s="1613"/>
      <c r="AE744" s="1613"/>
      <c r="AF744" s="1613"/>
      <c r="AG744" s="1614"/>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3"/>
      <c r="L745" s="1604"/>
      <c r="M745" s="1604"/>
      <c r="N745" s="1605"/>
      <c r="O745" s="1468"/>
      <c r="P745" s="1469"/>
      <c r="Q745" s="1469"/>
      <c r="R745" s="1469"/>
      <c r="S745" s="1470"/>
      <c r="T745" s="1468"/>
      <c r="U745" s="1469"/>
      <c r="V745" s="1469"/>
      <c r="W745" s="1470"/>
      <c r="X745" s="1358">
        <f t="shared" si="39"/>
        <v>0</v>
      </c>
      <c r="Y745" s="1359"/>
      <c r="Z745" s="1359"/>
      <c r="AA745" s="1359"/>
      <c r="AB745" s="1360"/>
      <c r="AC745" s="1612"/>
      <c r="AD745" s="1613"/>
      <c r="AE745" s="1613"/>
      <c r="AF745" s="1613"/>
      <c r="AG745" s="1614"/>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3"/>
      <c r="L746" s="1604"/>
      <c r="M746" s="1604"/>
      <c r="N746" s="1605"/>
      <c r="O746" s="1468"/>
      <c r="P746" s="1469"/>
      <c r="Q746" s="1469"/>
      <c r="R746" s="1469"/>
      <c r="S746" s="1470"/>
      <c r="T746" s="1468"/>
      <c r="U746" s="1469"/>
      <c r="V746" s="1469"/>
      <c r="W746" s="1470"/>
      <c r="X746" s="1358">
        <f t="shared" si="39"/>
        <v>0</v>
      </c>
      <c r="Y746" s="1359"/>
      <c r="Z746" s="1359"/>
      <c r="AA746" s="1359"/>
      <c r="AB746" s="1360"/>
      <c r="AC746" s="1612"/>
      <c r="AD746" s="1613"/>
      <c r="AE746" s="1613"/>
      <c r="AF746" s="1613"/>
      <c r="AG746" s="1614"/>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3"/>
      <c r="L747" s="1604"/>
      <c r="M747" s="1604"/>
      <c r="N747" s="1605"/>
      <c r="O747" s="1468"/>
      <c r="P747" s="1469"/>
      <c r="Q747" s="1469"/>
      <c r="R747" s="1469"/>
      <c r="S747" s="1470"/>
      <c r="T747" s="1468"/>
      <c r="U747" s="1469"/>
      <c r="V747" s="1469"/>
      <c r="W747" s="1470"/>
      <c r="X747" s="1358">
        <f t="shared" si="39"/>
        <v>0</v>
      </c>
      <c r="Y747" s="1359"/>
      <c r="Z747" s="1359"/>
      <c r="AA747" s="1359"/>
      <c r="AB747" s="1360"/>
      <c r="AC747" s="1612"/>
      <c r="AD747" s="1613"/>
      <c r="AE747" s="1613"/>
      <c r="AF747" s="1613"/>
      <c r="AG747" s="1614"/>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3"/>
      <c r="L748" s="1604"/>
      <c r="M748" s="1604"/>
      <c r="N748" s="1605"/>
      <c r="O748" s="1468"/>
      <c r="P748" s="1469"/>
      <c r="Q748" s="1469"/>
      <c r="R748" s="1469"/>
      <c r="S748" s="1470"/>
      <c r="T748" s="1468"/>
      <c r="U748" s="1469"/>
      <c r="V748" s="1469"/>
      <c r="W748" s="1470"/>
      <c r="X748" s="1358">
        <f t="shared" si="39"/>
        <v>0</v>
      </c>
      <c r="Y748" s="1359"/>
      <c r="Z748" s="1359"/>
      <c r="AA748" s="1359"/>
      <c r="AB748" s="1360"/>
      <c r="AC748" s="1612"/>
      <c r="AD748" s="1613"/>
      <c r="AE748" s="1613"/>
      <c r="AF748" s="1613"/>
      <c r="AG748" s="1614"/>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3"/>
      <c r="L749" s="1604"/>
      <c r="M749" s="1604"/>
      <c r="N749" s="1605"/>
      <c r="O749" s="1468"/>
      <c r="P749" s="1469"/>
      <c r="Q749" s="1469"/>
      <c r="R749" s="1469"/>
      <c r="S749" s="1470"/>
      <c r="T749" s="1468"/>
      <c r="U749" s="1469"/>
      <c r="V749" s="1469"/>
      <c r="W749" s="1470"/>
      <c r="X749" s="1358">
        <f t="shared" si="39"/>
        <v>0</v>
      </c>
      <c r="Y749" s="1359"/>
      <c r="Z749" s="1359"/>
      <c r="AA749" s="1359"/>
      <c r="AB749" s="1360"/>
      <c r="AC749" s="1612"/>
      <c r="AD749" s="1613"/>
      <c r="AE749" s="1613"/>
      <c r="AF749" s="1613"/>
      <c r="AG749" s="1614"/>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3"/>
      <c r="L750" s="1604"/>
      <c r="M750" s="1604"/>
      <c r="N750" s="1605"/>
      <c r="O750" s="1468"/>
      <c r="P750" s="1469"/>
      <c r="Q750" s="1469"/>
      <c r="R750" s="1469"/>
      <c r="S750" s="1470"/>
      <c r="T750" s="1468"/>
      <c r="U750" s="1469"/>
      <c r="V750" s="1469"/>
      <c r="W750" s="1470"/>
      <c r="X750" s="1358">
        <f t="shared" si="39"/>
        <v>0</v>
      </c>
      <c r="Y750" s="1359"/>
      <c r="Z750" s="1359"/>
      <c r="AA750" s="1359"/>
      <c r="AB750" s="1360"/>
      <c r="AC750" s="1612"/>
      <c r="AD750" s="1613"/>
      <c r="AE750" s="1613"/>
      <c r="AF750" s="1613"/>
      <c r="AG750" s="1614"/>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3"/>
      <c r="L751" s="1604"/>
      <c r="M751" s="1604"/>
      <c r="N751" s="1605"/>
      <c r="O751" s="1468"/>
      <c r="P751" s="1469"/>
      <c r="Q751" s="1469"/>
      <c r="R751" s="1469"/>
      <c r="S751" s="1470"/>
      <c r="T751" s="1468"/>
      <c r="U751" s="1469"/>
      <c r="V751" s="1469"/>
      <c r="W751" s="1470"/>
      <c r="X751" s="1358">
        <f t="shared" si="39"/>
        <v>0</v>
      </c>
      <c r="Y751" s="1359"/>
      <c r="Z751" s="1359"/>
      <c r="AA751" s="1359"/>
      <c r="AB751" s="1360"/>
      <c r="AC751" s="1612"/>
      <c r="AD751" s="1613"/>
      <c r="AE751" s="1613"/>
      <c r="AF751" s="1613"/>
      <c r="AG751" s="1614"/>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3"/>
      <c r="L752" s="1604"/>
      <c r="M752" s="1604"/>
      <c r="N752" s="1605"/>
      <c r="O752" s="1468"/>
      <c r="P752" s="1469"/>
      <c r="Q752" s="1469"/>
      <c r="R752" s="1469"/>
      <c r="S752" s="1470"/>
      <c r="T752" s="1468"/>
      <c r="U752" s="1469"/>
      <c r="V752" s="1469"/>
      <c r="W752" s="1470"/>
      <c r="X752" s="1358">
        <f>O752+T752</f>
        <v>0</v>
      </c>
      <c r="Y752" s="1359"/>
      <c r="Z752" s="1359"/>
      <c r="AA752" s="1359"/>
      <c r="AB752" s="1360"/>
      <c r="AC752" s="1612"/>
      <c r="AD752" s="1613"/>
      <c r="AE752" s="1613"/>
      <c r="AF752" s="1613"/>
      <c r="AG752" s="1614"/>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18">
        <f>SUM(G718:G752)</f>
        <v>199</v>
      </c>
      <c r="H753" s="1719"/>
      <c r="I753" s="1719"/>
      <c r="J753" s="1720"/>
      <c r="K753" s="902" t="s">
        <v>124</v>
      </c>
      <c r="L753" s="5"/>
      <c r="M753" s="5"/>
      <c r="N753" s="46"/>
      <c r="O753" s="1358">
        <f>SUMPRODUCT(G718:G752,O718:O752)</f>
        <v>304375</v>
      </c>
      <c r="P753" s="1359"/>
      <c r="Q753" s="1359"/>
      <c r="R753" s="1359"/>
      <c r="S753" s="1360"/>
      <c r="T753"/>
      <c r="U753"/>
      <c r="V753"/>
      <c r="W753"/>
      <c r="X753" s="904" t="s">
        <v>901</v>
      </c>
      <c r="Y753" s="903"/>
      <c r="Z753" s="903"/>
      <c r="AA753" s="903"/>
      <c r="AB753" s="905"/>
      <c r="AC753" s="1616">
        <f>BH753</f>
        <v>0.59648241206030139</v>
      </c>
      <c r="AD753" s="1617"/>
      <c r="AE753" s="1617"/>
      <c r="AF753" s="1617"/>
      <c r="AG753" s="1618"/>
      <c r="AH753" s="1616">
        <f>IFERROR(BU753,"")</f>
        <v>0.57940327809796155</v>
      </c>
      <c r="AI753" s="1617"/>
      <c r="AJ753" s="1618"/>
      <c r="AK753"/>
      <c r="AL753"/>
      <c r="AM753"/>
      <c r="AN753"/>
      <c r="AO753"/>
      <c r="AP753" s="205"/>
      <c r="AQ753" s="205"/>
      <c r="AR753" s="205"/>
      <c r="AS753" s="205"/>
      <c r="AT753"/>
      <c r="AU753"/>
      <c r="AV753"/>
      <c r="AW753"/>
      <c r="AX753"/>
      <c r="AY753"/>
      <c r="AZ753" s="34"/>
      <c r="BA753" s="34"/>
      <c r="BB753" s="34"/>
      <c r="BC753" s="34"/>
      <c r="BE753" s="290" t="s">
        <v>900</v>
      </c>
      <c r="BF753" s="299">
        <f>SUM(BF718:BF752)</f>
        <v>199</v>
      </c>
      <c r="BG753" s="300">
        <f>SUM(BG718:BG752)</f>
        <v>0.99999999999999989</v>
      </c>
      <c r="BH753" s="300">
        <f>SUM(BH718:BH752)</f>
        <v>0.59648241206030139</v>
      </c>
      <c r="BI753"/>
      <c r="BJ753"/>
      <c r="BK753"/>
      <c r="BL753"/>
      <c r="BO753"/>
      <c r="BP753"/>
      <c r="BQ753"/>
      <c r="BR753"/>
      <c r="BS753" s="859">
        <f>SUM(BS718:BS752)</f>
        <v>199</v>
      </c>
      <c r="BT753" s="300">
        <f>SUM(BT718:BT752)</f>
        <v>0.99999999999999989</v>
      </c>
      <c r="BU753" s="300">
        <f>SUM(BU718:BU752)</f>
        <v>0.57940327809796155</v>
      </c>
      <c r="CI753" s="1351">
        <f>SUM(CI718:CJ752)</f>
        <v>21</v>
      </c>
      <c r="CJ753" s="1353"/>
      <c r="CM753" s="1351">
        <f>SUM(CM718:CN752)</f>
        <v>21</v>
      </c>
      <c r="CN753" s="1353"/>
      <c r="CP753" s="1351">
        <f>SUM(CP718:CT752)</f>
        <v>0</v>
      </c>
      <c r="CQ753" s="1352"/>
      <c r="CR753" s="1352"/>
      <c r="CS753" s="1352"/>
      <c r="CT753" s="1353"/>
      <c r="CU753" s="1367">
        <f>SUM(CU718:CY752)</f>
        <v>99</v>
      </c>
      <c r="CV753" s="1367"/>
      <c r="CW753" s="1367"/>
      <c r="CX753" s="1367"/>
      <c r="CY753" s="1367"/>
      <c r="CZ753" s="1367">
        <f>SUM(CZ718:DD752)</f>
        <v>50</v>
      </c>
      <c r="DA753" s="1367"/>
      <c r="DB753" s="1367"/>
      <c r="DC753" s="1367"/>
      <c r="DD753" s="1367"/>
      <c r="DE753" s="1367">
        <f>SUM(DE718:DI752)</f>
        <v>50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11</v>
      </c>
      <c r="EA753" s="1367"/>
      <c r="EB753" s="1367"/>
      <c r="EC753" s="1367"/>
      <c r="ED753" s="1367"/>
      <c r="EE753" s="1367">
        <f>SUM(EE718:EI752)</f>
        <v>5</v>
      </c>
      <c r="EF753" s="1367"/>
      <c r="EG753" s="1367"/>
      <c r="EH753" s="1367"/>
      <c r="EI753" s="1367"/>
      <c r="EJ753" s="1367">
        <f>SUM(EJ718:EN752)</f>
        <v>5</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9368</v>
      </c>
      <c r="FF753" s="1367"/>
      <c r="FG753" s="1367"/>
      <c r="FH753" s="1367"/>
      <c r="FI753" s="1367"/>
      <c r="FJ753" s="1367">
        <f>SUM(FJ718:FN752)</f>
        <v>5554</v>
      </c>
      <c r="FK753" s="1367"/>
      <c r="FL753" s="1367"/>
      <c r="FM753" s="1367"/>
      <c r="FN753" s="1367"/>
      <c r="FO753" s="1367">
        <f>SUM(FO718:FS752)</f>
        <v>6352</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2" t="s">
        <v>1896</v>
      </c>
      <c r="C754" s="1722"/>
      <c r="D754" s="1722"/>
      <c r="E754" s="1722"/>
      <c r="F754" s="1722"/>
      <c r="G754" s="1722"/>
      <c r="H754" s="1722"/>
      <c r="I754" s="1722"/>
      <c r="J754" s="1722"/>
      <c r="K754" s="1722"/>
      <c r="L754" s="1722"/>
      <c r="M754" s="1722"/>
      <c r="N754" s="1722"/>
      <c r="O754" s="1722"/>
      <c r="P754" s="1722"/>
      <c r="Q754" s="1722"/>
      <c r="R754" s="1722"/>
      <c r="S754" s="1722"/>
      <c r="T754" s="1722"/>
      <c r="U754" s="1722"/>
      <c r="V754" s="1722"/>
      <c r="W754" s="1722"/>
      <c r="X754" s="1722"/>
      <c r="Y754" s="1722"/>
      <c r="Z754" s="1722"/>
      <c r="AA754" s="1722"/>
      <c r="AB754" s="1722"/>
      <c r="AC754" s="1722"/>
      <c r="AD754" s="1722"/>
      <c r="AE754" s="1722"/>
      <c r="AF754" s="1722"/>
      <c r="AG754" s="1722"/>
      <c r="AH754" s="1722"/>
      <c r="AI754"/>
      <c r="AJ754"/>
      <c r="AK754"/>
      <c r="AT754"/>
      <c r="AU754"/>
      <c r="AV754"/>
      <c r="AW754"/>
      <c r="AX754"/>
      <c r="AY754"/>
      <c r="CD754"/>
      <c r="DN754" s="56" t="s">
        <v>1863</v>
      </c>
      <c r="DO754" s="1351">
        <f>CP753+CU753+CZ753+DE753+DJ753+DO753</f>
        <v>199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2"/>
      <c r="C755" s="1722"/>
      <c r="D755" s="1722"/>
      <c r="E755" s="1722"/>
      <c r="F755" s="1722"/>
      <c r="G755" s="1722"/>
      <c r="H755" s="1722"/>
      <c r="I755" s="1722"/>
      <c r="J755" s="1722"/>
      <c r="K755" s="1722"/>
      <c r="L755" s="1722"/>
      <c r="M755" s="1722"/>
      <c r="N755" s="1722"/>
      <c r="O755" s="1722"/>
      <c r="P755" s="1722"/>
      <c r="Q755" s="1722"/>
      <c r="R755" s="1722"/>
      <c r="S755" s="1722"/>
      <c r="T755" s="1722"/>
      <c r="U755" s="1722"/>
      <c r="V755" s="1722"/>
      <c r="W755" s="1722"/>
      <c r="X755" s="1722"/>
      <c r="Y755" s="1722"/>
      <c r="Z755" s="1722"/>
      <c r="AA755" s="1722"/>
      <c r="AB755" s="1722"/>
      <c r="AC755" s="1722"/>
      <c r="AD755" s="1722"/>
      <c r="AE755" s="1722"/>
      <c r="AF755" s="1722"/>
      <c r="AG755" s="1722"/>
      <c r="AH755" s="17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99</v>
      </c>
      <c r="CZ755" s="3"/>
      <c r="DA755" s="3"/>
      <c r="DB755" s="3"/>
      <c r="DC755" s="3"/>
      <c r="DD755" s="861">
        <f>CZ753*2</f>
        <v>100</v>
      </c>
      <c r="DE755" s="3"/>
      <c r="DF755" s="3"/>
      <c r="DG755" s="3"/>
      <c r="DH755" s="3"/>
      <c r="DI755" s="861">
        <f>DE753*3</f>
        <v>150</v>
      </c>
      <c r="DJ755" s="3"/>
      <c r="DK755" s="3"/>
      <c r="DL755" s="3"/>
      <c r="DM755" s="3"/>
      <c r="DN755" s="861">
        <f>DJ753*4</f>
        <v>0</v>
      </c>
      <c r="DO755" s="3"/>
      <c r="DP755" s="3"/>
      <c r="DQ755" s="3"/>
      <c r="DR755" s="3"/>
      <c r="DS755" s="861">
        <f>DO753*5</f>
        <v>0</v>
      </c>
      <c r="DU755" s="861">
        <f>CT755+CY755+DD755+DI755+DN755+DS755</f>
        <v>349</v>
      </c>
      <c r="DV755" s="57" t="s">
        <v>1865</v>
      </c>
      <c r="DW755" s="3"/>
      <c r="DX755" s="3"/>
      <c r="DY755" s="3"/>
      <c r="DZ755" s="3"/>
      <c r="EA755" s="3"/>
      <c r="EB755" s="3"/>
      <c r="EC755" s="3"/>
      <c r="ED755" s="3"/>
      <c r="EE755" s="3"/>
      <c r="EF755" s="3"/>
      <c r="EG755" s="3"/>
      <c r="EH755" s="3"/>
    </row>
    <row r="756" spans="1:185" ht="12.95" customHeight="1">
      <c r="A756" s="3"/>
      <c r="B756" s="3"/>
      <c r="C756" s="118" t="s">
        <v>1894</v>
      </c>
      <c r="D756" s="1032"/>
      <c r="E756" s="1032"/>
      <c r="F756" s="1032"/>
      <c r="G756" s="1033"/>
      <c r="H756" s="1033"/>
      <c r="I756" s="1033"/>
      <c r="J756" s="1033"/>
      <c r="K756" s="1032"/>
      <c r="L756" s="1032"/>
      <c r="M756" s="1032"/>
      <c r="N756" s="1032"/>
      <c r="O756" s="1367">
        <f>DU755</f>
        <v>349</v>
      </c>
      <c r="P756" s="1367"/>
      <c r="Q756" s="1367"/>
      <c r="R756" s="1367"/>
      <c r="S756" s="969"/>
      <c r="T756" s="969"/>
      <c r="U756" s="118" t="s">
        <v>1895</v>
      </c>
      <c r="V756" s="1032"/>
      <c r="W756" s="1032"/>
      <c r="X756" s="1032"/>
      <c r="Y756" s="1033"/>
      <c r="Z756" s="1033"/>
      <c r="AA756" s="1033"/>
      <c r="AB756" s="1033"/>
      <c r="AC756" s="1032"/>
      <c r="AD756" s="1032"/>
      <c r="AE756" s="1032"/>
      <c r="AF756" s="1032"/>
      <c r="AG756" s="1714">
        <v>0</v>
      </c>
      <c r="AH756" s="1714"/>
      <c r="AI756" s="1714"/>
      <c r="AJ756" s="171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1893</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1" t="s">
        <v>592</v>
      </c>
      <c r="AE759" s="1721"/>
      <c r="AF759" s="172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2091</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2092</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2093</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4" t="s">
        <v>389</v>
      </c>
      <c r="K769" s="1495"/>
      <c r="L769" s="1495"/>
      <c r="M769" s="1495"/>
      <c r="N769" s="1496"/>
      <c r="O769" s="1601" t="s">
        <v>285</v>
      </c>
      <c r="P769" s="1601"/>
      <c r="Q769" s="1601"/>
      <c r="R769" s="1601"/>
      <c r="S769" s="1601"/>
      <c r="T769" s="1511" t="s">
        <v>1681</v>
      </c>
      <c r="U769" s="1512"/>
      <c r="V769" s="1512"/>
      <c r="W769" s="1513"/>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7"/>
      <c r="K770" s="1498"/>
      <c r="L770" s="1498"/>
      <c r="M770" s="1498"/>
      <c r="N770" s="1499"/>
      <c r="O770" s="1601"/>
      <c r="P770" s="1601"/>
      <c r="Q770" s="1601"/>
      <c r="R770" s="1601"/>
      <c r="S770" s="1601"/>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7"/>
      <c r="K771" s="1498"/>
      <c r="L771" s="1498"/>
      <c r="M771" s="1498"/>
      <c r="N771" s="1499"/>
      <c r="O771" s="1601"/>
      <c r="P771" s="1601"/>
      <c r="Q771" s="1601"/>
      <c r="R771" s="1601"/>
      <c r="S771" s="1601"/>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0"/>
      <c r="K772" s="1501"/>
      <c r="L772" s="1501"/>
      <c r="M772" s="1501"/>
      <c r="N772" s="1502"/>
      <c r="O772" s="1601"/>
      <c r="P772" s="1601"/>
      <c r="Q772" s="1601"/>
      <c r="R772" s="1601"/>
      <c r="S772" s="1601"/>
      <c r="T772" s="1609"/>
      <c r="U772" s="1610"/>
      <c r="V772" s="1610"/>
      <c r="W772" s="1611"/>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325</v>
      </c>
      <c r="K773" s="1356"/>
      <c r="L773" s="1356"/>
      <c r="M773" s="1356"/>
      <c r="N773" s="1357"/>
      <c r="O773" s="1464">
        <v>1</v>
      </c>
      <c r="P773" s="1464"/>
      <c r="Q773" s="1464"/>
      <c r="R773" s="1464"/>
      <c r="S773" s="1464"/>
      <c r="T773" s="1603">
        <v>907</v>
      </c>
      <c r="U773" s="1604"/>
      <c r="V773" s="1604"/>
      <c r="W773" s="1605"/>
      <c r="X773" s="1468">
        <v>1593</v>
      </c>
      <c r="Y773" s="1469"/>
      <c r="Z773" s="1469"/>
      <c r="AA773" s="1469"/>
      <c r="AB773" s="1470"/>
      <c r="AC773" s="1358">
        <f>X773*O773</f>
        <v>1593</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1</v>
      </c>
      <c r="CV773" s="1354"/>
      <c r="CW773" s="1354"/>
      <c r="CX773" s="1354"/>
      <c r="CY773" s="1354"/>
      <c r="CZ773" s="1354">
        <f>IF(J773="2 Bedrooms",O773,0)</f>
        <v>0</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3"/>
      <c r="U774" s="1604"/>
      <c r="V774" s="1604"/>
      <c r="W774" s="1605"/>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3"/>
      <c r="U775" s="1604"/>
      <c r="V775" s="1604"/>
      <c r="W775" s="1605"/>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3"/>
      <c r="U776" s="1604"/>
      <c r="V776" s="1604"/>
      <c r="W776" s="1605"/>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1593</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1</v>
      </c>
      <c r="CV777" s="1349"/>
      <c r="CW777" s="1349"/>
      <c r="CX777" s="1349"/>
      <c r="CY777" s="1350"/>
      <c r="CZ777" s="1348">
        <f>SUM(CZ773:DD776)</f>
        <v>0</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1862</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1</v>
      </c>
      <c r="DV778" s="57" t="s">
        <v>1864</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4" t="s">
        <v>389</v>
      </c>
      <c r="K783" s="1495"/>
      <c r="L783" s="1495"/>
      <c r="M783" s="1495"/>
      <c r="N783" s="1496"/>
      <c r="O783" s="1601" t="s">
        <v>285</v>
      </c>
      <c r="P783" s="1601"/>
      <c r="Q783" s="1601"/>
      <c r="R783" s="1601"/>
      <c r="S783" s="1601"/>
      <c r="T783" s="1511" t="s">
        <v>1681</v>
      </c>
      <c r="U783" s="1512"/>
      <c r="V783" s="1512"/>
      <c r="W783" s="1513"/>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7"/>
      <c r="K784" s="1498"/>
      <c r="L784" s="1498"/>
      <c r="M784" s="1498"/>
      <c r="N784" s="1499"/>
      <c r="O784" s="1601"/>
      <c r="P784" s="1601"/>
      <c r="Q784" s="1601"/>
      <c r="R784" s="1601"/>
      <c r="S784" s="1601"/>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7"/>
      <c r="K785" s="1498"/>
      <c r="L785" s="1498"/>
      <c r="M785" s="1498"/>
      <c r="N785" s="1499"/>
      <c r="O785" s="1601"/>
      <c r="P785" s="1601"/>
      <c r="Q785" s="1601"/>
      <c r="R785" s="1601"/>
      <c r="S785" s="1601"/>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0"/>
      <c r="K786" s="1501"/>
      <c r="L786" s="1501"/>
      <c r="M786" s="1501"/>
      <c r="N786" s="1502"/>
      <c r="O786" s="1601"/>
      <c r="P786" s="1601"/>
      <c r="Q786" s="1601"/>
      <c r="R786" s="1601"/>
      <c r="S786" s="1601"/>
      <c r="T786" s="1609"/>
      <c r="U786" s="1610"/>
      <c r="V786" s="1610"/>
      <c r="W786" s="1611"/>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1869</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3"/>
      <c r="U787" s="1604"/>
      <c r="V787" s="1604"/>
      <c r="W787" s="1605"/>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3"/>
      <c r="U788" s="1604"/>
      <c r="V788" s="1604"/>
      <c r="W788" s="1605"/>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3"/>
      <c r="U789" s="1604"/>
      <c r="V789" s="1604"/>
      <c r="W789" s="1605"/>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3"/>
      <c r="U790" s="1604"/>
      <c r="V790" s="1604"/>
      <c r="W790" s="1605"/>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3"/>
      <c r="U791" s="1604"/>
      <c r="V791" s="1604"/>
      <c r="W791" s="1605"/>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3"/>
      <c r="U792" s="1604"/>
      <c r="V792" s="1604"/>
      <c r="W792" s="1605"/>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3"/>
      <c r="U793" s="1604"/>
      <c r="V793" s="1604"/>
      <c r="W793" s="1605"/>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3"/>
      <c r="U794" s="1604"/>
      <c r="V794" s="1604"/>
      <c r="W794" s="1605"/>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3"/>
      <c r="U795" s="1604"/>
      <c r="V795" s="1604"/>
      <c r="W795" s="1605"/>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3"/>
      <c r="U796" s="1604"/>
      <c r="V796" s="1604"/>
      <c r="W796" s="1605"/>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3">
        <f>SUM(O787:S796)</f>
        <v>0</v>
      </c>
      <c r="P797" s="1623"/>
      <c r="Q797" s="1623"/>
      <c r="R797" s="1623"/>
      <c r="S797" s="1623"/>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1861</v>
      </c>
      <c r="DW799" s="3"/>
      <c r="DX799" s="3"/>
      <c r="DY799" s="3"/>
      <c r="DZ799" s="3"/>
      <c r="EA799" s="3"/>
      <c r="EB799" s="3"/>
      <c r="EC799" s="3"/>
      <c r="ED799" s="3"/>
      <c r="EE799" s="3"/>
      <c r="EF799" s="3"/>
      <c r="EG799" s="3"/>
      <c r="EH799" s="3"/>
      <c r="EI799"/>
      <c r="EJ799"/>
      <c r="EK799"/>
      <c r="EL799"/>
      <c r="EM799"/>
      <c r="EN799"/>
      <c r="EO799"/>
      <c r="EP799"/>
      <c r="EQ799"/>
      <c r="ER799"/>
      <c r="ES799" s="56" t="s">
        <v>1870</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305968</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1632</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3671616</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100</v>
      </c>
      <c r="CV802" s="1349"/>
      <c r="CW802" s="1349"/>
      <c r="CX802" s="1349"/>
      <c r="CY802" s="1350"/>
      <c r="CZ802" s="1348">
        <f>CZ753+CZ777+CZ797</f>
        <v>50</v>
      </c>
      <c r="DA802" s="1349"/>
      <c r="DB802" s="1349"/>
      <c r="DC802" s="1349"/>
      <c r="DD802" s="1350"/>
      <c r="DE802" s="1348">
        <f>DE753+DE777+DE797</f>
        <v>50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349</v>
      </c>
      <c r="DV802" s="57" t="s">
        <v>1866</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3"/>
      <c r="AA806" s="1607"/>
      <c r="AB806" s="1607"/>
      <c r="AC806" s="1607"/>
      <c r="AD806" s="1607"/>
      <c r="AE806" s="160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6"/>
      <c r="AA807" s="1607"/>
      <c r="AB807" s="1607"/>
      <c r="AC807" s="1607"/>
      <c r="AD807" s="1607"/>
      <c r="AE807" s="160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1">
        <v>0</v>
      </c>
      <c r="AA808" s="1520"/>
      <c r="AB808" s="1520"/>
      <c r="AC808" s="1520"/>
      <c r="AD808" s="1520"/>
      <c r="AE808" s="16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48000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1" t="s">
        <v>2704</v>
      </c>
      <c r="Q816" s="1642"/>
      <c r="R816" s="1642"/>
      <c r="S816" s="1642"/>
      <c r="T816" s="1642"/>
      <c r="U816" s="1642"/>
      <c r="V816" s="1642"/>
      <c r="W816" s="1642"/>
      <c r="X816" s="1642"/>
      <c r="Y816" s="1643"/>
      <c r="Z816" s="1475">
        <v>9000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57000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3728616</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6" t="s">
        <v>126</v>
      </c>
      <c r="N823" s="1686"/>
      <c r="O823" s="1686"/>
      <c r="P823" s="1687"/>
      <c r="Q823" s="1620" t="s">
        <v>290</v>
      </c>
      <c r="R823" s="1620"/>
      <c r="S823" s="1620"/>
      <c r="T823" s="1620"/>
      <c r="U823" s="1620" t="s">
        <v>291</v>
      </c>
      <c r="V823" s="1620"/>
      <c r="W823" s="1620"/>
      <c r="X823" s="1620"/>
      <c r="Y823" s="1620" t="s">
        <v>292</v>
      </c>
      <c r="Z823" s="1620"/>
      <c r="AA823" s="1620"/>
      <c r="AB823" s="1620"/>
      <c r="AC823" s="1620" t="s">
        <v>361</v>
      </c>
      <c r="AD823" s="1620"/>
      <c r="AE823" s="1620"/>
      <c r="AF823" s="1620"/>
      <c r="AG823" s="1615" t="s">
        <v>335</v>
      </c>
      <c r="AH823" s="1615"/>
      <c r="AI823" s="1615"/>
      <c r="AJ823" s="161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8"/>
      <c r="N824" s="1688"/>
      <c r="O824" s="1688"/>
      <c r="P824" s="1689"/>
      <c r="Q824" s="1620"/>
      <c r="R824" s="1620"/>
      <c r="S824" s="1620"/>
      <c r="T824" s="1620"/>
      <c r="U824" s="1620"/>
      <c r="V824" s="1620"/>
      <c r="W824" s="1620"/>
      <c r="X824" s="1620"/>
      <c r="Y824" s="1620"/>
      <c r="Z824" s="1620"/>
      <c r="AA824" s="1620"/>
      <c r="AB824" s="1620"/>
      <c r="AC824" s="1620"/>
      <c r="AD824" s="1620"/>
      <c r="AE824" s="1620"/>
      <c r="AF824" s="1620"/>
      <c r="AG824" s="1615"/>
      <c r="AH824" s="1615"/>
      <c r="AI824" s="1615"/>
      <c r="AJ824" s="161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2" t="s">
        <v>40</v>
      </c>
      <c r="D825" s="1483"/>
      <c r="E825" s="1483"/>
      <c r="F825" s="1483"/>
      <c r="G825" s="1483"/>
      <c r="H825" s="1483"/>
      <c r="I825" s="48"/>
      <c r="J825" s="48"/>
      <c r="K825" s="48"/>
      <c r="L825" s="49"/>
      <c r="M825" s="1599"/>
      <c r="N825" s="1599"/>
      <c r="O825" s="1599"/>
      <c r="P825" s="1599"/>
      <c r="Q825" s="1599">
        <v>10</v>
      </c>
      <c r="R825" s="1599"/>
      <c r="S825" s="1599"/>
      <c r="T825" s="1599"/>
      <c r="U825" s="1599">
        <v>13</v>
      </c>
      <c r="V825" s="1599"/>
      <c r="W825" s="1599"/>
      <c r="X825" s="1599"/>
      <c r="Y825" s="1599">
        <v>16</v>
      </c>
      <c r="Z825" s="1599"/>
      <c r="AA825" s="1599"/>
      <c r="AB825" s="1599"/>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4" t="s">
        <v>41</v>
      </c>
      <c r="D826" s="1441"/>
      <c r="E826" s="1441"/>
      <c r="F826" s="1441"/>
      <c r="G826" s="1441"/>
      <c r="H826" s="1441"/>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4" t="s">
        <v>42</v>
      </c>
      <c r="D827" s="1441"/>
      <c r="E827" s="1441"/>
      <c r="F827" s="1441"/>
      <c r="G827" s="1441"/>
      <c r="H827" s="1441"/>
      <c r="I827" s="60"/>
      <c r="J827" s="60"/>
      <c r="K827" s="60"/>
      <c r="L827" s="61"/>
      <c r="M827" s="1599"/>
      <c r="N827" s="1599"/>
      <c r="O827" s="1599"/>
      <c r="P827" s="1599"/>
      <c r="Q827" s="1599">
        <v>4</v>
      </c>
      <c r="R827" s="1599"/>
      <c r="S827" s="1599"/>
      <c r="T827" s="1599"/>
      <c r="U827" s="1599">
        <v>6</v>
      </c>
      <c r="V827" s="1599"/>
      <c r="W827" s="1599"/>
      <c r="X827" s="1599"/>
      <c r="Y827" s="1599">
        <v>8</v>
      </c>
      <c r="Z827" s="1599"/>
      <c r="AA827" s="1599"/>
      <c r="AB827" s="1599"/>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4" t="s">
        <v>763</v>
      </c>
      <c r="D828" s="1441"/>
      <c r="E828" s="1441"/>
      <c r="F828" s="1441"/>
      <c r="G828" s="1441"/>
      <c r="H828" s="1441"/>
      <c r="I828" s="60"/>
      <c r="J828" s="60"/>
      <c r="K828" s="60"/>
      <c r="L828" s="61"/>
      <c r="M828" s="1599"/>
      <c r="N828" s="1599"/>
      <c r="O828" s="1599"/>
      <c r="P828" s="1599"/>
      <c r="Q828" s="1599">
        <v>17</v>
      </c>
      <c r="R828" s="1599"/>
      <c r="S828" s="1599"/>
      <c r="T828" s="1599"/>
      <c r="U828" s="1599">
        <v>23</v>
      </c>
      <c r="V828" s="1599"/>
      <c r="W828" s="1599"/>
      <c r="X828" s="1599"/>
      <c r="Y828" s="1599">
        <v>30</v>
      </c>
      <c r="Z828" s="1599"/>
      <c r="AA828" s="1599"/>
      <c r="AB828" s="1599"/>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4" t="s">
        <v>460</v>
      </c>
      <c r="D829" s="1441"/>
      <c r="E829" s="1441"/>
      <c r="F829" s="1441"/>
      <c r="G829" s="1441"/>
      <c r="H829" s="1441"/>
      <c r="I829" s="60"/>
      <c r="J829" s="60"/>
      <c r="K829" s="60"/>
      <c r="L829" s="61"/>
      <c r="M829" s="1599"/>
      <c r="N829" s="1599"/>
      <c r="O829" s="1599"/>
      <c r="P829" s="1599"/>
      <c r="Q829" s="1599">
        <v>25</v>
      </c>
      <c r="R829" s="1599"/>
      <c r="S829" s="1599"/>
      <c r="T829" s="1599"/>
      <c r="U829" s="1599">
        <v>25</v>
      </c>
      <c r="V829" s="1599"/>
      <c r="W829" s="1599"/>
      <c r="X829" s="1599"/>
      <c r="Y829" s="1599">
        <v>25</v>
      </c>
      <c r="Z829" s="1599"/>
      <c r="AA829" s="1599"/>
      <c r="AB829" s="1599"/>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1" t="s">
        <v>784</v>
      </c>
      <c r="D830" s="1441"/>
      <c r="E830" s="1441"/>
      <c r="F830" s="1441"/>
      <c r="G830" s="1441"/>
      <c r="H830" s="1441"/>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1" t="s">
        <v>2706</v>
      </c>
      <c r="G831" s="1642"/>
      <c r="H831" s="1642"/>
      <c r="I831" s="1642"/>
      <c r="J831" s="1642"/>
      <c r="K831" s="1642"/>
      <c r="L831" s="1642"/>
      <c r="M831" s="1599"/>
      <c r="N831" s="1599"/>
      <c r="O831" s="1599"/>
      <c r="P831" s="1599"/>
      <c r="Q831" s="1599">
        <v>7</v>
      </c>
      <c r="R831" s="1599"/>
      <c r="S831" s="1599"/>
      <c r="T831" s="1599"/>
      <c r="U831" s="1599">
        <v>9</v>
      </c>
      <c r="V831" s="1599"/>
      <c r="W831" s="1599"/>
      <c r="X831" s="1599"/>
      <c r="Y831" s="1599">
        <v>12</v>
      </c>
      <c r="Z831" s="1599"/>
      <c r="AA831" s="1599"/>
      <c r="AB831" s="1599"/>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48">
        <f>SUM(M825:P831)</f>
        <v>0</v>
      </c>
      <c r="N832" s="1648"/>
      <c r="O832" s="1648"/>
      <c r="P832" s="1648"/>
      <c r="Q832" s="1648">
        <f>SUM(Q825:T831)</f>
        <v>63</v>
      </c>
      <c r="R832" s="1648"/>
      <c r="S832" s="1648"/>
      <c r="T832" s="1648"/>
      <c r="U832" s="1648">
        <f>SUM(U825:X831)</f>
        <v>76</v>
      </c>
      <c r="V832" s="1648"/>
      <c r="W832" s="1648"/>
      <c r="X832" s="1648"/>
      <c r="Y832" s="1648">
        <f>SUM(Y825:AB831)</f>
        <v>91</v>
      </c>
      <c r="Z832" s="1648"/>
      <c r="AA832" s="1648"/>
      <c r="AB832" s="1648"/>
      <c r="AC832" s="1648">
        <f>SUM(AC825:AF831)</f>
        <v>0</v>
      </c>
      <c r="AD832" s="1648"/>
      <c r="AE832" s="1648"/>
      <c r="AF832" s="1648"/>
      <c r="AG832" s="1648">
        <f>SUM(AG825:AJ831)</f>
        <v>0</v>
      </c>
      <c r="AH832" s="1648"/>
      <c r="AI832" s="1648"/>
      <c r="AJ832" s="1648"/>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4" t="s">
        <v>2705</v>
      </c>
      <c r="D837" s="1655"/>
      <c r="E837" s="1655"/>
      <c r="F837" s="1655"/>
      <c r="G837" s="1655"/>
      <c r="H837" s="1655"/>
      <c r="I837" s="1655"/>
      <c r="J837" s="1655"/>
      <c r="K837" s="1655"/>
      <c r="L837" s="1655"/>
      <c r="M837" s="1655"/>
      <c r="N837" s="1655"/>
      <c r="O837" s="1655"/>
      <c r="P837" s="1655"/>
      <c r="Q837" s="1655"/>
      <c r="R837" s="1655"/>
      <c r="S837" s="1655"/>
      <c r="T837" s="1655"/>
      <c r="U837" s="1655"/>
      <c r="V837" s="1655"/>
      <c r="W837" s="1655"/>
      <c r="X837" s="1655"/>
      <c r="Y837" s="1655"/>
      <c r="Z837" s="1655"/>
      <c r="AA837" s="1655"/>
      <c r="AB837" s="1655"/>
      <c r="AC837" s="1655"/>
      <c r="AD837" s="1655"/>
      <c r="AE837" s="1655"/>
      <c r="AF837" s="1655"/>
      <c r="AG837" s="1655"/>
      <c r="AH837" s="1655"/>
      <c r="AI837" s="1655"/>
      <c r="AJ837" s="1656"/>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7">
        <v>10000</v>
      </c>
      <c r="X842" s="1637"/>
      <c r="Y842" s="1637"/>
      <c r="Z842" s="1637"/>
      <c r="AA842" s="1637"/>
      <c r="AB842" s="1637"/>
      <c r="AC842" s="1637"/>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7"/>
      <c r="X843" s="1637"/>
      <c r="Y843" s="1637"/>
      <c r="Z843" s="1637"/>
      <c r="AA843" s="1637"/>
      <c r="AB843" s="1637"/>
      <c r="AC843" s="1637"/>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7"/>
      <c r="X844" s="1637"/>
      <c r="Y844" s="1637"/>
      <c r="Z844" s="1637"/>
      <c r="AA844" s="1637"/>
      <c r="AB844" s="1637"/>
      <c r="AC844" s="1637"/>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7"/>
      <c r="X845" s="1637"/>
      <c r="Y845" s="1637"/>
      <c r="Z845" s="1637"/>
      <c r="AA845" s="1637"/>
      <c r="AB845" s="1637"/>
      <c r="AC845" s="1637"/>
      <c r="AZ845" s="30"/>
      <c r="BA845" s="30"/>
      <c r="BB845" s="14"/>
      <c r="BC845" s="14"/>
      <c r="BD845" s="14"/>
      <c r="BE845" s="14"/>
      <c r="BF845" s="14"/>
      <c r="BG845" s="14"/>
      <c r="BH845" s="14"/>
      <c r="BI845" s="14"/>
      <c r="BJ845" s="14"/>
      <c r="BK845" s="14"/>
      <c r="BL845" s="14"/>
    </row>
    <row r="846" spans="1:64" ht="12.95" customHeight="1">
      <c r="J846" s="45" t="s">
        <v>170</v>
      </c>
      <c r="K846" s="5"/>
      <c r="L846" s="5"/>
      <c r="M846" s="1641" t="s">
        <v>2707</v>
      </c>
      <c r="N846" s="1642"/>
      <c r="O846" s="1642"/>
      <c r="P846" s="1642"/>
      <c r="Q846" s="1642"/>
      <c r="R846" s="1642"/>
      <c r="S846" s="1642"/>
      <c r="T846" s="1642"/>
      <c r="U846" s="1642"/>
      <c r="V846" s="1643"/>
      <c r="W846" s="1637">
        <v>50000</v>
      </c>
      <c r="X846" s="1637"/>
      <c r="Y846" s="1637"/>
      <c r="Z846" s="1637"/>
      <c r="AA846" s="1637"/>
      <c r="AB846" s="1637"/>
      <c r="AC846" s="1637"/>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60000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3"/>
      <c r="BH848" s="1633"/>
      <c r="BI848" s="1633"/>
      <c r="BJ848" s="1633"/>
      <c r="BK848" s="1633"/>
      <c r="BL848" s="1633"/>
    </row>
    <row r="849" spans="3:55" ht="12.95" customHeight="1">
      <c r="C849" s="2" t="s">
        <v>344</v>
      </c>
      <c r="J849" s="1408" t="s">
        <v>345</v>
      </c>
      <c r="K849" s="1409"/>
      <c r="L849" s="1409"/>
      <c r="M849" s="1409"/>
      <c r="N849" s="1409"/>
      <c r="O849" s="1409"/>
      <c r="P849" s="1409"/>
      <c r="Q849" s="1409"/>
      <c r="R849" s="1409"/>
      <c r="S849" s="1409"/>
      <c r="T849" s="1409"/>
      <c r="U849" s="1409"/>
      <c r="V849" s="1411"/>
      <c r="W849" s="1475">
        <v>106266</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v>840</v>
      </c>
      <c r="X851" s="1652"/>
      <c r="Y851" s="1652"/>
      <c r="Z851" s="1652"/>
      <c r="AA851" s="1652"/>
      <c r="AB851" s="1652"/>
      <c r="AC851" s="1652"/>
      <c r="AZ851" s="1619"/>
      <c r="BA851" s="1619"/>
      <c r="BB851" s="14"/>
      <c r="BC851" s="14"/>
    </row>
    <row r="852" spans="3:55" ht="12.95" customHeight="1">
      <c r="J852" s="45" t="s">
        <v>351</v>
      </c>
      <c r="K852" s="5"/>
      <c r="L852" s="5"/>
      <c r="M852" s="5"/>
      <c r="N852" s="5"/>
      <c r="O852" s="5"/>
      <c r="P852" s="5"/>
      <c r="Q852" s="5"/>
      <c r="R852" s="5"/>
      <c r="S852" s="5"/>
      <c r="T852" s="5"/>
      <c r="U852" s="5"/>
      <c r="V852" s="46"/>
      <c r="W852" s="1652">
        <v>3360</v>
      </c>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29400</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117600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653">
        <f>SUM(W851:W854)</f>
        <v>151200</v>
      </c>
      <c r="X855" s="1653"/>
      <c r="Y855" s="1653"/>
      <c r="Z855" s="1653"/>
      <c r="AA855" s="1653"/>
      <c r="AB855" s="1653"/>
      <c r="AC855" s="1653"/>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49">
        <v>52000</v>
      </c>
      <c r="X857" s="1650"/>
      <c r="Y857" s="1650"/>
      <c r="Z857" s="1650"/>
      <c r="AA857" s="1650"/>
      <c r="AB857" s="1650"/>
      <c r="AC857" s="1651"/>
      <c r="AD857" s="528"/>
      <c r="AZ857" s="34"/>
      <c r="BA857" s="34"/>
      <c r="BB857" s="34"/>
      <c r="BC857" s="34"/>
    </row>
    <row r="858" spans="3:55" ht="12.95" customHeight="1">
      <c r="C858" s="2" t="s">
        <v>347</v>
      </c>
      <c r="J858" s="121" t="s">
        <v>1657</v>
      </c>
      <c r="K858" s="5"/>
      <c r="L858" s="5"/>
      <c r="M858" s="5"/>
      <c r="N858" s="5"/>
      <c r="O858" s="5"/>
      <c r="P858" s="5"/>
      <c r="Q858" s="5"/>
      <c r="R858" s="5"/>
      <c r="S858" s="5"/>
      <c r="T858" s="1635">
        <v>1</v>
      </c>
      <c r="U858" s="1598"/>
      <c r="V858" s="1636"/>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49">
        <v>83200</v>
      </c>
      <c r="X859" s="1650"/>
      <c r="Y859" s="1650"/>
      <c r="Z859" s="1650"/>
      <c r="AA859" s="1650"/>
      <c r="AB859" s="1650"/>
      <c r="AC859" s="1651"/>
      <c r="AD859" s="533"/>
      <c r="AZ859" s="34"/>
      <c r="BA859" s="34"/>
      <c r="BB859" s="34"/>
      <c r="BC859" s="34"/>
    </row>
    <row r="860" spans="3:55" ht="12.95" customHeight="1">
      <c r="C860" s="2"/>
      <c r="J860" s="121" t="s">
        <v>1658</v>
      </c>
      <c r="K860" s="5"/>
      <c r="L860" s="5"/>
      <c r="M860" s="5"/>
      <c r="N860" s="5"/>
      <c r="O860" s="5"/>
      <c r="P860" s="5"/>
      <c r="Q860" s="5"/>
      <c r="R860" s="5"/>
      <c r="S860" s="5"/>
      <c r="T860" s="1635">
        <v>2</v>
      </c>
      <c r="U860" s="1598"/>
      <c r="V860" s="1636"/>
      <c r="W860" s="874"/>
      <c r="X860" s="875"/>
      <c r="Y860" s="875"/>
      <c r="Z860" s="875"/>
      <c r="AA860" s="875"/>
      <c r="AB860" s="875"/>
      <c r="AC860" s="876"/>
      <c r="AD860" s="533"/>
      <c r="AZ860" s="34"/>
      <c r="BA860" s="34"/>
      <c r="BB860" s="34"/>
      <c r="BC860" s="34"/>
    </row>
    <row r="861" spans="3:55" ht="12.95" customHeight="1">
      <c r="J861" s="45" t="s">
        <v>170</v>
      </c>
      <c r="K861" s="5"/>
      <c r="L861" s="5"/>
      <c r="M861" s="1641" t="s">
        <v>2708</v>
      </c>
      <c r="N861" s="1642"/>
      <c r="O861" s="1642"/>
      <c r="P861" s="1642"/>
      <c r="Q861" s="1642"/>
      <c r="R861" s="1642"/>
      <c r="S861" s="1642"/>
      <c r="T861" s="1642"/>
      <c r="U861" s="1642"/>
      <c r="V861" s="1643"/>
      <c r="W861" s="1649">
        <v>69683</v>
      </c>
      <c r="X861" s="1650"/>
      <c r="Y861" s="1650"/>
      <c r="Z861" s="1650"/>
      <c r="AA861" s="1650"/>
      <c r="AB861" s="1650"/>
      <c r="AC861" s="165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8">
        <f>SUM(W857:W861)</f>
        <v>204883</v>
      </c>
      <c r="X862" s="1639"/>
      <c r="Y862" s="1639"/>
      <c r="Z862" s="1639"/>
      <c r="AA862" s="1639"/>
      <c r="AB862" s="1639"/>
      <c r="AC862" s="1640"/>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49">
        <v>25469</v>
      </c>
      <c r="X863" s="1650"/>
      <c r="Y863" s="1650"/>
      <c r="Z863" s="1650"/>
      <c r="AA863" s="1650"/>
      <c r="AB863" s="1650"/>
      <c r="AC863" s="1651"/>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7"/>
      <c r="X865" s="1637"/>
      <c r="Y865" s="1637"/>
      <c r="Z865" s="1637"/>
      <c r="AA865" s="1637"/>
      <c r="AB865" s="1637"/>
      <c r="AC865" s="1637"/>
      <c r="AU865" s="14"/>
      <c r="AZ865" s="34"/>
      <c r="BA865" s="34"/>
      <c r="BB865" s="34"/>
      <c r="BC865" s="34"/>
    </row>
    <row r="866" spans="3:55" ht="12.95" customHeight="1">
      <c r="J866" s="45" t="s">
        <v>523</v>
      </c>
      <c r="K866" s="5"/>
      <c r="L866" s="5"/>
      <c r="M866" s="5"/>
      <c r="N866" s="5"/>
      <c r="O866" s="5"/>
      <c r="P866" s="5"/>
      <c r="Q866" s="5"/>
      <c r="R866" s="5"/>
      <c r="S866" s="5"/>
      <c r="T866" s="5"/>
      <c r="U866" s="5"/>
      <c r="V866" s="46"/>
      <c r="W866" s="1637"/>
      <c r="X866" s="1637"/>
      <c r="Y866" s="1637"/>
      <c r="Z866" s="1637"/>
      <c r="AA866" s="1637"/>
      <c r="AB866" s="1637"/>
      <c r="AC866" s="1637"/>
      <c r="AU866" s="4"/>
      <c r="AZ866" s="34"/>
      <c r="BA866" s="34"/>
      <c r="BB866" s="34"/>
      <c r="BC866" s="34"/>
    </row>
    <row r="867" spans="3:55" ht="12.95" customHeight="1">
      <c r="J867" s="45" t="s">
        <v>522</v>
      </c>
      <c r="K867" s="5"/>
      <c r="L867" s="5"/>
      <c r="M867" s="5"/>
      <c r="N867" s="5"/>
      <c r="O867" s="5"/>
      <c r="P867" s="5"/>
      <c r="Q867" s="5"/>
      <c r="R867" s="5"/>
      <c r="S867" s="5"/>
      <c r="T867" s="5"/>
      <c r="U867" s="5"/>
      <c r="V867" s="46"/>
      <c r="W867" s="1637">
        <v>42000</v>
      </c>
      <c r="X867" s="1637"/>
      <c r="Y867" s="1637"/>
      <c r="Z867" s="1637"/>
      <c r="AA867" s="1637"/>
      <c r="AB867" s="1637"/>
      <c r="AC867" s="1637"/>
      <c r="AU867" s="4"/>
      <c r="AZ867" s="34"/>
      <c r="BA867" s="34"/>
      <c r="BB867" s="34"/>
      <c r="BC867" s="34"/>
    </row>
    <row r="868" spans="3:55" ht="12.95" customHeight="1">
      <c r="J868" s="45" t="s">
        <v>521</v>
      </c>
      <c r="K868" s="5"/>
      <c r="L868" s="5"/>
      <c r="M868" s="5"/>
      <c r="N868" s="5"/>
      <c r="O868" s="5"/>
      <c r="P868" s="5"/>
      <c r="Q868" s="5"/>
      <c r="R868" s="5"/>
      <c r="S868" s="5"/>
      <c r="T868" s="5"/>
      <c r="U868" s="5"/>
      <c r="V868" s="46"/>
      <c r="W868" s="1637"/>
      <c r="X868" s="1637"/>
      <c r="Y868" s="1637"/>
      <c r="Z868" s="1637"/>
      <c r="AA868" s="1637"/>
      <c r="AB868" s="1637"/>
      <c r="AC868" s="1637"/>
      <c r="AU868" s="4"/>
      <c r="AZ868" s="34"/>
      <c r="BA868" s="34"/>
      <c r="BB868" s="34"/>
      <c r="BC868" s="34"/>
    </row>
    <row r="869" spans="3:55" ht="12.95" customHeight="1">
      <c r="J869" s="45" t="s">
        <v>520</v>
      </c>
      <c r="K869" s="5"/>
      <c r="L869" s="5"/>
      <c r="M869" s="5"/>
      <c r="N869" s="5"/>
      <c r="O869" s="5"/>
      <c r="P869" s="5"/>
      <c r="Q869" s="5"/>
      <c r="R869" s="5"/>
      <c r="S869" s="5"/>
      <c r="T869" s="5"/>
      <c r="U869" s="5"/>
      <c r="V869" s="46"/>
      <c r="W869" s="1637"/>
      <c r="X869" s="1637"/>
      <c r="Y869" s="1637"/>
      <c r="Z869" s="1637"/>
      <c r="AA869" s="1637"/>
      <c r="AB869" s="1637"/>
      <c r="AC869" s="1637"/>
      <c r="AU869" s="4"/>
      <c r="AZ869" s="34"/>
      <c r="BA869" s="34"/>
      <c r="BB869" s="34"/>
      <c r="BC869" s="34"/>
    </row>
    <row r="870" spans="3:55" ht="12.95" customHeight="1">
      <c r="J870" s="45" t="s">
        <v>519</v>
      </c>
      <c r="K870" s="5"/>
      <c r="L870" s="5"/>
      <c r="M870" s="5"/>
      <c r="N870" s="5"/>
      <c r="O870" s="5"/>
      <c r="P870" s="5"/>
      <c r="Q870" s="5"/>
      <c r="R870" s="5"/>
      <c r="S870" s="5"/>
      <c r="T870" s="5"/>
      <c r="U870" s="5"/>
      <c r="V870" s="46"/>
      <c r="W870" s="1637"/>
      <c r="X870" s="1637"/>
      <c r="Y870" s="1637"/>
      <c r="Z870" s="1637"/>
      <c r="AA870" s="1637"/>
      <c r="AB870" s="1637"/>
      <c r="AC870" s="1637"/>
      <c r="AU870" s="4"/>
      <c r="AZ870" s="34"/>
      <c r="BA870" s="34"/>
      <c r="BB870" s="34"/>
      <c r="BC870" s="34"/>
    </row>
    <row r="871" spans="3:55" ht="12.95" customHeight="1">
      <c r="J871" s="45" t="s">
        <v>170</v>
      </c>
      <c r="K871" s="5"/>
      <c r="L871" s="5"/>
      <c r="M871" s="1641" t="s">
        <v>334</v>
      </c>
      <c r="N871" s="1642"/>
      <c r="O871" s="1642"/>
      <c r="P871" s="1642"/>
      <c r="Q871" s="1642"/>
      <c r="R871" s="1642"/>
      <c r="S871" s="1642"/>
      <c r="T871" s="1642"/>
      <c r="U871" s="1642"/>
      <c r="V871" s="1643"/>
      <c r="W871" s="1637"/>
      <c r="X871" s="1637"/>
      <c r="Y871" s="1637"/>
      <c r="Z871" s="1637"/>
      <c r="AA871" s="1637"/>
      <c r="AB871" s="1637"/>
      <c r="AC871" s="1637"/>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0">
        <f>SUM(W865:W871)</f>
        <v>42000</v>
      </c>
      <c r="X872" s="1600"/>
      <c r="Y872" s="1600"/>
      <c r="Z872" s="1600"/>
      <c r="AA872" s="1600"/>
      <c r="AB872" s="1600"/>
      <c r="AC872" s="1600"/>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1245</v>
      </c>
      <c r="J874" s="45" t="s">
        <v>170</v>
      </c>
      <c r="K874" s="5"/>
      <c r="L874" s="5"/>
      <c r="M874" s="1641" t="s">
        <v>2709</v>
      </c>
      <c r="N874" s="1642"/>
      <c r="O874" s="1642"/>
      <c r="P874" s="1642"/>
      <c r="Q874" s="1642"/>
      <c r="R874" s="1642"/>
      <c r="S874" s="1642"/>
      <c r="T874" s="1642"/>
      <c r="U874" s="1642"/>
      <c r="V874" s="1643"/>
      <c r="W874" s="1475">
        <v>18000</v>
      </c>
      <c r="X874" s="1338"/>
      <c r="Y874" s="1338"/>
      <c r="Z874" s="1338"/>
      <c r="AA874" s="1338"/>
      <c r="AB874" s="1338"/>
      <c r="AC874" s="1339"/>
      <c r="AD874" s="533"/>
      <c r="AV874" s="14"/>
      <c r="AW874" s="14"/>
      <c r="AX874" s="14"/>
      <c r="AY874" s="14"/>
      <c r="AZ874" s="34"/>
      <c r="BA874" s="34"/>
      <c r="BB874" s="34"/>
      <c r="BC874" s="34"/>
    </row>
    <row r="875" spans="3:55" ht="12.95" customHeight="1">
      <c r="C875" s="2" t="s">
        <v>1246</v>
      </c>
      <c r="J875" s="45" t="s">
        <v>170</v>
      </c>
      <c r="K875" s="5"/>
      <c r="L875" s="5"/>
      <c r="M875" s="1641" t="s">
        <v>334</v>
      </c>
      <c r="N875" s="1642"/>
      <c r="O875" s="1642"/>
      <c r="P875" s="1642"/>
      <c r="Q875" s="1642"/>
      <c r="R875" s="1642"/>
      <c r="S875" s="1642"/>
      <c r="T875" s="1642"/>
      <c r="U875" s="1642"/>
      <c r="V875" s="1643"/>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1" t="s">
        <v>334</v>
      </c>
      <c r="N876" s="1642"/>
      <c r="O876" s="1642"/>
      <c r="P876" s="1642"/>
      <c r="Q876" s="1642"/>
      <c r="R876" s="1642"/>
      <c r="S876" s="1642"/>
      <c r="T876" s="1642"/>
      <c r="U876" s="1642"/>
      <c r="V876" s="1643"/>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1" t="s">
        <v>334</v>
      </c>
      <c r="N877" s="1642"/>
      <c r="O877" s="1642"/>
      <c r="P877" s="1642"/>
      <c r="Q877" s="1642"/>
      <c r="R877" s="1642"/>
      <c r="S877" s="1642"/>
      <c r="T877" s="1642"/>
      <c r="U877" s="1642"/>
      <c r="V877" s="1643"/>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1" t="s">
        <v>334</v>
      </c>
      <c r="N878" s="1642"/>
      <c r="O878" s="1642"/>
      <c r="P878" s="1642"/>
      <c r="Q878" s="1642"/>
      <c r="R878" s="1642"/>
      <c r="S878" s="1642"/>
      <c r="T878" s="1642"/>
      <c r="U878" s="1642"/>
      <c r="V878" s="1643"/>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18000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607818</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4">
        <f>O797+O777+G753</f>
        <v>200</v>
      </c>
      <c r="AD884" s="1644"/>
      <c r="AE884" s="1644"/>
      <c r="AF884" s="1644"/>
      <c r="AG884" s="1644"/>
      <c r="AH884" s="1645"/>
      <c r="AL884" s="4"/>
      <c r="AM884" s="4"/>
      <c r="AN884" s="4"/>
      <c r="AO884" s="4"/>
      <c r="AP884" s="4"/>
      <c r="AQ884" s="4"/>
      <c r="AR884" s="4"/>
      <c r="AS884" s="4"/>
      <c r="AT884" s="4"/>
      <c r="AZ884" s="34"/>
      <c r="BA884" s="34"/>
      <c r="BB884" s="34"/>
      <c r="BC884" s="34"/>
    </row>
    <row r="885" spans="3:55" ht="12.9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600">
        <f>IF(ISERROR((ROUNDDOWN(AC883/AC884,0))),0,(ROUNDDOWN(AC883/AC884,0)))</f>
        <v>3039</v>
      </c>
      <c r="AD885" s="1600"/>
      <c r="AE885" s="1600"/>
      <c r="AF885" s="1600"/>
      <c r="AG885" s="1600"/>
      <c r="AH885" s="1600"/>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6"/>
      <c r="AD886" s="1647"/>
      <c r="AE886" s="1647"/>
      <c r="AF886" s="1647"/>
      <c r="AG886" s="1647"/>
      <c r="AH886" s="164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37"/>
      <c r="AE887" s="1637"/>
      <c r="AF887" s="1637"/>
      <c r="AG887" s="1637"/>
      <c r="AH887" s="1637"/>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18988</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42000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1680</v>
      </c>
      <c r="AC890" s="1490"/>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c r="AD891" s="1338"/>
      <c r="AE891" s="1338"/>
      <c r="AF891" s="1338"/>
      <c r="AG891" s="1338"/>
      <c r="AH891" s="1339"/>
      <c r="AZ891" s="34"/>
      <c r="BA891" s="34"/>
      <c r="BB891" s="34"/>
      <c r="BC891" s="34"/>
    </row>
    <row r="892" spans="3:55" ht="12.95" hidden="1" customHeight="1">
      <c r="C892" s="1408" t="s">
        <v>2236</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1659</v>
      </c>
      <c r="AC893" s="1338">
        <v>56604</v>
      </c>
      <c r="AD893" s="1338"/>
      <c r="AE893" s="1338"/>
      <c r="AF893" s="1338"/>
      <c r="AG893" s="1338"/>
      <c r="AH893" s="1339"/>
      <c r="AZ893" s="34"/>
      <c r="BA893" s="34"/>
      <c r="BB893" s="34"/>
      <c r="BC893" s="34"/>
    </row>
    <row r="894" spans="3:55" ht="12.95" customHeight="1">
      <c r="C894" s="1665" t="s">
        <v>957</v>
      </c>
      <c r="D894" s="1666"/>
      <c r="E894" s="1666"/>
      <c r="F894" s="1666"/>
      <c r="G894" s="1666"/>
      <c r="H894" s="1666"/>
      <c r="I894" s="1666"/>
      <c r="J894" s="1666"/>
      <c r="K894" s="1666"/>
      <c r="L894" s="1666"/>
      <c r="M894" s="1666"/>
      <c r="N894" s="1666"/>
      <c r="O894" s="1666"/>
      <c r="P894" s="1666"/>
      <c r="Q894" s="1666"/>
      <c r="R894" s="1666"/>
      <c r="S894" s="1666"/>
      <c r="T894" s="1666"/>
      <c r="U894" s="1666"/>
      <c r="V894" s="1666"/>
      <c r="W894" s="1666"/>
      <c r="X894" s="1666"/>
      <c r="Y894" s="1666"/>
      <c r="Z894" s="1666"/>
      <c r="AA894" s="1666"/>
      <c r="AB894" s="1667"/>
      <c r="AC894" s="1637"/>
      <c r="AD894" s="1637"/>
      <c r="AE894" s="1637"/>
      <c r="AF894" s="1637"/>
      <c r="AG894" s="1637"/>
      <c r="AH894" s="1637"/>
      <c r="AZ894" s="34"/>
      <c r="BA894" s="34"/>
      <c r="BB894" s="34"/>
      <c r="BC894" s="34"/>
    </row>
    <row r="895" spans="3:55" ht="12.95" customHeight="1">
      <c r="C895" s="1665" t="s">
        <v>957</v>
      </c>
      <c r="D895" s="1666"/>
      <c r="E895" s="1666"/>
      <c r="F895" s="1666"/>
      <c r="G895" s="1666"/>
      <c r="H895" s="1666"/>
      <c r="I895" s="1666"/>
      <c r="J895" s="1666"/>
      <c r="K895" s="1666"/>
      <c r="L895" s="1666"/>
      <c r="M895" s="1666"/>
      <c r="N895" s="1666"/>
      <c r="O895" s="1666"/>
      <c r="P895" s="1666"/>
      <c r="Q895" s="1666"/>
      <c r="R895" s="1666"/>
      <c r="S895" s="1666"/>
      <c r="T895" s="1666"/>
      <c r="U895" s="1666"/>
      <c r="V895" s="1666"/>
      <c r="W895" s="1666"/>
      <c r="X895" s="1666"/>
      <c r="Y895" s="1666"/>
      <c r="Z895" s="1666"/>
      <c r="AA895" s="1666"/>
      <c r="AB895" s="1667"/>
      <c r="AC895" s="1637"/>
      <c r="AD895" s="1637"/>
      <c r="AE895" s="1637"/>
      <c r="AF895" s="1637"/>
      <c r="AG895" s="1637"/>
      <c r="AH895" s="1637"/>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4"/>
      <c r="BE899" s="1634"/>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4"/>
      <c r="BE900" s="1634"/>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3"/>
      <c r="BE901" s="1633"/>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3"/>
      <c r="BE902" s="1633"/>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3"/>
      <c r="BE903" s="1633"/>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4"/>
      <c r="BE904" s="1633"/>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3"/>
      <c r="BE905" s="1663"/>
      <c r="BF905" s="1663"/>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3"/>
      <c r="BE907" s="1633"/>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4"/>
      <c r="BE908" s="1633"/>
      <c r="BF908" s="14"/>
    </row>
    <row r="909" spans="1:58" ht="12.95" customHeight="1">
      <c r="AZ909" s="34"/>
      <c r="BB909" s="30"/>
      <c r="BC909" s="816"/>
    </row>
    <row r="910" spans="1:58" ht="12.95" customHeight="1">
      <c r="A910" s="1533" t="s">
        <v>96</v>
      </c>
      <c r="B910" s="1533"/>
      <c r="C910" s="1533"/>
      <c r="D910" s="1533"/>
      <c r="E910" s="1533"/>
      <c r="F910" s="1533"/>
      <c r="G910" s="1533"/>
      <c r="H910" s="1533"/>
      <c r="I910" s="1533"/>
      <c r="J910" s="1533"/>
      <c r="K910" s="1533"/>
      <c r="L910" s="1533"/>
      <c r="M910" s="1533"/>
      <c r="N910" s="1533"/>
      <c r="O910" s="1533"/>
      <c r="P910" s="1533"/>
      <c r="Q910" s="1533"/>
      <c r="R910" s="1533"/>
      <c r="S910" s="1533"/>
      <c r="T910" s="1533"/>
      <c r="U910" s="1533"/>
      <c r="V910" s="1533"/>
      <c r="W910" s="1533"/>
      <c r="X910" s="1533"/>
      <c r="Y910" s="1533"/>
      <c r="Z910" s="1533"/>
      <c r="AA910" s="1533"/>
      <c r="AB910" s="1533"/>
      <c r="AC910" s="1533"/>
      <c r="AD910" s="1533"/>
      <c r="AE910" s="1533"/>
      <c r="AF910" s="1533"/>
      <c r="AG910" s="1533"/>
      <c r="AH910" s="1533"/>
      <c r="AI910" s="1533"/>
      <c r="AJ910" s="1533"/>
      <c r="AK910" s="1533"/>
      <c r="AL910" s="1533"/>
      <c r="AM910" s="1533"/>
      <c r="AN910" s="1533"/>
      <c r="AO910" s="1533"/>
      <c r="AP910" s="1533"/>
      <c r="AQ910" s="1533"/>
      <c r="AR910" s="1533"/>
      <c r="AS910" s="1533"/>
      <c r="AT910" s="1533"/>
      <c r="AZ910" s="34"/>
      <c r="BA910" s="34"/>
      <c r="BB910" s="30"/>
      <c r="BC910" s="30"/>
      <c r="BD910" s="1634"/>
      <c r="BE910" s="1633"/>
      <c r="BF910" s="911"/>
    </row>
    <row r="911" spans="1:58" ht="12.95" customHeight="1">
      <c r="A911" s="1533"/>
      <c r="B911" s="1533"/>
      <c r="C911" s="1533"/>
      <c r="D911" s="1533"/>
      <c r="E911" s="1533"/>
      <c r="F911" s="1533"/>
      <c r="G911" s="1533"/>
      <c r="H911" s="1533"/>
      <c r="I911" s="1533"/>
      <c r="J911" s="1533"/>
      <c r="K911" s="1533"/>
      <c r="L911" s="1533"/>
      <c r="M911" s="1533"/>
      <c r="N911" s="1533"/>
      <c r="O911" s="1533"/>
      <c r="P911" s="1533"/>
      <c r="Q911" s="1533"/>
      <c r="R911" s="1533"/>
      <c r="S911" s="1533"/>
      <c r="T911" s="1533"/>
      <c r="U911" s="1533"/>
      <c r="V911" s="1533"/>
      <c r="W911" s="1533"/>
      <c r="X911" s="1533"/>
      <c r="Y911" s="1533"/>
      <c r="Z911" s="1533"/>
      <c r="AA911" s="1533"/>
      <c r="AB911" s="1533"/>
      <c r="AC911" s="1533"/>
      <c r="AD911" s="1533"/>
      <c r="AE911" s="1533"/>
      <c r="AF911" s="1533"/>
      <c r="AG911" s="1533"/>
      <c r="AH911" s="1533"/>
      <c r="AI911" s="1533"/>
      <c r="AJ911" s="1533"/>
      <c r="AK911" s="1533"/>
      <c r="AL911" s="1533"/>
      <c r="AM911" s="1533"/>
      <c r="AN911" s="1533"/>
      <c r="AO911" s="1533"/>
      <c r="AP911" s="1533"/>
      <c r="AQ911" s="1533"/>
      <c r="AR911" s="1533"/>
      <c r="AS911" s="1533"/>
      <c r="AT911" s="153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1" t="s">
        <v>793</v>
      </c>
      <c r="G915" s="1712"/>
      <c r="H915" s="1712"/>
      <c r="I915" s="1712"/>
      <c r="J915" s="1712"/>
      <c r="K915" s="1712"/>
      <c r="L915" s="1712"/>
      <c r="M915" s="1712"/>
      <c r="N915" s="1712"/>
      <c r="O915" s="1712"/>
      <c r="P915" s="1712"/>
      <c r="Q915" s="1712"/>
      <c r="R915" s="1712"/>
      <c r="S915" s="1712"/>
      <c r="T915" s="1713"/>
      <c r="U915" s="1754" t="s">
        <v>31</v>
      </c>
      <c r="V915" s="1686"/>
      <c r="W915" s="1686"/>
      <c r="X915" s="1686"/>
      <c r="Y915" s="1686"/>
      <c r="Z915" s="1686"/>
      <c r="AA915" s="43"/>
      <c r="AB915" s="105"/>
      <c r="AC915" s="105"/>
      <c r="AD915" s="105"/>
      <c r="AE915" s="105"/>
      <c r="AF915" s="106"/>
      <c r="AZ915" s="34"/>
      <c r="BA915" s="34"/>
      <c r="BB915" s="34"/>
      <c r="BC915" s="34"/>
    </row>
    <row r="916" spans="1:58" ht="12.95" customHeight="1">
      <c r="B916" s="2"/>
      <c r="F916" s="1755" t="s">
        <v>819</v>
      </c>
      <c r="G916" s="1756"/>
      <c r="H916" s="1756"/>
      <c r="I916" s="1756"/>
      <c r="J916" s="1756"/>
      <c r="K916" s="1756"/>
      <c r="L916" s="1756"/>
      <c r="M916" s="1756"/>
      <c r="N916" s="1756"/>
      <c r="O916" s="1756"/>
      <c r="P916" s="1756"/>
      <c r="Q916" s="1756"/>
      <c r="R916" s="1756"/>
      <c r="S916" s="1756"/>
      <c r="T916" s="1778"/>
      <c r="U916" s="1755"/>
      <c r="V916" s="1756"/>
      <c r="W916" s="1756"/>
      <c r="X916" s="1756"/>
      <c r="Y916" s="1756"/>
      <c r="Z916" s="1756"/>
      <c r="AA916" s="44"/>
      <c r="AB916" s="4"/>
      <c r="AC916" s="4"/>
      <c r="AD916" s="4"/>
      <c r="AE916" s="4"/>
      <c r="AF916" s="107"/>
      <c r="AZ916" s="34"/>
      <c r="BA916" s="34"/>
      <c r="BB916" s="34"/>
      <c r="BC916" s="34"/>
    </row>
    <row r="917" spans="1:58" ht="12.95" customHeight="1">
      <c r="B917" s="2"/>
      <c r="F917" s="1757"/>
      <c r="G917" s="1688"/>
      <c r="H917" s="1688"/>
      <c r="I917" s="1688"/>
      <c r="J917" s="1688"/>
      <c r="K917" s="1688"/>
      <c r="L917" s="1688"/>
      <c r="M917" s="1688"/>
      <c r="N917" s="1688"/>
      <c r="O917" s="1688"/>
      <c r="P917" s="1688"/>
      <c r="Q917" s="1688"/>
      <c r="R917" s="1688"/>
      <c r="S917" s="1688"/>
      <c r="T917" s="1689"/>
      <c r="U917" s="1757"/>
      <c r="V917" s="1688"/>
      <c r="W917" s="1688"/>
      <c r="X917" s="1688"/>
      <c r="Y917" s="1688"/>
      <c r="Z917" s="1688"/>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7" t="s">
        <v>546</v>
      </c>
      <c r="V918" s="1427"/>
      <c r="W918" s="1427"/>
      <c r="X918" s="1427"/>
      <c r="Y918" s="1427"/>
      <c r="Z918" s="1428"/>
      <c r="AA918" s="1631">
        <v>36120000</v>
      </c>
      <c r="AB918" s="1524"/>
      <c r="AC918" s="1524"/>
      <c r="AD918" s="1524"/>
      <c r="AE918" s="1524"/>
      <c r="AF918" s="1632"/>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7" t="s">
        <v>546</v>
      </c>
      <c r="V919" s="1427"/>
      <c r="W919" s="1427"/>
      <c r="X919" s="1427"/>
      <c r="Y919" s="1427"/>
      <c r="Z919" s="1428"/>
      <c r="AA919" s="1631">
        <v>31550000</v>
      </c>
      <c r="AB919" s="1524"/>
      <c r="AC919" s="1524"/>
      <c r="AD919" s="1524"/>
      <c r="AE919" s="1524"/>
      <c r="AF919" s="1632"/>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7" t="s">
        <v>592</v>
      </c>
      <c r="V920" s="1427"/>
      <c r="W920" s="1427"/>
      <c r="X920" s="1427"/>
      <c r="Y920" s="1427"/>
      <c r="Z920" s="1428"/>
      <c r="AA920" s="1631"/>
      <c r="AB920" s="1524"/>
      <c r="AC920" s="1524"/>
      <c r="AD920" s="1524"/>
      <c r="AE920" s="1524"/>
      <c r="AF920" s="1632"/>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7" t="s">
        <v>592</v>
      </c>
      <c r="V921" s="1427"/>
      <c r="W921" s="1427"/>
      <c r="X921" s="1427"/>
      <c r="Y921" s="1427"/>
      <c r="Z921" s="1428"/>
      <c r="AA921" s="1631"/>
      <c r="AB921" s="1524"/>
      <c r="AC921" s="1524"/>
      <c r="AD921" s="1524"/>
      <c r="AE921" s="1524"/>
      <c r="AF921" s="1632"/>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7" t="s">
        <v>592</v>
      </c>
      <c r="V922" s="1427"/>
      <c r="W922" s="1427"/>
      <c r="X922" s="1427"/>
      <c r="Y922" s="1427"/>
      <c r="Z922" s="1428"/>
      <c r="AA922" s="1631"/>
      <c r="AB922" s="1524"/>
      <c r="AC922" s="1524"/>
      <c r="AD922" s="1524"/>
      <c r="AE922" s="1524"/>
      <c r="AF922" s="1632"/>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7" t="s">
        <v>592</v>
      </c>
      <c r="V923" s="1427"/>
      <c r="W923" s="1427"/>
      <c r="X923" s="1427"/>
      <c r="Y923" s="1427"/>
      <c r="Z923" s="1428"/>
      <c r="AA923" s="1631"/>
      <c r="AB923" s="1524"/>
      <c r="AC923" s="1524"/>
      <c r="AD923" s="1524"/>
      <c r="AE923" s="1524"/>
      <c r="AF923" s="1632"/>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7" t="s">
        <v>592</v>
      </c>
      <c r="V924" s="1427"/>
      <c r="W924" s="1427"/>
      <c r="X924" s="1427"/>
      <c r="Y924" s="1427"/>
      <c r="Z924" s="1428"/>
      <c r="AA924" s="1631"/>
      <c r="AB924" s="1524"/>
      <c r="AC924" s="1524"/>
      <c r="AD924" s="1524"/>
      <c r="AE924" s="1524"/>
      <c r="AF924" s="1632"/>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7" t="s">
        <v>592</v>
      </c>
      <c r="V925" s="1427"/>
      <c r="W925" s="1427"/>
      <c r="X925" s="1427"/>
      <c r="Y925" s="1427"/>
      <c r="Z925" s="1428"/>
      <c r="AA925" s="1631"/>
      <c r="AB925" s="1524"/>
      <c r="AC925" s="1524"/>
      <c r="AD925" s="1524"/>
      <c r="AE925" s="1524"/>
      <c r="AF925" s="1632"/>
      <c r="AZ925" s="34"/>
      <c r="BA925" s="34"/>
      <c r="BB925" s="34"/>
      <c r="BC925" s="34"/>
    </row>
    <row r="926" spans="1:58" ht="12.95" customHeight="1">
      <c r="F926" s="1624" t="s">
        <v>2195</v>
      </c>
      <c r="G926" s="1625"/>
      <c r="H926" s="1625"/>
      <c r="I926" s="1625"/>
      <c r="J926" s="1625"/>
      <c r="K926" s="1625"/>
      <c r="L926" s="1625"/>
      <c r="M926" s="1625"/>
      <c r="N926" s="1625"/>
      <c r="O926" s="1625"/>
      <c r="P926" s="1625"/>
      <c r="Q926" s="1625"/>
      <c r="R926" s="1625"/>
      <c r="S926" s="1625"/>
      <c r="T926" s="1626"/>
      <c r="U926" s="1627" t="s">
        <v>592</v>
      </c>
      <c r="V926" s="1427"/>
      <c r="W926" s="1427"/>
      <c r="X926" s="1427"/>
      <c r="Y926" s="1427"/>
      <c r="Z926" s="1428"/>
      <c r="AA926" s="1631"/>
      <c r="AB926" s="1524"/>
      <c r="AC926" s="1524"/>
      <c r="AD926" s="1524"/>
      <c r="AE926" s="1524"/>
      <c r="AF926" s="1632"/>
      <c r="AZ926" s="34"/>
      <c r="BA926" s="34"/>
      <c r="BB926" s="34"/>
      <c r="BC926" s="34"/>
    </row>
    <row r="927" spans="1:58" ht="12.95" customHeight="1">
      <c r="F927" s="1624" t="s">
        <v>680</v>
      </c>
      <c r="G927" s="1625"/>
      <c r="H927" s="1625"/>
      <c r="I927" s="1625"/>
      <c r="J927" s="1625"/>
      <c r="K927" s="1625"/>
      <c r="L927" s="1625"/>
      <c r="M927" s="1625"/>
      <c r="N927" s="1625"/>
      <c r="O927" s="1625"/>
      <c r="P927" s="1625"/>
      <c r="Q927" s="1625"/>
      <c r="R927" s="1625"/>
      <c r="S927" s="1625"/>
      <c r="T927" s="1626"/>
      <c r="U927" s="1627" t="s">
        <v>592</v>
      </c>
      <c r="V927" s="1427"/>
      <c r="W927" s="1427"/>
      <c r="X927" s="1427"/>
      <c r="Y927" s="1427"/>
      <c r="Z927" s="1428"/>
      <c r="AA927" s="1631"/>
      <c r="AB927" s="1524"/>
      <c r="AC927" s="1524"/>
      <c r="AD927" s="1524"/>
      <c r="AE927" s="1524"/>
      <c r="AF927" s="1632"/>
      <c r="AU927" s="2"/>
      <c r="AZ927" s="34"/>
      <c r="BA927" s="34"/>
      <c r="BB927" s="34"/>
      <c r="BC927" s="34"/>
    </row>
    <row r="928" spans="1:58" ht="12.95" customHeight="1">
      <c r="F928" s="1624" t="s">
        <v>2196</v>
      </c>
      <c r="G928" s="1625"/>
      <c r="H928" s="1625"/>
      <c r="I928" s="1625"/>
      <c r="J928" s="1625"/>
      <c r="K928" s="1625"/>
      <c r="L928" s="1625"/>
      <c r="M928" s="1625"/>
      <c r="N928" s="1625"/>
      <c r="O928" s="1625"/>
      <c r="P928" s="1625"/>
      <c r="Q928" s="1625"/>
      <c r="R928" s="1625"/>
      <c r="S928" s="1625"/>
      <c r="T928" s="1626"/>
      <c r="U928" s="1627" t="s">
        <v>592</v>
      </c>
      <c r="V928" s="1427"/>
      <c r="W928" s="1427"/>
      <c r="X928" s="1427"/>
      <c r="Y928" s="1427"/>
      <c r="Z928" s="1428"/>
      <c r="AA928" s="1631"/>
      <c r="AB928" s="1524"/>
      <c r="AC928" s="1524"/>
      <c r="AD928" s="1524"/>
      <c r="AE928" s="1524"/>
      <c r="AF928" s="1632"/>
      <c r="AU928" s="2"/>
      <c r="AZ928" s="34"/>
      <c r="BA928" s="34"/>
      <c r="BB928" s="34"/>
      <c r="BC928" s="34"/>
    </row>
    <row r="929" spans="6:55" ht="12.95" customHeight="1">
      <c r="F929" s="1624" t="s">
        <v>2197</v>
      </c>
      <c r="G929" s="1625"/>
      <c r="H929" s="1625"/>
      <c r="I929" s="1625"/>
      <c r="J929" s="1625"/>
      <c r="K929" s="1625"/>
      <c r="L929" s="1625"/>
      <c r="M929" s="1625"/>
      <c r="N929" s="1625"/>
      <c r="O929" s="1625"/>
      <c r="P929" s="1625"/>
      <c r="Q929" s="1625"/>
      <c r="R929" s="1625"/>
      <c r="S929" s="1625"/>
      <c r="T929" s="1626"/>
      <c r="U929" s="1627" t="s">
        <v>592</v>
      </c>
      <c r="V929" s="1427"/>
      <c r="W929" s="1427"/>
      <c r="X929" s="1427"/>
      <c r="Y929" s="1427"/>
      <c r="Z929" s="1428"/>
      <c r="AA929" s="1631"/>
      <c r="AB929" s="1524"/>
      <c r="AC929" s="1524"/>
      <c r="AD929" s="1524"/>
      <c r="AE929" s="1524"/>
      <c r="AF929" s="1632"/>
      <c r="AU929" s="2"/>
      <c r="AZ929" s="34"/>
      <c r="BA929" s="34"/>
      <c r="BB929" s="34"/>
      <c r="BC929" s="34"/>
    </row>
    <row r="930" spans="6:55" ht="12.95" customHeight="1">
      <c r="F930" s="1624" t="s">
        <v>2198</v>
      </c>
      <c r="G930" s="1625"/>
      <c r="H930" s="1625"/>
      <c r="I930" s="1625"/>
      <c r="J930" s="1625"/>
      <c r="K930" s="1625"/>
      <c r="L930" s="1625"/>
      <c r="M930" s="1625"/>
      <c r="N930" s="1625"/>
      <c r="O930" s="1625"/>
      <c r="P930" s="1625"/>
      <c r="Q930" s="1625"/>
      <c r="R930" s="1625"/>
      <c r="S930" s="1625"/>
      <c r="T930" s="1626"/>
      <c r="U930" s="1627" t="s">
        <v>592</v>
      </c>
      <c r="V930" s="1427"/>
      <c r="W930" s="1427"/>
      <c r="X930" s="1427"/>
      <c r="Y930" s="1427"/>
      <c r="Z930" s="1428"/>
      <c r="AA930" s="1631"/>
      <c r="AB930" s="1524"/>
      <c r="AC930" s="1524"/>
      <c r="AD930" s="1524"/>
      <c r="AE930" s="1524"/>
      <c r="AF930" s="1632"/>
      <c r="AU930" s="2"/>
      <c r="AZ930" s="34"/>
      <c r="BA930" s="34"/>
      <c r="BB930" s="34"/>
      <c r="BC930" s="34"/>
    </row>
    <row r="931" spans="6:55" ht="12.95" customHeight="1">
      <c r="F931" s="1624" t="s">
        <v>2199</v>
      </c>
      <c r="G931" s="1625"/>
      <c r="H931" s="1625"/>
      <c r="I931" s="1625"/>
      <c r="J931" s="1625"/>
      <c r="K931" s="1625"/>
      <c r="L931" s="1625"/>
      <c r="M931" s="1625"/>
      <c r="N931" s="1625"/>
      <c r="O931" s="1625"/>
      <c r="P931" s="1625"/>
      <c r="Q931" s="1625"/>
      <c r="R931" s="1625"/>
      <c r="S931" s="1625"/>
      <c r="T931" s="1626"/>
      <c r="U931" s="1627" t="s">
        <v>592</v>
      </c>
      <c r="V931" s="1427"/>
      <c r="W931" s="1427"/>
      <c r="X931" s="1427"/>
      <c r="Y931" s="1427"/>
      <c r="Z931" s="1428"/>
      <c r="AA931" s="1631"/>
      <c r="AB931" s="1524"/>
      <c r="AC931" s="1524"/>
      <c r="AD931" s="1524"/>
      <c r="AE931" s="1524"/>
      <c r="AF931" s="1632"/>
      <c r="AU931" s="2"/>
      <c r="AZ931" s="34"/>
      <c r="BA931" s="34"/>
      <c r="BB931" s="34"/>
      <c r="BC931" s="34"/>
    </row>
    <row r="932" spans="6:55" ht="12.95" customHeight="1">
      <c r="F932" s="1624" t="s">
        <v>2200</v>
      </c>
      <c r="G932" s="1625"/>
      <c r="H932" s="1625"/>
      <c r="I932" s="1625"/>
      <c r="J932" s="1625"/>
      <c r="K932" s="1625"/>
      <c r="L932" s="1625"/>
      <c r="M932" s="1625"/>
      <c r="N932" s="1625"/>
      <c r="O932" s="1625"/>
      <c r="P932" s="1625"/>
      <c r="Q932" s="1625"/>
      <c r="R932" s="1625"/>
      <c r="S932" s="1625"/>
      <c r="T932" s="1626"/>
      <c r="U932" s="1627" t="s">
        <v>592</v>
      </c>
      <c r="V932" s="1427"/>
      <c r="W932" s="1427"/>
      <c r="X932" s="1427"/>
      <c r="Y932" s="1427"/>
      <c r="Z932" s="1428"/>
      <c r="AA932" s="1631"/>
      <c r="AB932" s="1524"/>
      <c r="AC932" s="1524"/>
      <c r="AD932" s="1524"/>
      <c r="AE932" s="1524"/>
      <c r="AF932" s="1632"/>
      <c r="AZ932" s="30"/>
      <c r="BA932" s="30"/>
    </row>
    <row r="933" spans="6:55" ht="12.95" customHeight="1">
      <c r="F933" s="178" t="s">
        <v>677</v>
      </c>
      <c r="G933" s="5"/>
      <c r="H933" s="5"/>
      <c r="I933" s="5"/>
      <c r="J933" s="5"/>
      <c r="K933" s="5"/>
      <c r="L933" s="5"/>
      <c r="M933" s="5"/>
      <c r="N933" s="5"/>
      <c r="O933" s="5"/>
      <c r="P933" s="5"/>
      <c r="Q933" s="5"/>
      <c r="R933" s="5"/>
      <c r="S933" s="5"/>
      <c r="T933" s="46"/>
      <c r="U933" s="1627" t="s">
        <v>592</v>
      </c>
      <c r="V933" s="1427"/>
      <c r="W933" s="1427"/>
      <c r="X933" s="1427"/>
      <c r="Y933" s="1427"/>
      <c r="Z933" s="1428"/>
      <c r="AA933" s="1631"/>
      <c r="AB933" s="1524"/>
      <c r="AC933" s="1524"/>
      <c r="AD933" s="1524"/>
      <c r="AE933" s="1524"/>
      <c r="AF933" s="1632"/>
    </row>
    <row r="934" spans="6:55" ht="12.95" customHeight="1">
      <c r="F934" s="121" t="s">
        <v>1279</v>
      </c>
      <c r="G934" s="5"/>
      <c r="H934" s="5"/>
      <c r="I934" s="5"/>
      <c r="J934" s="5"/>
      <c r="K934" s="5"/>
      <c r="L934" s="5"/>
      <c r="M934" s="5"/>
      <c r="N934" s="5"/>
      <c r="O934" s="5"/>
      <c r="P934" s="5"/>
      <c r="Q934" s="5"/>
      <c r="R934" s="5"/>
      <c r="S934" s="5"/>
      <c r="T934" s="46"/>
      <c r="U934" s="1627" t="s">
        <v>592</v>
      </c>
      <c r="V934" s="1427"/>
      <c r="W934" s="1427"/>
      <c r="X934" s="1427"/>
      <c r="Y934" s="1427"/>
      <c r="Z934" s="1428"/>
      <c r="AA934" s="1631"/>
      <c r="AB934" s="1524"/>
      <c r="AC934" s="1524"/>
      <c r="AD934" s="1524"/>
      <c r="AE934" s="1524"/>
      <c r="AF934" s="1632"/>
      <c r="AZ934" s="30"/>
      <c r="BA934" s="14"/>
    </row>
    <row r="935" spans="6:55" ht="12.95" customHeight="1">
      <c r="F935" s="66" t="s">
        <v>803</v>
      </c>
      <c r="G935" s="5"/>
      <c r="H935" s="5"/>
      <c r="I935" s="5"/>
      <c r="J935" s="5"/>
      <c r="K935" s="5"/>
      <c r="L935" s="5"/>
      <c r="M935" s="5"/>
      <c r="N935" s="5"/>
      <c r="O935" s="5"/>
      <c r="P935" s="5"/>
      <c r="Q935" s="5"/>
      <c r="R935" s="5"/>
      <c r="S935" s="5"/>
      <c r="T935" s="46"/>
      <c r="U935" s="1627" t="s">
        <v>592</v>
      </c>
      <c r="V935" s="1427"/>
      <c r="W935" s="1427"/>
      <c r="X935" s="1427"/>
      <c r="Y935" s="1427"/>
      <c r="Z935" s="1428"/>
      <c r="AA935" s="1631"/>
      <c r="AB935" s="1524"/>
      <c r="AC935" s="1524"/>
      <c r="AD935" s="1524"/>
      <c r="AE935" s="1524"/>
      <c r="AF935" s="1632"/>
      <c r="AZ935" s="30"/>
      <c r="BA935" s="14"/>
    </row>
    <row r="936" spans="6:55" ht="12.95" customHeight="1">
      <c r="F936" s="1628" t="s">
        <v>2204</v>
      </c>
      <c r="G936" s="1629"/>
      <c r="H936" s="1629"/>
      <c r="I936" s="1629"/>
      <c r="J936" s="1629"/>
      <c r="K936" s="1629"/>
      <c r="L936" s="1629"/>
      <c r="M936" s="1629"/>
      <c r="N936" s="1629"/>
      <c r="O936" s="1629"/>
      <c r="P936" s="1629"/>
      <c r="Q936" s="1629"/>
      <c r="R936" s="1629"/>
      <c r="S936" s="1629"/>
      <c r="T936" s="1630"/>
      <c r="U936" s="1627" t="s">
        <v>592</v>
      </c>
      <c r="V936" s="1427"/>
      <c r="W936" s="1427"/>
      <c r="X936" s="1427"/>
      <c r="Y936" s="1427"/>
      <c r="Z936" s="1428"/>
      <c r="AA936" s="1631"/>
      <c r="AB936" s="1524"/>
      <c r="AC936" s="1524"/>
      <c r="AD936" s="1524"/>
      <c r="AE936" s="1524"/>
      <c r="AF936" s="1632"/>
      <c r="AZ936" s="30"/>
      <c r="BA936" s="14"/>
    </row>
    <row r="937" spans="6:55" ht="12.95" customHeight="1">
      <c r="F937" s="1628" t="s">
        <v>2205</v>
      </c>
      <c r="G937" s="1629"/>
      <c r="H937" s="1629"/>
      <c r="I937" s="1629"/>
      <c r="J937" s="1629"/>
      <c r="K937" s="1629"/>
      <c r="L937" s="1629"/>
      <c r="M937" s="1629"/>
      <c r="N937" s="1629"/>
      <c r="O937" s="1629"/>
      <c r="P937" s="1629"/>
      <c r="Q937" s="1629"/>
      <c r="R937" s="1629"/>
      <c r="S937" s="1629"/>
      <c r="T937" s="1630"/>
      <c r="U937" s="1627" t="s">
        <v>592</v>
      </c>
      <c r="V937" s="1427"/>
      <c r="W937" s="1427"/>
      <c r="X937" s="1427"/>
      <c r="Y937" s="1427"/>
      <c r="Z937" s="1428"/>
      <c r="AA937" s="1631"/>
      <c r="AB937" s="1524"/>
      <c r="AC937" s="1524"/>
      <c r="AD937" s="1524"/>
      <c r="AE937" s="1524"/>
      <c r="AF937" s="1632"/>
      <c r="AZ937" s="30"/>
      <c r="BA937" s="30"/>
    </row>
    <row r="938" spans="6:55" ht="12.95" customHeight="1">
      <c r="F938" s="1624" t="s">
        <v>2201</v>
      </c>
      <c r="G938" s="1625"/>
      <c r="H938" s="1625"/>
      <c r="I938" s="1625"/>
      <c r="J938" s="1625"/>
      <c r="K938" s="1625"/>
      <c r="L938" s="1625"/>
      <c r="M938" s="1625"/>
      <c r="N938" s="1625"/>
      <c r="O938" s="1625"/>
      <c r="P938" s="1625"/>
      <c r="Q938" s="1625"/>
      <c r="R938" s="1625"/>
      <c r="S938" s="1625"/>
      <c r="T938" s="1626"/>
      <c r="U938" s="1627" t="s">
        <v>592</v>
      </c>
      <c r="V938" s="1427"/>
      <c r="W938" s="1427"/>
      <c r="X938" s="1427"/>
      <c r="Y938" s="1427"/>
      <c r="Z938" s="1428"/>
      <c r="AA938" s="1631"/>
      <c r="AB938" s="1524"/>
      <c r="AC938" s="1524"/>
      <c r="AD938" s="1524"/>
      <c r="AE938" s="1524"/>
      <c r="AF938" s="1632"/>
      <c r="AZ938" s="30"/>
      <c r="BA938" s="30"/>
    </row>
    <row r="939" spans="6:55" ht="12.95" customHeight="1">
      <c r="F939" s="1624" t="s">
        <v>2202</v>
      </c>
      <c r="G939" s="1625"/>
      <c r="H939" s="1625"/>
      <c r="I939" s="1625"/>
      <c r="J939" s="1625"/>
      <c r="K939" s="1625"/>
      <c r="L939" s="1625"/>
      <c r="M939" s="1625"/>
      <c r="N939" s="1625"/>
      <c r="O939" s="1625"/>
      <c r="P939" s="1625"/>
      <c r="Q939" s="1625"/>
      <c r="R939" s="1625"/>
      <c r="S939" s="1625"/>
      <c r="T939" s="1626"/>
      <c r="U939" s="1627" t="s">
        <v>592</v>
      </c>
      <c r="V939" s="1427"/>
      <c r="W939" s="1427"/>
      <c r="X939" s="1427"/>
      <c r="Y939" s="1427"/>
      <c r="Z939" s="1428"/>
      <c r="AA939" s="1631"/>
      <c r="AB939" s="1524"/>
      <c r="AC939" s="1524"/>
      <c r="AD939" s="1524"/>
      <c r="AE939" s="1524"/>
      <c r="AF939" s="1632"/>
      <c r="AZ939" s="30"/>
      <c r="BA939" s="30"/>
    </row>
    <row r="940" spans="6:55" ht="12.95" customHeight="1">
      <c r="F940" s="1624" t="s">
        <v>2203</v>
      </c>
      <c r="G940" s="1625"/>
      <c r="H940" s="1625"/>
      <c r="I940" s="1625"/>
      <c r="J940" s="1625"/>
      <c r="K940" s="1625"/>
      <c r="L940" s="1625"/>
      <c r="M940" s="1625"/>
      <c r="N940" s="1625"/>
      <c r="O940" s="1625"/>
      <c r="P940" s="1625"/>
      <c r="Q940" s="1625"/>
      <c r="R940" s="1625"/>
      <c r="S940" s="1625"/>
      <c r="T940" s="1626"/>
      <c r="U940" s="1627" t="s">
        <v>592</v>
      </c>
      <c r="V940" s="1427"/>
      <c r="W940" s="1427"/>
      <c r="X940" s="1427"/>
      <c r="Y940" s="1427"/>
      <c r="Z940" s="1428"/>
      <c r="AA940" s="1631"/>
      <c r="AB940" s="1524"/>
      <c r="AC940" s="1524"/>
      <c r="AD940" s="1524"/>
      <c r="AE940" s="1524"/>
      <c r="AF940" s="1632"/>
      <c r="AZ940" s="34"/>
      <c r="BA940" s="34"/>
      <c r="BB940" s="14"/>
      <c r="BC940" s="14"/>
    </row>
    <row r="941" spans="6:55" ht="12.95" customHeight="1">
      <c r="F941" s="121" t="s">
        <v>1263</v>
      </c>
      <c r="G941" s="5"/>
      <c r="H941" s="5"/>
      <c r="I941" s="5"/>
      <c r="J941" s="5"/>
      <c r="K941" s="5"/>
      <c r="L941" s="5"/>
      <c r="M941" s="5"/>
      <c r="N941" s="5"/>
      <c r="O941" s="5"/>
      <c r="P941" s="5"/>
      <c r="Q941" s="5"/>
      <c r="R941" s="5"/>
      <c r="S941" s="5"/>
      <c r="T941" s="46"/>
      <c r="U941" s="1627" t="s">
        <v>592</v>
      </c>
      <c r="V941" s="1427"/>
      <c r="W941" s="1427"/>
      <c r="X941" s="1427"/>
      <c r="Y941" s="1427"/>
      <c r="Z941" s="1428"/>
      <c r="AA941" s="1631"/>
      <c r="AB941" s="1524"/>
      <c r="AC941" s="1524"/>
      <c r="AD941" s="1524"/>
      <c r="AE941" s="1524"/>
      <c r="AF941" s="1632"/>
      <c r="AZ941" s="34"/>
      <c r="BA941" s="34"/>
      <c r="BB941" s="14"/>
      <c r="BC941" s="14"/>
    </row>
    <row r="942" spans="6:55" ht="12.95" customHeight="1">
      <c r="F942" s="1628" t="s">
        <v>2206</v>
      </c>
      <c r="G942" s="1629"/>
      <c r="H942" s="1629"/>
      <c r="I942" s="1629"/>
      <c r="J942" s="1629"/>
      <c r="K942" s="1629"/>
      <c r="L942" s="1629"/>
      <c r="M942" s="1629"/>
      <c r="N942" s="1629"/>
      <c r="O942" s="1629"/>
      <c r="P942" s="1629"/>
      <c r="Q942" s="1629"/>
      <c r="R942" s="1629"/>
      <c r="S942" s="1629"/>
      <c r="T942" s="1630"/>
      <c r="U942" s="1627" t="s">
        <v>592</v>
      </c>
      <c r="V942" s="1427"/>
      <c r="W942" s="1427"/>
      <c r="X942" s="1427"/>
      <c r="Y942" s="1427"/>
      <c r="Z942" s="1428"/>
      <c r="AA942" s="1631"/>
      <c r="AB942" s="1524"/>
      <c r="AC942" s="1524"/>
      <c r="AD942" s="1524"/>
      <c r="AE942" s="1524"/>
      <c r="AF942" s="1632"/>
      <c r="AZ942" s="34"/>
      <c r="BA942" s="34"/>
      <c r="BB942" s="34"/>
      <c r="BC942" s="34"/>
    </row>
    <row r="943" spans="6:55" ht="12.95" customHeight="1">
      <c r="F943" s="121" t="s">
        <v>1264</v>
      </c>
      <c r="G943" s="5"/>
      <c r="H943" s="5"/>
      <c r="I943" s="5"/>
      <c r="J943" s="5"/>
      <c r="K943" s="5"/>
      <c r="L943" s="5"/>
      <c r="M943" s="5"/>
      <c r="N943" s="5"/>
      <c r="O943" s="5"/>
      <c r="P943" s="5"/>
      <c r="Q943" s="5"/>
      <c r="R943" s="5"/>
      <c r="S943" s="5"/>
      <c r="T943" s="46"/>
      <c r="U943" s="1627" t="s">
        <v>592</v>
      </c>
      <c r="V943" s="1427"/>
      <c r="W943" s="1427"/>
      <c r="X943" s="1427"/>
      <c r="Y943" s="1427"/>
      <c r="Z943" s="1428"/>
      <c r="AA943" s="1631"/>
      <c r="AB943" s="1524"/>
      <c r="AC943" s="1524"/>
      <c r="AD943" s="1524"/>
      <c r="AE943" s="1524"/>
      <c r="AF943" s="1632"/>
      <c r="AZ943" s="34"/>
      <c r="BA943" s="34"/>
      <c r="BB943" s="34"/>
      <c r="BC943" s="34"/>
    </row>
    <row r="944" spans="6:55" ht="12.95" customHeight="1">
      <c r="F944" s="1628" t="s">
        <v>2207</v>
      </c>
      <c r="G944" s="1629"/>
      <c r="H944" s="1629"/>
      <c r="I944" s="1629"/>
      <c r="J944" s="1629"/>
      <c r="K944" s="1629"/>
      <c r="L944" s="1629"/>
      <c r="M944" s="1629"/>
      <c r="N944" s="1629"/>
      <c r="O944" s="1629"/>
      <c r="P944" s="1629"/>
      <c r="Q944" s="1629"/>
      <c r="R944" s="1629"/>
      <c r="S944" s="1629"/>
      <c r="T944" s="1630"/>
      <c r="U944" s="1627" t="s">
        <v>592</v>
      </c>
      <c r="V944" s="1427"/>
      <c r="W944" s="1427"/>
      <c r="X944" s="1427"/>
      <c r="Y944" s="1427"/>
      <c r="Z944" s="1428"/>
      <c r="AA944" s="1631"/>
      <c r="AB944" s="1524"/>
      <c r="AC944" s="1524"/>
      <c r="AD944" s="1524"/>
      <c r="AE944" s="1524"/>
      <c r="AF944" s="1632"/>
      <c r="AZ944" s="34"/>
      <c r="BA944" s="34"/>
      <c r="BB944" s="34"/>
      <c r="BC944" s="34"/>
    </row>
    <row r="945" spans="1:55" ht="12.95" customHeight="1">
      <c r="F945" s="45" t="s">
        <v>807</v>
      </c>
      <c r="G945" s="5"/>
      <c r="H945" s="5"/>
      <c r="I945" s="5"/>
      <c r="J945" s="5"/>
      <c r="K945" s="5"/>
      <c r="L945" s="5"/>
      <c r="M945" s="5"/>
      <c r="N945" s="5"/>
      <c r="O945" s="5"/>
      <c r="P945" s="1627" t="s">
        <v>670</v>
      </c>
      <c r="Q945" s="1427"/>
      <c r="R945" s="1427"/>
      <c r="S945" s="1427"/>
      <c r="T945" s="1428"/>
      <c r="U945" s="1627" t="s">
        <v>592</v>
      </c>
      <c r="V945" s="1427"/>
      <c r="W945" s="1427"/>
      <c r="X945" s="1427"/>
      <c r="Y945" s="1427"/>
      <c r="Z945" s="1428"/>
      <c r="AA945" s="1631"/>
      <c r="AB945" s="1524"/>
      <c r="AC945" s="1524"/>
      <c r="AD945" s="1524"/>
      <c r="AE945" s="1524"/>
      <c r="AF945" s="1632"/>
      <c r="AZ945" s="34"/>
      <c r="BA945" s="34"/>
      <c r="BB945" s="34"/>
      <c r="BC945" s="34"/>
    </row>
    <row r="946" spans="1:55" ht="12.95" customHeight="1">
      <c r="F946" s="1624" t="s">
        <v>2194</v>
      </c>
      <c r="G946" s="1625"/>
      <c r="H946" s="1626"/>
      <c r="I946" s="1641" t="s">
        <v>334</v>
      </c>
      <c r="J946" s="1642"/>
      <c r="K946" s="1642"/>
      <c r="L946" s="1642"/>
      <c r="M946" s="1642"/>
      <c r="N946" s="1642"/>
      <c r="O946" s="1642"/>
      <c r="P946" s="1642"/>
      <c r="Q946" s="1642"/>
      <c r="R946" s="1642"/>
      <c r="S946" s="1642"/>
      <c r="T946" s="1643"/>
      <c r="U946" s="1627" t="s">
        <v>592</v>
      </c>
      <c r="V946" s="1427"/>
      <c r="W946" s="1427"/>
      <c r="X946" s="1427"/>
      <c r="Y946" s="1427"/>
      <c r="Z946" s="1428"/>
      <c r="AA946" s="1631"/>
      <c r="AB946" s="1524"/>
      <c r="AC946" s="1524"/>
      <c r="AD946" s="1524"/>
      <c r="AE946" s="1524"/>
      <c r="AF946" s="1632"/>
      <c r="AZ946" s="34"/>
      <c r="BA946" s="34"/>
      <c r="BB946" s="34"/>
      <c r="BC946" s="34"/>
    </row>
    <row r="947" spans="1:55" ht="12.95" customHeight="1">
      <c r="F947" s="45" t="s">
        <v>86</v>
      </c>
      <c r="G947" s="48"/>
      <c r="H947" s="48"/>
      <c r="I947" s="1641" t="s">
        <v>334</v>
      </c>
      <c r="J947" s="1642"/>
      <c r="K947" s="1642"/>
      <c r="L947" s="1642"/>
      <c r="M947" s="1642"/>
      <c r="N947" s="1642"/>
      <c r="O947" s="1642"/>
      <c r="P947" s="1642"/>
      <c r="Q947" s="1642"/>
      <c r="R947" s="1642"/>
      <c r="S947" s="1642"/>
      <c r="T947" s="1643"/>
      <c r="U947" s="1627" t="s">
        <v>592</v>
      </c>
      <c r="V947" s="1427"/>
      <c r="W947" s="1427"/>
      <c r="X947" s="1427"/>
      <c r="Y947" s="1427"/>
      <c r="Z947" s="1428"/>
      <c r="AA947" s="1631"/>
      <c r="AB947" s="1524"/>
      <c r="AC947" s="1524"/>
      <c r="AD947" s="1524"/>
      <c r="AE947" s="1524"/>
      <c r="AF947" s="1632"/>
      <c r="AZ947" s="34"/>
      <c r="BA947" s="34"/>
      <c r="BB947" s="34"/>
      <c r="BC947" s="34"/>
    </row>
    <row r="948" spans="1:55" ht="12.95" customHeight="1">
      <c r="F948" s="45" t="s">
        <v>10</v>
      </c>
      <c r="G948" s="48"/>
      <c r="H948" s="48"/>
      <c r="I948" s="1698" t="s">
        <v>334</v>
      </c>
      <c r="J948" s="1699"/>
      <c r="K948" s="1699"/>
      <c r="L948" s="1699"/>
      <c r="M948" s="1699"/>
      <c r="N948" s="1699"/>
      <c r="O948" s="1699"/>
      <c r="P948" s="1699"/>
      <c r="Q948" s="1699"/>
      <c r="R948" s="1699"/>
      <c r="S948" s="1699"/>
      <c r="T948" s="1700"/>
      <c r="U948" s="1627" t="s">
        <v>592</v>
      </c>
      <c r="V948" s="1427"/>
      <c r="W948" s="1427"/>
      <c r="X948" s="1427"/>
      <c r="Y948" s="1427"/>
      <c r="Z948" s="1428"/>
      <c r="AA948" s="1631"/>
      <c r="AB948" s="1524"/>
      <c r="AC948" s="1524"/>
      <c r="AD948" s="1524"/>
      <c r="AE948" s="1524"/>
      <c r="AF948" s="1632"/>
      <c r="AV948" s="2"/>
      <c r="AW948" s="2"/>
      <c r="AX948" s="2"/>
      <c r="AY948" s="2"/>
      <c r="AZ948" s="34"/>
      <c r="BA948" s="34"/>
      <c r="BB948" s="34"/>
      <c r="BC948" s="34"/>
    </row>
    <row r="949" spans="1:55" ht="12.95" customHeight="1">
      <c r="F949" s="47" t="s">
        <v>170</v>
      </c>
      <c r="G949" s="48"/>
      <c r="H949" s="48"/>
      <c r="I949" s="1698" t="s">
        <v>334</v>
      </c>
      <c r="J949" s="1699"/>
      <c r="K949" s="1699"/>
      <c r="L949" s="1699"/>
      <c r="M949" s="1699"/>
      <c r="N949" s="1699"/>
      <c r="O949" s="1699"/>
      <c r="P949" s="1699"/>
      <c r="Q949" s="1699"/>
      <c r="R949" s="1699"/>
      <c r="S949" s="1699"/>
      <c r="T949" s="1700"/>
      <c r="U949" s="1627" t="s">
        <v>592</v>
      </c>
      <c r="V949" s="1427"/>
      <c r="W949" s="1427"/>
      <c r="X949" s="1427"/>
      <c r="Y949" s="1427"/>
      <c r="Z949" s="1428"/>
      <c r="AA949" s="1631"/>
      <c r="AB949" s="1524"/>
      <c r="AC949" s="1524"/>
      <c r="AD949" s="1524"/>
      <c r="AE949" s="1524"/>
      <c r="AF949" s="1632"/>
      <c r="AU949" s="2"/>
      <c r="AZ949" s="34"/>
      <c r="BA949" s="34"/>
      <c r="BB949" s="34"/>
      <c r="BC949" s="34"/>
    </row>
    <row r="950" spans="1:55" ht="12.95" customHeight="1">
      <c r="F950" s="47" t="s">
        <v>170</v>
      </c>
      <c r="G950" s="48"/>
      <c r="H950" s="48"/>
      <c r="I950" s="1698" t="s">
        <v>334</v>
      </c>
      <c r="J950" s="1699"/>
      <c r="K950" s="1699"/>
      <c r="L950" s="1699"/>
      <c r="M950" s="1699"/>
      <c r="N950" s="1699"/>
      <c r="O950" s="1699"/>
      <c r="P950" s="1699"/>
      <c r="Q950" s="1699"/>
      <c r="R950" s="1699"/>
      <c r="S950" s="1699"/>
      <c r="T950" s="1700"/>
      <c r="U950" s="1627" t="s">
        <v>592</v>
      </c>
      <c r="V950" s="1427"/>
      <c r="W950" s="1427"/>
      <c r="X950" s="1427"/>
      <c r="Y950" s="1427"/>
      <c r="Z950" s="1428"/>
      <c r="AA950" s="1631"/>
      <c r="AB950" s="1524"/>
      <c r="AC950" s="1524"/>
      <c r="AD950" s="1524"/>
      <c r="AE950" s="1524"/>
      <c r="AF950" s="1632"/>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2"/>
      <c r="N955" s="1520"/>
      <c r="O955" s="1520"/>
      <c r="P955" s="1520"/>
      <c r="Q955" s="1520"/>
      <c r="R955" s="1520"/>
      <c r="S955" s="1622"/>
      <c r="U955" s="66" t="s">
        <v>11</v>
      </c>
      <c r="V955" s="5"/>
      <c r="W955" s="5"/>
      <c r="X955" s="5"/>
      <c r="Y955" s="5"/>
      <c r="Z955" s="5"/>
      <c r="AA955" s="5"/>
      <c r="AB955" s="5"/>
      <c r="AC955" s="5"/>
      <c r="AD955" s="46"/>
      <c r="AE955" s="1702"/>
      <c r="AF955" s="1520"/>
      <c r="AG955" s="1520"/>
      <c r="AH955" s="1520"/>
      <c r="AI955" s="1520"/>
      <c r="AJ955" s="1520"/>
      <c r="AK955" s="1622"/>
      <c r="AZ955" s="34"/>
      <c r="BA955" s="34"/>
      <c r="BB955" s="34"/>
      <c r="BC955" s="34"/>
    </row>
    <row r="956" spans="1:55" ht="12.95" customHeight="1">
      <c r="C956" s="66" t="s">
        <v>12</v>
      </c>
      <c r="D956" s="5"/>
      <c r="E956" s="5"/>
      <c r="F956" s="5"/>
      <c r="G956" s="5"/>
      <c r="H956" s="5"/>
      <c r="I956" s="5"/>
      <c r="J956" s="5"/>
      <c r="K956" s="5"/>
      <c r="L956" s="46"/>
      <c r="M956" s="1660"/>
      <c r="N956" s="1543"/>
      <c r="O956" s="1543"/>
      <c r="P956" s="1543"/>
      <c r="Q956" s="1543"/>
      <c r="R956" s="1543"/>
      <c r="S956" s="1661"/>
      <c r="U956" s="66" t="s">
        <v>12</v>
      </c>
      <c r="V956" s="5"/>
      <c r="W956" s="5"/>
      <c r="X956" s="5"/>
      <c r="Y956" s="5"/>
      <c r="Z956" s="5"/>
      <c r="AA956" s="5"/>
      <c r="AB956" s="5"/>
      <c r="AC956" s="5"/>
      <c r="AD956" s="46"/>
      <c r="AE956" s="1660"/>
      <c r="AF956" s="1543"/>
      <c r="AG956" s="1543"/>
      <c r="AH956" s="1543"/>
      <c r="AI956" s="1543"/>
      <c r="AJ956" s="1543"/>
      <c r="AK956" s="1661"/>
      <c r="AZ956" s="34"/>
      <c r="BA956" s="34"/>
      <c r="BB956" s="34"/>
      <c r="BC956" s="34"/>
    </row>
    <row r="957" spans="1:55" ht="12.95" customHeight="1">
      <c r="C957" s="66" t="s">
        <v>881</v>
      </c>
      <c r="D957" s="5"/>
      <c r="E957" s="5"/>
      <c r="J957" s="1806" t="s">
        <v>307</v>
      </c>
      <c r="K957" s="1807"/>
      <c r="L957" s="1807"/>
      <c r="M957" s="1807"/>
      <c r="N957" s="1807"/>
      <c r="O957" s="1807"/>
      <c r="P957" s="1807"/>
      <c r="Q957" s="1807"/>
      <c r="R957" s="1807"/>
      <c r="S957" s="1808"/>
      <c r="U957" s="66" t="s">
        <v>881</v>
      </c>
      <c r="V957" s="5"/>
      <c r="W957" s="5"/>
      <c r="AB957" s="1806" t="s">
        <v>307</v>
      </c>
      <c r="AC957" s="1807"/>
      <c r="AD957" s="1807"/>
      <c r="AE957" s="1807"/>
      <c r="AF957" s="1807"/>
      <c r="AG957" s="1807"/>
      <c r="AH957" s="1807"/>
      <c r="AI957" s="1807"/>
      <c r="AJ957" s="1807"/>
      <c r="AK957" s="1808"/>
      <c r="AZ957" s="34"/>
      <c r="BA957" s="34"/>
      <c r="BB957" s="34"/>
      <c r="BC957" s="34"/>
    </row>
    <row r="958" spans="1:55" ht="12.95" customHeight="1">
      <c r="C958" s="66" t="s">
        <v>13</v>
      </c>
      <c r="D958" s="5"/>
      <c r="E958" s="5"/>
      <c r="F958" s="5"/>
      <c r="G958" s="5"/>
      <c r="H958" s="5"/>
      <c r="I958" s="5"/>
      <c r="J958" s="5"/>
      <c r="K958" s="5"/>
      <c r="L958" s="46"/>
      <c r="M958" s="1703"/>
      <c r="N958" s="1704"/>
      <c r="O958" s="1704"/>
      <c r="P958" s="1704"/>
      <c r="Q958" s="1704"/>
      <c r="R958" s="1704"/>
      <c r="S958" s="1705"/>
      <c r="U958" s="66" t="s">
        <v>13</v>
      </c>
      <c r="V958" s="5"/>
      <c r="W958" s="5"/>
      <c r="X958" s="5"/>
      <c r="Y958" s="5"/>
      <c r="Z958" s="5"/>
      <c r="AA958" s="5"/>
      <c r="AB958" s="5"/>
      <c r="AC958" s="5"/>
      <c r="AD958" s="46"/>
      <c r="AE958" s="1777"/>
      <c r="AF958" s="1704"/>
      <c r="AG958" s="1704"/>
      <c r="AH958" s="1704"/>
      <c r="AI958" s="1704"/>
      <c r="AJ958" s="1704"/>
      <c r="AK958" s="1705"/>
      <c r="AZ958" s="34"/>
      <c r="BA958" s="34"/>
      <c r="BB958" s="34"/>
      <c r="BC958" s="34"/>
    </row>
    <row r="959" spans="1:55" ht="12.95" customHeight="1">
      <c r="C959" s="66" t="s">
        <v>14</v>
      </c>
      <c r="D959" s="5"/>
      <c r="E959" s="5"/>
      <c r="F959" s="5"/>
      <c r="G959" s="5"/>
      <c r="H959" s="5"/>
      <c r="I959" s="5"/>
      <c r="J959" s="5"/>
      <c r="K959" s="5"/>
      <c r="L959" s="46"/>
      <c r="M959" s="1723"/>
      <c r="N959" s="1607"/>
      <c r="O959" s="1607"/>
      <c r="P959" s="1607"/>
      <c r="Q959" s="1607"/>
      <c r="R959" s="1607"/>
      <c r="S959" s="1608"/>
      <c r="U959" s="66" t="s">
        <v>14</v>
      </c>
      <c r="V959" s="5"/>
      <c r="W959" s="5"/>
      <c r="X959" s="5"/>
      <c r="Y959" s="5"/>
      <c r="Z959" s="5"/>
      <c r="AA959" s="5"/>
      <c r="AB959" s="5"/>
      <c r="AC959" s="5"/>
      <c r="AD959" s="46"/>
      <c r="AE959" s="1723"/>
      <c r="AF959" s="1607"/>
      <c r="AG959" s="1607"/>
      <c r="AH959" s="1607"/>
      <c r="AI959" s="1607"/>
      <c r="AJ959" s="1607"/>
      <c r="AK959" s="1608"/>
      <c r="AV959" s="2"/>
      <c r="AW959" s="2"/>
      <c r="AX959" s="2"/>
      <c r="AY959" s="2"/>
      <c r="AZ959" s="34"/>
      <c r="BA959" s="34"/>
      <c r="BB959" s="34"/>
      <c r="BC959" s="34"/>
    </row>
    <row r="960" spans="1:55" ht="12.95" customHeight="1">
      <c r="C960" s="66" t="s">
        <v>15</v>
      </c>
      <c r="D960" s="5"/>
      <c r="E960" s="5"/>
      <c r="F960" s="5"/>
      <c r="G960" s="5"/>
      <c r="H960" s="5"/>
      <c r="I960" s="5"/>
      <c r="J960" s="5"/>
      <c r="K960" s="5"/>
      <c r="L960" s="46"/>
      <c r="M960" s="1631"/>
      <c r="N960" s="1524"/>
      <c r="O960" s="1524"/>
      <c r="P960" s="1524"/>
      <c r="Q960" s="1524"/>
      <c r="R960" s="1524"/>
      <c r="S960" s="1632"/>
      <c r="U960" s="66" t="s">
        <v>15</v>
      </c>
      <c r="V960" s="5"/>
      <c r="W960" s="5"/>
      <c r="X960" s="5"/>
      <c r="Y960" s="5"/>
      <c r="Z960" s="5"/>
      <c r="AA960" s="5"/>
      <c r="AB960" s="5"/>
      <c r="AC960" s="5"/>
      <c r="AD960" s="46"/>
      <c r="AE960" s="1631"/>
      <c r="AF960" s="1524"/>
      <c r="AG960" s="1524"/>
      <c r="AH960" s="1524"/>
      <c r="AI960" s="1524"/>
      <c r="AJ960" s="1524"/>
      <c r="AK960" s="1632"/>
      <c r="AV960" s="2"/>
      <c r="AW960" s="2"/>
      <c r="AX960" s="2"/>
      <c r="AY960" s="2"/>
      <c r="AZ960" s="34"/>
      <c r="BA960" s="34"/>
      <c r="BB960" s="34"/>
      <c r="BC960" s="34"/>
    </row>
    <row r="961" spans="1:64" ht="12.95" customHeight="1">
      <c r="C961" s="66" t="s">
        <v>16</v>
      </c>
      <c r="D961" s="5"/>
      <c r="E961" s="5"/>
      <c r="F961" s="5"/>
      <c r="G961" s="5"/>
      <c r="H961" s="5"/>
      <c r="I961" s="5"/>
      <c r="J961" s="5"/>
      <c r="K961" s="5"/>
      <c r="L961" s="46"/>
      <c r="M961" s="1631"/>
      <c r="N961" s="1524"/>
      <c r="O961" s="1524"/>
      <c r="P961" s="1524"/>
      <c r="Q961" s="1524"/>
      <c r="R961" s="1524"/>
      <c r="S961" s="1632"/>
      <c r="U961" s="66" t="s">
        <v>16</v>
      </c>
      <c r="V961" s="5"/>
      <c r="W961" s="5"/>
      <c r="X961" s="5"/>
      <c r="Y961" s="5"/>
      <c r="Z961" s="5"/>
      <c r="AA961" s="5"/>
      <c r="AB961" s="5"/>
      <c r="AC961" s="5"/>
      <c r="AD961" s="46"/>
      <c r="AE961" s="1631"/>
      <c r="AF961" s="1524"/>
      <c r="AG961" s="1524"/>
      <c r="AH961" s="1524"/>
      <c r="AI961" s="1524"/>
      <c r="AJ961" s="1524"/>
      <c r="AK961" s="1632"/>
      <c r="AV961" s="2"/>
      <c r="AW961" s="2"/>
      <c r="AX961" s="2"/>
      <c r="AY961" s="2"/>
      <c r="AZ961" s="34"/>
      <c r="BB961" s="34"/>
      <c r="BC961" s="34"/>
    </row>
    <row r="962" spans="1:64" ht="12.95" customHeight="1">
      <c r="C962" s="121" t="s">
        <v>1663</v>
      </c>
      <c r="D962" s="5"/>
      <c r="E962" s="5"/>
      <c r="F962" s="5"/>
      <c r="G962" s="5"/>
      <c r="H962" s="5"/>
      <c r="I962" s="5"/>
      <c r="J962" s="5"/>
      <c r="K962" s="5"/>
      <c r="L962" s="46"/>
      <c r="M962" s="1774"/>
      <c r="N962" s="1775"/>
      <c r="O962" s="1775"/>
      <c r="P962" s="1775"/>
      <c r="Q962" s="1775"/>
      <c r="R962" s="1775"/>
      <c r="S962" s="1776"/>
      <c r="U962" s="121" t="s">
        <v>1663</v>
      </c>
      <c r="V962" s="5"/>
      <c r="W962" s="5"/>
      <c r="X962" s="5"/>
      <c r="Y962" s="5"/>
      <c r="Z962" s="5"/>
      <c r="AA962" s="5"/>
      <c r="AB962" s="5"/>
      <c r="AC962" s="5"/>
      <c r="AD962" s="46"/>
      <c r="AE962" s="1774"/>
      <c r="AF962" s="1775"/>
      <c r="AG962" s="1775"/>
      <c r="AH962" s="1775"/>
      <c r="AI962" s="1775"/>
      <c r="AJ962" s="1775"/>
      <c r="AK962" s="177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7"/>
      <c r="N967" s="1658"/>
      <c r="O967" s="1658"/>
      <c r="P967" s="1658"/>
      <c r="Q967" s="1658"/>
      <c r="R967" s="1658"/>
      <c r="S967" s="1659"/>
      <c r="T967" s="66" t="s">
        <v>791</v>
      </c>
      <c r="U967" s="5"/>
      <c r="V967" s="5"/>
      <c r="W967" s="5"/>
      <c r="X967" s="5"/>
      <c r="Y967" s="5"/>
      <c r="Z967" s="46"/>
      <c r="AA967" s="1657"/>
      <c r="AB967" s="1658"/>
      <c r="AC967" s="1658"/>
      <c r="AD967" s="1658"/>
      <c r="AE967" s="1658"/>
      <c r="AF967" s="1658"/>
      <c r="AG967" s="1659"/>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7"/>
      <c r="N968" s="1658"/>
      <c r="O968" s="1658"/>
      <c r="P968" s="1658"/>
      <c r="Q968" s="1658"/>
      <c r="R968" s="1658"/>
      <c r="S968" s="1659"/>
      <c r="T968" s="66" t="s">
        <v>790</v>
      </c>
      <c r="U968" s="5"/>
      <c r="V968" s="5"/>
      <c r="W968" s="5"/>
      <c r="X968" s="5"/>
      <c r="Y968" s="5"/>
      <c r="Z968" s="46"/>
      <c r="AA968" s="1657"/>
      <c r="AB968" s="1658"/>
      <c r="AC968" s="1658"/>
      <c r="AD968" s="1658"/>
      <c r="AE968" s="1658"/>
      <c r="AF968" s="1658"/>
      <c r="AG968" s="165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6" t="s">
        <v>592</v>
      </c>
      <c r="N969" s="1707"/>
      <c r="O969" s="1707"/>
      <c r="P969" s="1707"/>
      <c r="Q969" s="1707"/>
      <c r="R969" s="1707"/>
      <c r="S969" s="1708"/>
      <c r="T969" s="45" t="s">
        <v>337</v>
      </c>
      <c r="U969" s="5"/>
      <c r="V969" s="5"/>
      <c r="W969" s="5"/>
      <c r="X969" s="5"/>
      <c r="Y969" s="5"/>
      <c r="Z969" s="46"/>
      <c r="AA969" s="1657"/>
      <c r="AB969" s="1658"/>
      <c r="AC969" s="1658"/>
      <c r="AD969" s="1658"/>
      <c r="AE969" s="1658"/>
      <c r="AF969" s="1658"/>
      <c r="AG969" s="165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7"/>
      <c r="N970" s="1658"/>
      <c r="O970" s="1658"/>
      <c r="P970" s="1658"/>
      <c r="Q970" s="1658"/>
      <c r="R970" s="1658"/>
      <c r="S970" s="1659"/>
      <c r="T970" s="45" t="s">
        <v>338</v>
      </c>
      <c r="U970" s="5"/>
      <c r="V970" s="5"/>
      <c r="W970" s="5"/>
      <c r="X970" s="5"/>
      <c r="Y970" s="5"/>
      <c r="Z970" s="46"/>
      <c r="AA970" s="1657"/>
      <c r="AB970" s="1658"/>
      <c r="AC970" s="1658"/>
      <c r="AD970" s="1658"/>
      <c r="AE970" s="1658"/>
      <c r="AF970" s="1658"/>
      <c r="AG970" s="165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7"/>
      <c r="N971" s="1658"/>
      <c r="O971" s="1658"/>
      <c r="P971" s="1658"/>
      <c r="Q971" s="1658"/>
      <c r="R971" s="1658"/>
      <c r="S971" s="1659"/>
      <c r="T971" s="45" t="s">
        <v>376</v>
      </c>
      <c r="U971" s="5"/>
      <c r="V971" s="5"/>
      <c r="W971" s="5"/>
      <c r="X971" s="5"/>
      <c r="Y971" s="5"/>
      <c r="Z971" s="46"/>
      <c r="AA971" s="1657"/>
      <c r="AB971" s="1658"/>
      <c r="AC971" s="1658"/>
      <c r="AD971" s="1658"/>
      <c r="AE971" s="1658"/>
      <c r="AF971" s="1658"/>
      <c r="AG971" s="1659"/>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6" t="s">
        <v>307</v>
      </c>
      <c r="N972" s="1807"/>
      <c r="O972" s="1807"/>
      <c r="P972" s="1807"/>
      <c r="Q972" s="1807"/>
      <c r="R972" s="1807"/>
      <c r="S972" s="1808"/>
      <c r="T972" s="1761"/>
      <c r="U972" s="1762"/>
      <c r="V972" s="1762"/>
      <c r="W972" s="1762"/>
      <c r="X972" s="1762"/>
      <c r="Y972" s="1762"/>
      <c r="Z972" s="1763"/>
      <c r="AA972" s="1657"/>
      <c r="AB972" s="1658"/>
      <c r="AC972" s="1658"/>
      <c r="AD972" s="1658"/>
      <c r="AE972" s="1658"/>
      <c r="AF972" s="1658"/>
      <c r="AG972" s="165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7"/>
      <c r="N973" s="1658"/>
      <c r="O973" s="1658"/>
      <c r="P973" s="1658"/>
      <c r="Q973" s="1658"/>
      <c r="R973" s="1658"/>
      <c r="S973" s="1659"/>
      <c r="T973" s="1761"/>
      <c r="U973" s="1762"/>
      <c r="V973" s="1762"/>
      <c r="W973" s="1762"/>
      <c r="X973" s="1762"/>
      <c r="Y973" s="1762"/>
      <c r="Z973" s="1763"/>
      <c r="AA973" s="1657"/>
      <c r="AB973" s="1658"/>
      <c r="AC973" s="1658"/>
      <c r="AD973" s="1658"/>
      <c r="AE973" s="1658"/>
      <c r="AF973" s="1658"/>
      <c r="AG973" s="1659"/>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09" t="s">
        <v>334</v>
      </c>
      <c r="X974" s="1810"/>
      <c r="Y974" s="1810"/>
      <c r="Z974" s="1810"/>
      <c r="AA974" s="1810"/>
      <c r="AB974" s="1810"/>
      <c r="AC974" s="1810"/>
      <c r="AD974" s="1810"/>
      <c r="AE974" s="1810"/>
      <c r="AF974" s="1810"/>
      <c r="AG974" s="1811"/>
      <c r="AU974" s="68"/>
      <c r="AV974" s="95"/>
      <c r="AW974" s="95"/>
      <c r="AX974" s="95"/>
      <c r="AY974" s="95"/>
      <c r="AZ974" s="34"/>
      <c r="BB974" s="34"/>
      <c r="BC974" s="34"/>
      <c r="BD974" s="34"/>
      <c r="BE974" s="34"/>
      <c r="BF974" s="34"/>
      <c r="BG974" s="34"/>
      <c r="BH974" s="34"/>
      <c r="BI974" s="34"/>
      <c r="BJ974" s="34"/>
      <c r="BK974" s="34"/>
      <c r="BL974" s="34"/>
    </row>
    <row r="975" spans="1:64" ht="12.95" customHeight="1">
      <c r="F975" s="1602" t="s">
        <v>33</v>
      </c>
      <c r="G975" s="1483"/>
      <c r="H975" s="1483"/>
      <c r="I975" s="1483"/>
      <c r="J975" s="1483"/>
      <c r="K975" s="1483"/>
      <c r="L975" s="1483"/>
      <c r="M975" s="1657"/>
      <c r="N975" s="1658"/>
      <c r="O975" s="1658"/>
      <c r="P975" s="1658"/>
      <c r="Q975" s="1658"/>
      <c r="R975" s="1658"/>
      <c r="S975" s="1659"/>
      <c r="T975" s="47"/>
      <c r="U975" s="48"/>
      <c r="V975" s="48"/>
      <c r="W975" s="48"/>
      <c r="X975" s="48"/>
      <c r="Y975" s="48"/>
      <c r="Z975" s="124" t="s">
        <v>134</v>
      </c>
      <c r="AA975" s="1758"/>
      <c r="AB975" s="1759"/>
      <c r="AC975" s="1759"/>
      <c r="AD975" s="1759"/>
      <c r="AE975" s="1759"/>
      <c r="AF975" s="1759"/>
      <c r="AG975" s="1760"/>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3"/>
      <c r="BH976" s="1633"/>
      <c r="BI976" s="1633"/>
      <c r="BJ976" s="1633"/>
      <c r="BK976" s="1633"/>
      <c r="BL976" s="1633"/>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3" t="s">
        <v>549</v>
      </c>
      <c r="B979" s="1533"/>
      <c r="C979" s="1533"/>
      <c r="D979" s="1533"/>
      <c r="E979" s="1533"/>
      <c r="F979" s="1533"/>
      <c r="G979" s="1533"/>
      <c r="H979" s="1533"/>
      <c r="I979" s="1533"/>
      <c r="J979" s="1533"/>
      <c r="K979" s="1533"/>
      <c r="L979" s="1533"/>
      <c r="M979" s="1533"/>
      <c r="N979" s="1533"/>
      <c r="O979" s="1533"/>
      <c r="P979" s="1533"/>
      <c r="Q979" s="1533"/>
      <c r="R979" s="1533"/>
      <c r="S979" s="1533"/>
      <c r="T979" s="1533"/>
      <c r="U979" s="1533"/>
      <c r="V979" s="1533"/>
      <c r="W979" s="1533"/>
      <c r="X979" s="1533"/>
      <c r="Y979" s="1533"/>
      <c r="Z979" s="1533"/>
      <c r="AA979" s="1533"/>
      <c r="AB979" s="1533"/>
      <c r="AC979" s="1533"/>
      <c r="AD979" s="1533"/>
      <c r="AE979" s="1533"/>
      <c r="AF979" s="1533"/>
      <c r="AG979" s="1533"/>
      <c r="AH979" s="1533"/>
      <c r="AI979" s="1533"/>
      <c r="AJ979" s="1533"/>
      <c r="AK979" s="1533"/>
      <c r="AL979" s="1533"/>
      <c r="AM979" s="1533"/>
      <c r="AN979" s="1533"/>
      <c r="AO979" s="1533"/>
      <c r="AP979" s="1533"/>
      <c r="AQ979" s="1533"/>
      <c r="AR979" s="1533"/>
      <c r="AS979" s="1533"/>
      <c r="AT979" s="1533"/>
      <c r="AU979" s="68"/>
      <c r="AV979" s="68"/>
      <c r="AW979" s="68"/>
      <c r="AX979" s="68"/>
      <c r="AY979" s="68"/>
      <c r="AZ979" s="14"/>
      <c r="BA979" s="14"/>
      <c r="BB979" s="912"/>
      <c r="BC979" s="912"/>
    </row>
    <row r="980" spans="1:64" ht="12.95" customHeight="1">
      <c r="A980" s="1533"/>
      <c r="B980" s="1533"/>
      <c r="C980" s="1533"/>
      <c r="D980" s="1533"/>
      <c r="E980" s="1533"/>
      <c r="F980" s="1533"/>
      <c r="G980" s="1533"/>
      <c r="H980" s="1533"/>
      <c r="I980" s="1533"/>
      <c r="J980" s="1533"/>
      <c r="K980" s="1533"/>
      <c r="L980" s="1533"/>
      <c r="M980" s="1533"/>
      <c r="N980" s="1533"/>
      <c r="O980" s="1533"/>
      <c r="P980" s="1533"/>
      <c r="Q980" s="1533"/>
      <c r="R980" s="1533"/>
      <c r="S980" s="1533"/>
      <c r="T980" s="1533"/>
      <c r="U980" s="1533"/>
      <c r="V980" s="1533"/>
      <c r="W980" s="1533"/>
      <c r="X980" s="1533"/>
      <c r="Y980" s="1533"/>
      <c r="Z980" s="1533"/>
      <c r="AA980" s="1533"/>
      <c r="AB980" s="1533"/>
      <c r="AC980" s="1533"/>
      <c r="AD980" s="1533"/>
      <c r="AE980" s="1533"/>
      <c r="AF980" s="1533"/>
      <c r="AG980" s="1533"/>
      <c r="AH980" s="1533"/>
      <c r="AI980" s="1533"/>
      <c r="AJ980" s="1533"/>
      <c r="AK980" s="1533"/>
      <c r="AL980" s="1533"/>
      <c r="AM980" s="1533"/>
      <c r="AN980" s="1533"/>
      <c r="AO980" s="1533"/>
      <c r="AP980" s="1533"/>
      <c r="AQ980" s="1533"/>
      <c r="AR980" s="1533"/>
      <c r="AS980" s="1533"/>
      <c r="AT980" s="1533"/>
      <c r="AU980" s="68"/>
      <c r="AV980" s="68"/>
      <c r="AW980" s="68"/>
      <c r="AX980" s="68"/>
      <c r="AY980" s="68"/>
      <c r="AZ980" s="30"/>
      <c r="BA980" s="14"/>
      <c r="BB980" s="14"/>
      <c r="BC980" s="14"/>
    </row>
    <row r="981" spans="1:64" ht="12.95" customHeight="1">
      <c r="A981" s="1533"/>
      <c r="B981" s="1533"/>
      <c r="C981" s="1533"/>
      <c r="D981" s="1533"/>
      <c r="E981" s="1533"/>
      <c r="F981" s="1533"/>
      <c r="G981" s="1533"/>
      <c r="H981" s="1533"/>
      <c r="I981" s="1533"/>
      <c r="J981" s="1533"/>
      <c r="K981" s="1533"/>
      <c r="L981" s="1533"/>
      <c r="M981" s="1533"/>
      <c r="N981" s="1533"/>
      <c r="O981" s="1533"/>
      <c r="P981" s="1533"/>
      <c r="Q981" s="1533"/>
      <c r="R981" s="1533"/>
      <c r="S981" s="1533"/>
      <c r="T981" s="1533"/>
      <c r="U981" s="1533"/>
      <c r="V981" s="1533"/>
      <c r="W981" s="1533"/>
      <c r="X981" s="1533"/>
      <c r="Y981" s="1533"/>
      <c r="Z981" s="1533"/>
      <c r="AA981" s="1533"/>
      <c r="AB981" s="1533"/>
      <c r="AC981" s="1533"/>
      <c r="AD981" s="1533"/>
      <c r="AE981" s="1533"/>
      <c r="AF981" s="1533"/>
      <c r="AG981" s="1533"/>
      <c r="AH981" s="1533"/>
      <c r="AI981" s="1533"/>
      <c r="AJ981" s="1533"/>
      <c r="AK981" s="1533"/>
      <c r="AL981" s="1533"/>
      <c r="AM981" s="1533"/>
      <c r="AN981" s="1533"/>
      <c r="AO981" s="1533"/>
      <c r="AP981" s="1533"/>
      <c r="AQ981" s="1533"/>
      <c r="AR981" s="1533"/>
      <c r="AS981" s="1533"/>
      <c r="AT981" s="153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89" t="s">
        <v>639</v>
      </c>
      <c r="E985" s="1790"/>
      <c r="F985" s="1790"/>
      <c r="G985" s="1790"/>
      <c r="H985" s="1790"/>
      <c r="I985" s="1790"/>
      <c r="J985" s="1790"/>
      <c r="K985" s="1790"/>
      <c r="L985" s="1790"/>
      <c r="M985" s="1790"/>
      <c r="N985" s="1790"/>
      <c r="O985" s="1790"/>
      <c r="P985" s="1790"/>
      <c r="Q985" s="1791"/>
      <c r="R985" s="1789" t="s">
        <v>640</v>
      </c>
      <c r="S985" s="1790"/>
      <c r="T985" s="1790"/>
      <c r="U985" s="1790"/>
      <c r="V985" s="1790"/>
      <c r="W985" s="1790"/>
      <c r="X985" s="1790"/>
      <c r="Y985" s="1790"/>
      <c r="Z985" s="1790"/>
      <c r="AA985" s="1791"/>
      <c r="AB985" s="1789" t="s">
        <v>641</v>
      </c>
      <c r="AC985" s="1790"/>
      <c r="AD985" s="1790"/>
      <c r="AE985" s="1790"/>
      <c r="AF985" s="1790"/>
      <c r="AG985" s="1790"/>
      <c r="AH985" s="1790"/>
      <c r="AI985" s="1791"/>
      <c r="AJ985" s="1789" t="s">
        <v>642</v>
      </c>
      <c r="AK985" s="1790"/>
      <c r="AL985" s="1790"/>
      <c r="AM985" s="1790"/>
      <c r="AN985" s="1790"/>
      <c r="AO985" s="1790"/>
      <c r="AP985" s="1790"/>
      <c r="AQ985" s="1791"/>
      <c r="AR985" s="68"/>
      <c r="AS985" s="68"/>
      <c r="AT985" s="68"/>
      <c r="AU985" s="68"/>
      <c r="AV985" s="68"/>
      <c r="AW985" s="68"/>
      <c r="AX985" s="68"/>
      <c r="AY985" s="68"/>
      <c r="AZ985" s="30"/>
      <c r="BB985" s="14"/>
      <c r="BC985" s="14"/>
    </row>
    <row r="986" spans="1:64" ht="12.95" customHeight="1">
      <c r="A986" s="14"/>
      <c r="B986" s="73"/>
      <c r="C986" s="929"/>
      <c r="D986" s="1795" t="s">
        <v>634</v>
      </c>
      <c r="E986" s="1796"/>
      <c r="F986" s="1796"/>
      <c r="G986" s="1796"/>
      <c r="H986" s="1796"/>
      <c r="I986" s="1796"/>
      <c r="J986" s="1796"/>
      <c r="K986" s="1796"/>
      <c r="L986" s="1796"/>
      <c r="M986" s="1796"/>
      <c r="N986" s="1796"/>
      <c r="O986" s="1796"/>
      <c r="P986" s="1796"/>
      <c r="Q986" s="1797"/>
      <c r="R986" s="1782">
        <f>IF(ISNA(IF($CU$122="4%",(INDEX($CS$160:$CW$217,MATCH($DG$122,$CR$160:$CR$217,0),MATCH(D986,$CS$159:$CW$159,0))),(INDEX($CZ$160:$DD$217,MATCH($DG$122,$CY$160:$CY$217,0),MATCH(D986,$CZ$159:$DD$159,0))))),0,IF($CU$122="4%",(INDEX($CS$160:$CW$217,MATCH($DG$122,$CR$160:$CR$217,0),MATCH(D986,$CS$159:$CW$159,0))),(INDEX($CZ$160:$DD$217,MATCH($DG$122,$CY$160:$CY$217,0),MATCH(D986,$CZ$159:$DD$159,0)))))</f>
        <v>331890</v>
      </c>
      <c r="S986" s="1782"/>
      <c r="T986" s="1782"/>
      <c r="U986" s="1782"/>
      <c r="V986" s="1782"/>
      <c r="W986" s="1782"/>
      <c r="X986" s="1782"/>
      <c r="Y986" s="1782"/>
      <c r="Z986" s="1782"/>
      <c r="AA986" s="1782"/>
      <c r="AB986" s="1779">
        <f>CP802</f>
        <v>0</v>
      </c>
      <c r="AC986" s="1780"/>
      <c r="AD986" s="1780"/>
      <c r="AE986" s="1780"/>
      <c r="AF986" s="1780"/>
      <c r="AG986" s="1780"/>
      <c r="AH986" s="1780"/>
      <c r="AI986" s="1781"/>
      <c r="AJ986" s="1715">
        <f>IF(ISERROR((R986*AB986)),0,(R986*AB986))</f>
        <v>0</v>
      </c>
      <c r="AK986" s="1716"/>
      <c r="AL986" s="1716"/>
      <c r="AM986" s="1716"/>
      <c r="AN986" s="1716"/>
      <c r="AO986" s="1716"/>
      <c r="AP986" s="1716"/>
      <c r="AQ986" s="1717"/>
      <c r="AR986" s="68"/>
      <c r="AS986" s="68"/>
      <c r="AT986" s="68"/>
      <c r="AU986" s="68"/>
      <c r="AV986" s="68"/>
      <c r="AW986" s="68"/>
      <c r="AX986" s="68"/>
      <c r="AY986" s="68"/>
      <c r="AZ986" s="30"/>
      <c r="BB986" s="14"/>
      <c r="BC986" s="14"/>
    </row>
    <row r="987" spans="1:64" ht="12.95" customHeight="1">
      <c r="A987" s="14"/>
      <c r="B987" s="73"/>
      <c r="C987" s="83"/>
      <c r="D987" s="1795" t="s">
        <v>325</v>
      </c>
      <c r="E987" s="1796"/>
      <c r="F987" s="1796"/>
      <c r="G987" s="1796"/>
      <c r="H987" s="1796"/>
      <c r="I987" s="1796"/>
      <c r="J987" s="1796"/>
      <c r="K987" s="1796"/>
      <c r="L987" s="1796"/>
      <c r="M987" s="1796"/>
      <c r="N987" s="1796"/>
      <c r="O987" s="1796"/>
      <c r="P987" s="1796"/>
      <c r="Q987" s="1797"/>
      <c r="R987" s="1782">
        <f>IF(ISNA(IF($CU$122="4%",(INDEX($CS$160:$CW$217,MATCH($DG$122,$CR$160:$CR$217,0),MATCH(D987,$CS$159:$CW$159,0))),(INDEX($CZ$160:$DD$217,MATCH($DG$122,$CY$160:$CY$217,0),MATCH(D987,$CZ$159:$DD$159,0))))),0,IF($CU$122="4%",(INDEX($CS$160:$CW$217,MATCH($DG$122,$CR$160:$CR$217,0),MATCH(D987,$CS$159:$CW$159,0))),(INDEX($CZ$160:$DD$217,MATCH($DG$122,$CY$160:$CY$217,0),MATCH(D987,$CZ$159:$DD$159,0)))))</f>
        <v>382666</v>
      </c>
      <c r="S987" s="1782"/>
      <c r="T987" s="1782"/>
      <c r="U987" s="1782"/>
      <c r="V987" s="1782"/>
      <c r="W987" s="1782"/>
      <c r="X987" s="1782"/>
      <c r="Y987" s="1782"/>
      <c r="Z987" s="1782"/>
      <c r="AA987" s="1782"/>
      <c r="AB987" s="1779">
        <f>CU802</f>
        <v>100</v>
      </c>
      <c r="AC987" s="1780"/>
      <c r="AD987" s="1780"/>
      <c r="AE987" s="1780"/>
      <c r="AF987" s="1780"/>
      <c r="AG987" s="1780"/>
      <c r="AH987" s="1780"/>
      <c r="AI987" s="1781"/>
      <c r="AJ987" s="1715">
        <f>IF(ISERROR((R987*AB987)),0,(R987*AB987))</f>
        <v>38266600</v>
      </c>
      <c r="AK987" s="1716"/>
      <c r="AL987" s="1716"/>
      <c r="AM987" s="1716"/>
      <c r="AN987" s="1716"/>
      <c r="AO987" s="1716"/>
      <c r="AP987" s="1716"/>
      <c r="AQ987" s="1717"/>
      <c r="AR987" s="68"/>
      <c r="AS987" s="68"/>
      <c r="AT987" s="68"/>
      <c r="AU987" s="68"/>
      <c r="AV987" s="68"/>
      <c r="AW987" s="68"/>
      <c r="AX987" s="68"/>
      <c r="AY987" s="68"/>
      <c r="AZ987" s="30"/>
      <c r="BB987" s="14"/>
      <c r="BC987" s="14"/>
    </row>
    <row r="988" spans="1:64" ht="12.95" customHeight="1">
      <c r="A988" s="14"/>
      <c r="B988" s="73"/>
      <c r="C988" s="83"/>
      <c r="D988" s="1795" t="s">
        <v>163</v>
      </c>
      <c r="E988" s="1796"/>
      <c r="F988" s="1796"/>
      <c r="G988" s="1796"/>
      <c r="H988" s="1796"/>
      <c r="I988" s="1796"/>
      <c r="J988" s="1796"/>
      <c r="K988" s="1796"/>
      <c r="L988" s="1796"/>
      <c r="M988" s="1796"/>
      <c r="N988" s="1796"/>
      <c r="O988" s="1796"/>
      <c r="P988" s="1796"/>
      <c r="Q988" s="1797"/>
      <c r="R988" s="1782">
        <f>IF(ISNA(IF($CU$122="4%",(INDEX($CS$160:$CW$217,MATCH($DG$122,$CR$160:$CR$217,0),MATCH(D988,$CS$159:$CW$159,0))),(INDEX($CZ$160:$DD$217,MATCH($DG$122,$CY$160:$CY$217,0),MATCH(D988,$CZ$159:$DD$159,0))))),0,IF($CU$122="4%",(INDEX($CS$160:$CW$217,MATCH($DG$122,$CR$160:$CR$217,0),MATCH(D988,$CS$159:$CW$159,0))),(INDEX($CZ$160:$DD$217,MATCH($DG$122,$CY$160:$CY$217,0),MATCH(D988,$CZ$159:$DD$159,0)))))</f>
        <v>461600</v>
      </c>
      <c r="S988" s="1782"/>
      <c r="T988" s="1782"/>
      <c r="U988" s="1782"/>
      <c r="V988" s="1782"/>
      <c r="W988" s="1782"/>
      <c r="X988" s="1782"/>
      <c r="Y988" s="1782"/>
      <c r="Z988" s="1782"/>
      <c r="AA988" s="1782"/>
      <c r="AB988" s="1779">
        <f>CZ802</f>
        <v>50</v>
      </c>
      <c r="AC988" s="1780"/>
      <c r="AD988" s="1780"/>
      <c r="AE988" s="1780"/>
      <c r="AF988" s="1780"/>
      <c r="AG988" s="1780"/>
      <c r="AH988" s="1780"/>
      <c r="AI988" s="1781"/>
      <c r="AJ988" s="1715">
        <f>IF(ISERROR((R988*AB988)),0,(R988*AB988))</f>
        <v>23080000</v>
      </c>
      <c r="AK988" s="1716"/>
      <c r="AL988" s="1716"/>
      <c r="AM988" s="1716"/>
      <c r="AN988" s="1716"/>
      <c r="AO988" s="1716"/>
      <c r="AP988" s="1716"/>
      <c r="AQ988" s="1717"/>
      <c r="AR988" s="68"/>
      <c r="AS988" s="68"/>
      <c r="AT988" s="68"/>
      <c r="AU988" s="68"/>
      <c r="AV988" s="68"/>
      <c r="AW988" s="68"/>
      <c r="AX988" s="68"/>
      <c r="AY988" s="68"/>
      <c r="AZ988" s="30"/>
      <c r="BB988" s="14"/>
      <c r="BC988" s="14"/>
    </row>
    <row r="989" spans="1:64" ht="12.95" customHeight="1">
      <c r="A989" s="14"/>
      <c r="B989" s="73"/>
      <c r="C989" s="83"/>
      <c r="D989" s="1795" t="s">
        <v>164</v>
      </c>
      <c r="E989" s="1796"/>
      <c r="F989" s="1796"/>
      <c r="G989" s="1796"/>
      <c r="H989" s="1796"/>
      <c r="I989" s="1796"/>
      <c r="J989" s="1796"/>
      <c r="K989" s="1796"/>
      <c r="L989" s="1796"/>
      <c r="M989" s="1796"/>
      <c r="N989" s="1796"/>
      <c r="O989" s="1796"/>
      <c r="P989" s="1796"/>
      <c r="Q989" s="1797"/>
      <c r="R989" s="1782">
        <f>IF(ISNA(IF($CU$122="4%",(INDEX($CS$160:$CW$217,MATCH($DG$122,$CR$160:$CR$217,0),MATCH(D989,$CS$159:$CW$159,0))),(INDEX($CZ$160:$DD$217,MATCH($DG$122,$CY$160:$CY$217,0),MATCH(D989,$CZ$159:$DD$159,0))))),0,IF($CU$122="4%",(INDEX($CS$160:$CW$217,MATCH($DG$122,$CR$160:$CR$217,0),MATCH(D989,$CS$159:$CW$159,0))),(INDEX($CZ$160:$DD$217,MATCH($DG$122,$CY$160:$CY$217,0),MATCH(D989,$CZ$159:$DD$159,0)))))</f>
        <v>590848</v>
      </c>
      <c r="S989" s="1782"/>
      <c r="T989" s="1782"/>
      <c r="U989" s="1782"/>
      <c r="V989" s="1782"/>
      <c r="W989" s="1782"/>
      <c r="X989" s="1782"/>
      <c r="Y989" s="1782"/>
      <c r="Z989" s="1782"/>
      <c r="AA989" s="1782"/>
      <c r="AB989" s="1779">
        <f>DE802</f>
        <v>50</v>
      </c>
      <c r="AC989" s="1780"/>
      <c r="AD989" s="1780"/>
      <c r="AE989" s="1780"/>
      <c r="AF989" s="1780"/>
      <c r="AG989" s="1780"/>
      <c r="AH989" s="1780"/>
      <c r="AI989" s="1781"/>
      <c r="AJ989" s="1715">
        <f>IF(ISERROR((R989*AB989)),0,(R989*AB989))</f>
        <v>29542400</v>
      </c>
      <c r="AK989" s="1716"/>
      <c r="AL989" s="1716"/>
      <c r="AM989" s="1716"/>
      <c r="AN989" s="1716"/>
      <c r="AO989" s="1716"/>
      <c r="AP989" s="1716"/>
      <c r="AQ989" s="1717"/>
      <c r="AR989" s="68"/>
      <c r="AS989" s="68"/>
      <c r="AT989" s="68"/>
      <c r="AU989" s="68"/>
      <c r="AV989" s="68"/>
      <c r="AW989" s="68"/>
      <c r="AX989" s="68"/>
      <c r="AY989" s="68"/>
      <c r="AZ989" s="30"/>
      <c r="BA989" s="34"/>
      <c r="BB989" s="14"/>
      <c r="BC989" s="14"/>
    </row>
    <row r="990" spans="1:64" ht="12.95" customHeight="1">
      <c r="A990" s="14"/>
      <c r="B990" s="47"/>
      <c r="C990" s="78"/>
      <c r="D990" s="1795" t="s">
        <v>461</v>
      </c>
      <c r="E990" s="1796"/>
      <c r="F990" s="1796"/>
      <c r="G990" s="1796"/>
      <c r="H990" s="1796"/>
      <c r="I990" s="1796"/>
      <c r="J990" s="1796"/>
      <c r="K990" s="1796"/>
      <c r="L990" s="1796"/>
      <c r="M990" s="1796"/>
      <c r="N990" s="1796"/>
      <c r="O990" s="1796"/>
      <c r="P990" s="1796"/>
      <c r="Q990" s="1797"/>
      <c r="R990" s="1782">
        <f>IF(ISNA(IF($CU$122="4%",(INDEX($CS$160:$CW$217,MATCH($DG$122,$CR$160:$CR$217,0),MATCH(D990,$CS$159:$CW$159,0))),(INDEX($CZ$160:$DD$217,MATCH($DG$122,$CY$160:$CY$217,0),MATCH(D990,$CZ$159:$DD$159,0))))),0,IF($CU$122="4%",(INDEX($CS$160:$CW$217,MATCH($DG$122,$CR$160:$CR$217,0),MATCH(D990,$CS$159:$CW$159,0))),(INDEX($CZ$160:$DD$217,MATCH($DG$122,$CY$160:$CY$217,0),MATCH(D990,$CZ$159:$DD$159,0)))))</f>
        <v>658242</v>
      </c>
      <c r="S990" s="1782"/>
      <c r="T990" s="1782"/>
      <c r="U990" s="1782"/>
      <c r="V990" s="1782"/>
      <c r="W990" s="1782"/>
      <c r="X990" s="1782"/>
      <c r="Y990" s="1782"/>
      <c r="Z990" s="1782"/>
      <c r="AA990" s="1782"/>
      <c r="AB990" s="1779">
        <f>DO802+DJ802</f>
        <v>0</v>
      </c>
      <c r="AC990" s="1780"/>
      <c r="AD990" s="1780"/>
      <c r="AE990" s="1780"/>
      <c r="AF990" s="1780"/>
      <c r="AG990" s="1780"/>
      <c r="AH990" s="1780"/>
      <c r="AI990" s="1781"/>
      <c r="AJ990" s="1715">
        <f>IF(ISERROR((R990*AB990)),0,(R990*AB990))</f>
        <v>0</v>
      </c>
      <c r="AK990" s="1716"/>
      <c r="AL990" s="1716"/>
      <c r="AM990" s="1716"/>
      <c r="AN990" s="1716"/>
      <c r="AO990" s="1716"/>
      <c r="AP990" s="1716"/>
      <c r="AQ990" s="1717"/>
      <c r="AR990" s="68"/>
      <c r="AS990" s="68"/>
      <c r="AT990" s="68"/>
      <c r="AU990" s="68"/>
      <c r="AV990" s="68"/>
      <c r="AW990" s="68"/>
      <c r="AX990" s="68"/>
      <c r="AY990" s="68"/>
      <c r="AZ990" s="30"/>
      <c r="BB990" s="14"/>
      <c r="BC990" s="14"/>
    </row>
    <row r="991" spans="1:64" ht="12.95" customHeight="1">
      <c r="A991" s="14"/>
      <c r="B991" s="1736" t="s">
        <v>792</v>
      </c>
      <c r="C991" s="1737"/>
      <c r="D991" s="1737"/>
      <c r="E991" s="1737"/>
      <c r="F991" s="1737"/>
      <c r="G991" s="1737"/>
      <c r="H991" s="1737"/>
      <c r="I991" s="1737"/>
      <c r="J991" s="1737"/>
      <c r="K991" s="1737"/>
      <c r="L991" s="1737"/>
      <c r="M991" s="1737"/>
      <c r="N991" s="1737"/>
      <c r="O991" s="1737"/>
      <c r="P991" s="1737"/>
      <c r="Q991" s="1737"/>
      <c r="R991" s="1737"/>
      <c r="S991" s="1737"/>
      <c r="T991" s="1737"/>
      <c r="U991" s="1737"/>
      <c r="V991" s="1737"/>
      <c r="W991" s="1737"/>
      <c r="X991" s="1737"/>
      <c r="Y991" s="1737"/>
      <c r="Z991" s="1737"/>
      <c r="AA991" s="1738"/>
      <c r="AB991" s="1779">
        <f>SUM(AB986:AI990)</f>
        <v>200</v>
      </c>
      <c r="AC991" s="1780"/>
      <c r="AD991" s="1780"/>
      <c r="AE991" s="1780"/>
      <c r="AF991" s="1780"/>
      <c r="AG991" s="1780"/>
      <c r="AH991" s="1780"/>
      <c r="AI991" s="1781"/>
      <c r="AJ991" s="1715"/>
      <c r="AK991" s="1716"/>
      <c r="AL991" s="1716"/>
      <c r="AM991" s="1716"/>
      <c r="AN991" s="1716"/>
      <c r="AO991" s="1716"/>
      <c r="AP991" s="1716"/>
      <c r="AQ991" s="1717"/>
      <c r="AR991" s="68"/>
      <c r="AS991" s="68"/>
      <c r="AT991" s="68"/>
      <c r="AU991" s="68"/>
      <c r="AV991" s="68"/>
      <c r="AW991" s="68"/>
      <c r="AX991" s="68"/>
      <c r="AY991" s="68"/>
      <c r="AZ991" s="34"/>
      <c r="BA991" s="34"/>
      <c r="BB991" s="14"/>
      <c r="BC991" s="14"/>
    </row>
    <row r="992" spans="1:64" ht="12.95" customHeight="1">
      <c r="A992" s="14"/>
      <c r="B992" s="1792" t="s">
        <v>513</v>
      </c>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3"/>
      <c r="AF992" s="1793"/>
      <c r="AG992" s="1793"/>
      <c r="AH992" s="1793"/>
      <c r="AI992" s="1794"/>
      <c r="AJ992" s="1715">
        <f>SUM(AJ986:AQ990)</f>
        <v>90889000</v>
      </c>
      <c r="AK992" s="1716"/>
      <c r="AL992" s="1716"/>
      <c r="AM992" s="1716"/>
      <c r="AN992" s="1716"/>
      <c r="AO992" s="1716"/>
      <c r="AP992" s="1716"/>
      <c r="AQ992" s="1717"/>
      <c r="AR992" s="68"/>
      <c r="AS992" s="68"/>
      <c r="AT992" s="68"/>
      <c r="AU992" s="68"/>
      <c r="AV992" s="68"/>
      <c r="AW992" s="68"/>
      <c r="AX992" s="68"/>
      <c r="AY992" s="68"/>
      <c r="AZ992" s="34"/>
      <c r="BB992" s="34"/>
      <c r="BC992" s="34"/>
    </row>
    <row r="993" spans="1:55" ht="12.95" customHeight="1">
      <c r="A993" s="14"/>
      <c r="B993" s="1745"/>
      <c r="C993" s="1746"/>
      <c r="D993" s="1746"/>
      <c r="E993" s="1746"/>
      <c r="F993" s="1746"/>
      <c r="G993" s="1746"/>
      <c r="H993" s="1746"/>
      <c r="I993" s="1746"/>
      <c r="J993" s="1746"/>
      <c r="K993" s="1746"/>
      <c r="L993" s="1746"/>
      <c r="M993" s="1746"/>
      <c r="N993" s="1746"/>
      <c r="O993" s="1746"/>
      <c r="P993" s="1746"/>
      <c r="Q993" s="1746"/>
      <c r="R993" s="1746"/>
      <c r="S993" s="1746"/>
      <c r="T993" s="1746"/>
      <c r="U993" s="1746"/>
      <c r="V993" s="1746"/>
      <c r="W993" s="1746"/>
      <c r="X993" s="1746"/>
      <c r="Y993" s="1746"/>
      <c r="Z993" s="1746"/>
      <c r="AA993" s="1746"/>
      <c r="AB993" s="1746"/>
      <c r="AC993" s="1746"/>
      <c r="AD993" s="1746"/>
      <c r="AE993" s="1747"/>
      <c r="AF993" s="1824" t="s">
        <v>667</v>
      </c>
      <c r="AG993" s="1825"/>
      <c r="AH993" s="1825"/>
      <c r="AI993" s="1826"/>
      <c r="AJ993" s="1745"/>
      <c r="AK993" s="1746"/>
      <c r="AL993" s="1746"/>
      <c r="AM993" s="1746"/>
      <c r="AN993" s="1746"/>
      <c r="AO993" s="1746"/>
      <c r="AP993" s="1746"/>
      <c r="AQ993" s="1747"/>
      <c r="AR993" s="68"/>
      <c r="AS993" s="68"/>
      <c r="AT993" s="68"/>
      <c r="AU993" s="68"/>
      <c r="AV993" s="68"/>
      <c r="AW993" s="68"/>
      <c r="AX993" s="68"/>
      <c r="AY993" s="68"/>
      <c r="AZ993" s="34"/>
      <c r="BA993" s="34"/>
      <c r="BB993" s="34"/>
      <c r="BC993" s="34"/>
    </row>
    <row r="994" spans="1:55" ht="12.95" customHeight="1">
      <c r="A994" s="14"/>
      <c r="B994" s="73"/>
      <c r="C994" s="927" t="s">
        <v>669</v>
      </c>
      <c r="D994" s="1733" t="s">
        <v>1221</v>
      </c>
      <c r="E994" s="1734"/>
      <c r="F994" s="1734"/>
      <c r="G994" s="1734"/>
      <c r="H994" s="1734"/>
      <c r="I994" s="1734"/>
      <c r="J994" s="1734"/>
      <c r="K994" s="1734"/>
      <c r="L994" s="1734"/>
      <c r="M994" s="1734"/>
      <c r="N994" s="1734"/>
      <c r="O994" s="1734"/>
      <c r="P994" s="1734"/>
      <c r="Q994" s="1734"/>
      <c r="R994" s="1734"/>
      <c r="S994" s="1734"/>
      <c r="T994" s="1734"/>
      <c r="U994" s="1734"/>
      <c r="V994" s="1734"/>
      <c r="W994" s="1734"/>
      <c r="X994" s="1734"/>
      <c r="Y994" s="1734"/>
      <c r="Z994" s="1734"/>
      <c r="AA994" s="1734"/>
      <c r="AB994" s="1734"/>
      <c r="AC994" s="1734"/>
      <c r="AD994" s="1734"/>
      <c r="AE994" s="1735"/>
      <c r="AF994" s="79"/>
      <c r="AG994" s="1827" t="s">
        <v>670</v>
      </c>
      <c r="AH994" s="1828"/>
      <c r="AI994" s="87"/>
      <c r="AJ994" s="1724">
        <f>ROUND(IF(AND(AG994="yes",D1000&gt;0),AJ992*0.2,0),0)</f>
        <v>0</v>
      </c>
      <c r="AK994" s="1725"/>
      <c r="AL994" s="1725"/>
      <c r="AM994" s="1725"/>
      <c r="AN994" s="1725"/>
      <c r="AO994" s="1725"/>
      <c r="AP994" s="1725"/>
      <c r="AQ994" s="1726"/>
      <c r="AR994" s="68"/>
      <c r="AS994" s="68"/>
      <c r="AT994" s="68"/>
      <c r="AU994" s="68"/>
      <c r="AV994" s="68"/>
      <c r="AW994" s="68"/>
      <c r="AX994" s="68"/>
      <c r="AY994" s="68"/>
      <c r="AZ994" s="34"/>
      <c r="BA994" s="34"/>
      <c r="BB994" s="34"/>
      <c r="BC994" s="34"/>
    </row>
    <row r="995" spans="1:55" ht="12.95" customHeight="1">
      <c r="A995" s="14"/>
      <c r="B995" s="257"/>
      <c r="C995" s="256"/>
      <c r="D995" s="1767" t="s">
        <v>2238</v>
      </c>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27"/>
      <c r="AK995" s="1728"/>
      <c r="AL995" s="1728"/>
      <c r="AM995" s="1728"/>
      <c r="AN995" s="1728"/>
      <c r="AO995" s="1728"/>
      <c r="AP995" s="1728"/>
      <c r="AQ995" s="1729"/>
      <c r="AR995" s="68"/>
      <c r="AS995" s="68"/>
      <c r="AT995" s="68"/>
      <c r="AU995" s="68"/>
      <c r="AV995" s="68"/>
      <c r="AW995" s="68"/>
      <c r="AX995" s="68"/>
      <c r="AY995" s="68"/>
      <c r="AZ995" s="34"/>
      <c r="BA995" s="34"/>
      <c r="BB995" s="34"/>
      <c r="BC995" s="34"/>
    </row>
    <row r="996" spans="1:55" ht="12.95" customHeight="1">
      <c r="A996" s="14"/>
      <c r="B996" s="257"/>
      <c r="C996" s="25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27"/>
      <c r="AK996" s="1728"/>
      <c r="AL996" s="1728"/>
      <c r="AM996" s="1728"/>
      <c r="AN996" s="1728"/>
      <c r="AO996" s="1728"/>
      <c r="AP996" s="1728"/>
      <c r="AQ996" s="1729"/>
      <c r="AR996" s="68"/>
      <c r="AS996" s="68"/>
      <c r="AT996" s="68"/>
      <c r="AU996" s="68"/>
      <c r="AV996" s="68"/>
      <c r="AW996" s="68"/>
      <c r="AX996" s="68"/>
      <c r="AY996" s="68"/>
      <c r="AZ996" s="34"/>
      <c r="BA996" s="34"/>
      <c r="BB996" s="34"/>
      <c r="BC996" s="34"/>
    </row>
    <row r="997" spans="1:55" ht="12.95" customHeight="1">
      <c r="A997" s="14"/>
      <c r="B997" s="257"/>
      <c r="C997" s="25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27"/>
      <c r="AK997" s="1728"/>
      <c r="AL997" s="1728"/>
      <c r="AM997" s="1728"/>
      <c r="AN997" s="1728"/>
      <c r="AO997" s="1728"/>
      <c r="AP997" s="1728"/>
      <c r="AQ997" s="1729"/>
      <c r="AR997" s="68"/>
      <c r="AS997" s="68"/>
      <c r="AT997" s="68"/>
      <c r="AU997" s="68"/>
      <c r="AV997" s="68"/>
      <c r="AW997" s="68"/>
      <c r="AX997" s="68"/>
      <c r="AY997" s="68"/>
      <c r="AZ997" s="34"/>
      <c r="BA997" s="34"/>
      <c r="BB997" s="34"/>
      <c r="BC997" s="34"/>
    </row>
    <row r="998" spans="1:55" ht="12.95" customHeight="1">
      <c r="A998" s="14"/>
      <c r="B998" s="257"/>
      <c r="C998" s="256"/>
      <c r="D998" s="1767"/>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27"/>
      <c r="AK998" s="1728"/>
      <c r="AL998" s="1728"/>
      <c r="AM998" s="1728"/>
      <c r="AN998" s="1728"/>
      <c r="AO998" s="1728"/>
      <c r="AP998" s="1728"/>
      <c r="AQ998" s="1729"/>
      <c r="AR998" s="68"/>
      <c r="AS998" s="68"/>
      <c r="AT998" s="68"/>
      <c r="AU998" s="68"/>
      <c r="AV998" s="68"/>
      <c r="AW998" s="68"/>
      <c r="AX998" s="68"/>
      <c r="AY998" s="68"/>
      <c r="AZ998" s="34"/>
      <c r="BA998" s="34"/>
      <c r="BB998" s="34"/>
      <c r="BC998" s="34"/>
    </row>
    <row r="999" spans="1:55" ht="12.95" customHeight="1">
      <c r="A999" s="14"/>
      <c r="B999" s="257"/>
      <c r="C999" s="256"/>
      <c r="D999" s="1770" t="s">
        <v>2208</v>
      </c>
      <c r="E999" s="1771"/>
      <c r="F999" s="1771"/>
      <c r="G999" s="1771"/>
      <c r="H999" s="1771"/>
      <c r="I999" s="1771"/>
      <c r="J999" s="1771"/>
      <c r="K999" s="1771"/>
      <c r="L999" s="1771"/>
      <c r="M999" s="1771"/>
      <c r="N999" s="1771"/>
      <c r="O999" s="1771"/>
      <c r="P999" s="1771"/>
      <c r="Q999" s="1771"/>
      <c r="R999" s="1771"/>
      <c r="S999" s="1771"/>
      <c r="T999" s="1771"/>
      <c r="U999" s="1771"/>
      <c r="V999" s="1771"/>
      <c r="W999" s="1771"/>
      <c r="X999" s="1771"/>
      <c r="Y999" s="1771"/>
      <c r="Z999" s="1771"/>
      <c r="AA999" s="1771"/>
      <c r="AB999" s="1771"/>
      <c r="AC999" s="1771"/>
      <c r="AD999" s="1771"/>
      <c r="AE999" s="1772"/>
      <c r="AF999" s="73"/>
      <c r="AG999" s="14"/>
      <c r="AH999" s="14"/>
      <c r="AI999" s="83"/>
      <c r="AJ999" s="1727"/>
      <c r="AK999" s="1728"/>
      <c r="AL999" s="1728"/>
      <c r="AM999" s="1728"/>
      <c r="AN999" s="1728"/>
      <c r="AO999" s="1728"/>
      <c r="AP999" s="1728"/>
      <c r="AQ999" s="1729"/>
      <c r="AR999" s="68"/>
      <c r="AS999" s="68"/>
      <c r="AT999" s="68"/>
      <c r="AU999" s="68"/>
      <c r="AV999" s="68"/>
      <c r="AW999" s="68"/>
      <c r="AX999" s="68"/>
      <c r="AY999" s="68"/>
      <c r="AZ999" s="34"/>
      <c r="BA999" s="34"/>
      <c r="BB999" s="34"/>
      <c r="BC999" s="34"/>
    </row>
    <row r="1000" spans="1:55" ht="12.95" customHeight="1">
      <c r="A1000" s="14"/>
      <c r="B1000" s="257"/>
      <c r="C1000" s="256"/>
      <c r="D1000" s="1739"/>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7"/>
      <c r="AG1000" s="7"/>
      <c r="AH1000" s="7"/>
      <c r="AI1000" s="78"/>
      <c r="AJ1000" s="1730"/>
      <c r="AK1000" s="1731"/>
      <c r="AL1000" s="1731"/>
      <c r="AM1000" s="1731"/>
      <c r="AN1000" s="1731"/>
      <c r="AO1000" s="1731"/>
      <c r="AP1000" s="1731"/>
      <c r="AQ1000" s="1732"/>
      <c r="AR1000" s="68"/>
      <c r="AS1000" s="68"/>
      <c r="AT1000" s="68"/>
      <c r="AU1000" s="68"/>
      <c r="AV1000" s="68"/>
      <c r="AW1000" s="68"/>
      <c r="AX1000" s="68"/>
      <c r="AY1000" s="68"/>
      <c r="AZ1000" s="34"/>
      <c r="BA1000" s="34"/>
      <c r="BB1000" s="34"/>
      <c r="BC1000" s="34"/>
    </row>
    <row r="1001" spans="1:55" ht="12.95" customHeight="1">
      <c r="A1001" s="14"/>
      <c r="B1001" s="255"/>
      <c r="C1001" s="318"/>
      <c r="D1001" s="1764" t="s">
        <v>1288</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9"/>
      <c r="AG1001" s="1750" t="s">
        <v>670</v>
      </c>
      <c r="AH1001" s="1751"/>
      <c r="AI1001" s="87"/>
      <c r="AJ1001" s="1724">
        <f>ROUND(IF(AG1001="yes",AJ992*0.05,0),0)</f>
        <v>0</v>
      </c>
      <c r="AK1001" s="1725"/>
      <c r="AL1001" s="1725"/>
      <c r="AM1001" s="1725"/>
      <c r="AN1001" s="1725"/>
      <c r="AO1001" s="1725"/>
      <c r="AP1001" s="1725"/>
      <c r="AQ1001" s="1726"/>
      <c r="AR1001" s="68"/>
      <c r="AS1001" s="68"/>
      <c r="AT1001" s="68"/>
      <c r="AU1001" s="68"/>
      <c r="AV1001" s="68"/>
      <c r="AW1001" s="68"/>
      <c r="AX1001" s="68"/>
      <c r="AY1001" s="68"/>
      <c r="AZ1001" s="34"/>
      <c r="BA1001" s="34"/>
      <c r="BB1001" s="34"/>
      <c r="BC1001" s="34"/>
    </row>
    <row r="1002" spans="1:55" ht="12.95" customHeight="1">
      <c r="A1002" s="14"/>
      <c r="B1002" s="257"/>
      <c r="C1002" s="82"/>
      <c r="D1002" s="1767" t="s">
        <v>1286</v>
      </c>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27"/>
      <c r="AK1002" s="1728"/>
      <c r="AL1002" s="1728"/>
      <c r="AM1002" s="1728"/>
      <c r="AN1002" s="1728"/>
      <c r="AO1002" s="1728"/>
      <c r="AP1002" s="1728"/>
      <c r="AQ1002" s="1729"/>
      <c r="AR1002" s="68"/>
      <c r="AS1002" s="68"/>
      <c r="AT1002" s="68"/>
      <c r="AU1002" s="68"/>
      <c r="AV1002" s="68"/>
      <c r="AW1002" s="68"/>
      <c r="AX1002" s="68"/>
      <c r="AY1002" s="34"/>
      <c r="AZ1002" s="34"/>
      <c r="BB1002" s="34"/>
    </row>
    <row r="1003" spans="1:55" ht="12.95" customHeight="1">
      <c r="A1003" s="14"/>
      <c r="B1003" s="25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27"/>
      <c r="AK1003" s="1728"/>
      <c r="AL1003" s="1728"/>
      <c r="AM1003" s="1728"/>
      <c r="AN1003" s="1728"/>
      <c r="AO1003" s="1728"/>
      <c r="AP1003" s="1728"/>
      <c r="AQ1003" s="1729"/>
      <c r="AR1003" s="68"/>
      <c r="AS1003" s="68"/>
      <c r="AT1003" s="68"/>
      <c r="AU1003" s="68"/>
      <c r="AV1003" s="68"/>
      <c r="AW1003" s="68"/>
      <c r="AX1003" s="68"/>
      <c r="AY1003" s="914">
        <f>G753+O797</f>
        <v>199</v>
      </c>
      <c r="AZ1003" s="34"/>
      <c r="BB1003" s="34"/>
    </row>
    <row r="1004" spans="1:55" ht="12.95" customHeight="1">
      <c r="A1004" s="14"/>
      <c r="B1004" s="25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27"/>
      <c r="AK1004" s="1728"/>
      <c r="AL1004" s="1728"/>
      <c r="AM1004" s="1728"/>
      <c r="AN1004" s="1728"/>
      <c r="AO1004" s="1728"/>
      <c r="AP1004" s="1728"/>
      <c r="AQ1004" s="1729"/>
      <c r="AR1004" s="68"/>
      <c r="AS1004" s="68"/>
      <c r="AT1004" s="68"/>
      <c r="AU1004" s="68"/>
      <c r="AV1004" s="68"/>
      <c r="AW1004" s="68"/>
      <c r="AX1004" s="68"/>
      <c r="AY1004" s="14"/>
      <c r="AZ1004" s="34"/>
      <c r="BB1004" s="34"/>
    </row>
    <row r="1005" spans="1:55" ht="12.95" customHeight="1">
      <c r="A1005" s="14"/>
      <c r="B1005" s="257"/>
      <c r="C1005" s="82"/>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3"/>
      <c r="AG1005" s="14"/>
      <c r="AH1005" s="14"/>
      <c r="AI1005" s="83"/>
      <c r="AJ1005" s="1727"/>
      <c r="AK1005" s="1728"/>
      <c r="AL1005" s="1728"/>
      <c r="AM1005" s="1728"/>
      <c r="AN1005" s="1728"/>
      <c r="AO1005" s="1728"/>
      <c r="AP1005" s="1728"/>
      <c r="AQ1005" s="1729"/>
      <c r="AR1005" s="68"/>
      <c r="AS1005" s="68"/>
      <c r="AT1005" s="68"/>
      <c r="AU1005" s="68"/>
      <c r="AV1005" s="68"/>
      <c r="AW1005" s="68"/>
      <c r="AX1005" s="68"/>
      <c r="AY1005" s="913">
        <f>ROUNDDOWN(X1048/I1048,2)</f>
        <v>0.1</v>
      </c>
      <c r="AZ1005" s="34"/>
      <c r="BB1005" s="34"/>
    </row>
    <row r="1006" spans="1:55" ht="12.95" customHeight="1">
      <c r="A1006" s="14"/>
      <c r="B1006" s="75"/>
      <c r="C1006" s="76"/>
      <c r="D1006" s="1770"/>
      <c r="E1006" s="1771"/>
      <c r="F1006" s="1771"/>
      <c r="G1006" s="1771"/>
      <c r="H1006" s="1771"/>
      <c r="I1006" s="1771"/>
      <c r="J1006" s="1771"/>
      <c r="K1006" s="1771"/>
      <c r="L1006" s="1771"/>
      <c r="M1006" s="1771"/>
      <c r="N1006" s="1771"/>
      <c r="O1006" s="1771"/>
      <c r="P1006" s="1771"/>
      <c r="Q1006" s="1771"/>
      <c r="R1006" s="1771"/>
      <c r="S1006" s="1771"/>
      <c r="T1006" s="1771"/>
      <c r="U1006" s="1771"/>
      <c r="V1006" s="1771"/>
      <c r="W1006" s="1771"/>
      <c r="X1006" s="1771"/>
      <c r="Y1006" s="1771"/>
      <c r="Z1006" s="1771"/>
      <c r="AA1006" s="1771"/>
      <c r="AB1006" s="1771"/>
      <c r="AC1006" s="1771"/>
      <c r="AD1006" s="1771"/>
      <c r="AE1006" s="1772"/>
      <c r="AF1006" s="77"/>
      <c r="AG1006" s="7"/>
      <c r="AH1006" s="7"/>
      <c r="AI1006" s="78"/>
      <c r="AJ1006" s="1730"/>
      <c r="AK1006" s="1731"/>
      <c r="AL1006" s="1731"/>
      <c r="AM1006" s="1731"/>
      <c r="AN1006" s="1731"/>
      <c r="AO1006" s="1731"/>
      <c r="AP1006" s="1731"/>
      <c r="AQ1006" s="1732"/>
      <c r="AR1006" s="68"/>
      <c r="AS1006" s="68"/>
      <c r="AT1006" s="68"/>
      <c r="AU1006" s="68"/>
      <c r="AV1006" s="68"/>
      <c r="AW1006" s="68"/>
      <c r="AX1006" s="68"/>
      <c r="AY1006" s="913">
        <f>ROUNDDOWN(X1052/I1052,2)</f>
        <v>0.1</v>
      </c>
      <c r="AZ1006" s="34"/>
      <c r="BB1006" s="34"/>
    </row>
    <row r="1007" spans="1:55" ht="12.95" customHeight="1">
      <c r="A1007" s="14"/>
      <c r="B1007" s="255"/>
      <c r="C1007" s="80" t="s">
        <v>673</v>
      </c>
      <c r="D1007" s="1764" t="s">
        <v>1685</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86"/>
      <c r="AG1007" s="1750" t="s">
        <v>670</v>
      </c>
      <c r="AH1007" s="1751"/>
      <c r="AI1007" s="87"/>
      <c r="AJ1007" s="1724">
        <f>ROUND(IF(AG1007="yes",AJ992*0.1,0),0)</f>
        <v>0</v>
      </c>
      <c r="AK1007" s="1725"/>
      <c r="AL1007" s="1725"/>
      <c r="AM1007" s="1725"/>
      <c r="AN1007" s="1725"/>
      <c r="AO1007" s="1725"/>
      <c r="AP1007" s="1725"/>
      <c r="AQ1007" s="1726"/>
      <c r="AR1007" s="68"/>
      <c r="AS1007" s="68"/>
      <c r="AT1007" s="68"/>
      <c r="AU1007" s="68"/>
      <c r="AV1007" s="68"/>
      <c r="AW1007" s="68"/>
      <c r="AX1007" s="68"/>
      <c r="BB1007" s="34"/>
    </row>
    <row r="1008" spans="1:55" ht="12.95" customHeight="1">
      <c r="A1008" s="14"/>
      <c r="B1008" s="73"/>
      <c r="C1008" s="74"/>
      <c r="D1008" s="1695" t="s">
        <v>1287</v>
      </c>
      <c r="E1008" s="1696"/>
      <c r="F1008" s="1696"/>
      <c r="G1008" s="1696"/>
      <c r="H1008" s="1696"/>
      <c r="I1008" s="1696"/>
      <c r="J1008" s="1696"/>
      <c r="K1008" s="1696"/>
      <c r="L1008" s="1696"/>
      <c r="M1008" s="1696"/>
      <c r="N1008" s="1696"/>
      <c r="O1008" s="1696"/>
      <c r="P1008" s="1696"/>
      <c r="Q1008" s="1696"/>
      <c r="R1008" s="1696"/>
      <c r="S1008" s="1696"/>
      <c r="T1008" s="1696"/>
      <c r="U1008" s="1696"/>
      <c r="V1008" s="1696"/>
      <c r="W1008" s="1696"/>
      <c r="X1008" s="1696"/>
      <c r="Y1008" s="1696"/>
      <c r="Z1008" s="1696"/>
      <c r="AA1008" s="1696"/>
      <c r="AB1008" s="1696"/>
      <c r="AC1008" s="1696"/>
      <c r="AD1008" s="1696"/>
      <c r="AE1008" s="1697"/>
      <c r="AF1008" s="73"/>
      <c r="AI1008" s="83"/>
      <c r="AJ1008" s="1727"/>
      <c r="AK1008" s="1728"/>
      <c r="AL1008" s="1728"/>
      <c r="AM1008" s="1728"/>
      <c r="AN1008" s="1728"/>
      <c r="AO1008" s="1728"/>
      <c r="AP1008" s="1728"/>
      <c r="AQ1008" s="1729"/>
      <c r="AR1008" s="68"/>
      <c r="AS1008" s="68"/>
      <c r="AT1008" s="68"/>
      <c r="AU1008" s="68"/>
      <c r="AV1008" s="68"/>
      <c r="AW1008" s="68"/>
      <c r="AX1008" s="68"/>
    </row>
    <row r="1009" spans="1:52" ht="12.95" customHeight="1">
      <c r="A1009" s="14"/>
      <c r="B1009" s="73"/>
      <c r="C1009" s="74"/>
      <c r="D1009" s="1695"/>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7"/>
      <c r="AF1009" s="73"/>
      <c r="AG1009" s="14"/>
      <c r="AH1009" s="14"/>
      <c r="AI1009" s="83"/>
      <c r="AJ1009" s="1727"/>
      <c r="AK1009" s="1728"/>
      <c r="AL1009" s="1728"/>
      <c r="AM1009" s="1728"/>
      <c r="AN1009" s="1728"/>
      <c r="AO1009" s="1728"/>
      <c r="AP1009" s="1728"/>
      <c r="AQ1009" s="1729"/>
      <c r="AR1009" s="68"/>
      <c r="AS1009" s="68"/>
      <c r="AT1009" s="68"/>
      <c r="AU1009" s="68"/>
      <c r="AV1009" s="68"/>
      <c r="AW1009" s="68"/>
      <c r="AX1009" s="68"/>
    </row>
    <row r="1010" spans="1:52" ht="12.95" customHeight="1">
      <c r="A1010" s="14"/>
      <c r="B1010" s="85"/>
      <c r="C1010" s="76"/>
      <c r="D1010" s="1742"/>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7"/>
      <c r="AG1010" s="7"/>
      <c r="AH1010" s="7"/>
      <c r="AI1010" s="78"/>
      <c r="AJ1010" s="1730"/>
      <c r="AK1010" s="1731"/>
      <c r="AL1010" s="1731"/>
      <c r="AM1010" s="1731"/>
      <c r="AN1010" s="1731"/>
      <c r="AO1010" s="1731"/>
      <c r="AP1010" s="1731"/>
      <c r="AQ1010" s="1732"/>
      <c r="AR1010" s="68"/>
      <c r="AS1010" s="68"/>
      <c r="AT1010" s="68"/>
      <c r="AU1010" s="68"/>
      <c r="AV1010" s="68"/>
      <c r="AW1010" s="68"/>
      <c r="AX1010" s="68"/>
    </row>
    <row r="1011" spans="1:52" ht="12.95" customHeight="1">
      <c r="A1011" s="14"/>
      <c r="B1011" s="79"/>
      <c r="C1011" s="80" t="s">
        <v>212</v>
      </c>
      <c r="D1011" s="1764" t="s">
        <v>1289</v>
      </c>
      <c r="E1011" s="1765"/>
      <c r="F1011" s="1765"/>
      <c r="G1011" s="1765"/>
      <c r="H1011" s="1765"/>
      <c r="I1011" s="1765"/>
      <c r="J1011" s="1765"/>
      <c r="K1011" s="1765"/>
      <c r="L1011" s="1765"/>
      <c r="M1011" s="1765"/>
      <c r="N1011" s="1765"/>
      <c r="O1011" s="1765"/>
      <c r="P1011" s="1765"/>
      <c r="Q1011" s="1765"/>
      <c r="R1011" s="1765"/>
      <c r="S1011" s="1765"/>
      <c r="T1011" s="1765"/>
      <c r="U1011" s="1765"/>
      <c r="V1011" s="1765"/>
      <c r="W1011" s="1765"/>
      <c r="X1011" s="1765"/>
      <c r="Y1011" s="1765"/>
      <c r="Z1011" s="1765"/>
      <c r="AA1011" s="1765"/>
      <c r="AB1011" s="1765"/>
      <c r="AC1011" s="1765"/>
      <c r="AD1011" s="1765"/>
      <c r="AE1011" s="1766"/>
      <c r="AF1011" s="79"/>
      <c r="AG1011" s="1750" t="s">
        <v>670</v>
      </c>
      <c r="AH1011" s="1751"/>
      <c r="AI1011" s="87"/>
      <c r="AJ1011" s="1724">
        <f>ROUND(IF(AG1011="yes",AJ992*0.02,0),0)</f>
        <v>0</v>
      </c>
      <c r="AK1011" s="1725"/>
      <c r="AL1011" s="1725"/>
      <c r="AM1011" s="1725"/>
      <c r="AN1011" s="1725"/>
      <c r="AO1011" s="1725"/>
      <c r="AP1011" s="1725"/>
      <c r="AQ1011" s="1726"/>
      <c r="AR1011" s="68"/>
      <c r="AS1011" s="68"/>
      <c r="AT1011" s="68"/>
      <c r="AU1011" s="68"/>
      <c r="AV1011" s="68"/>
      <c r="AW1011" s="68"/>
      <c r="AX1011" s="68"/>
    </row>
    <row r="1012" spans="1:52" ht="14.25" customHeight="1">
      <c r="A1012" s="14"/>
      <c r="B1012" s="73"/>
      <c r="C1012" s="74"/>
      <c r="D1012" s="1742" t="s">
        <v>1290</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7"/>
      <c r="AG1012" s="7"/>
      <c r="AH1012" s="7"/>
      <c r="AI1012" s="78"/>
      <c r="AJ1012" s="1730"/>
      <c r="AK1012" s="1731"/>
      <c r="AL1012" s="1731"/>
      <c r="AM1012" s="1731"/>
      <c r="AN1012" s="1731"/>
      <c r="AO1012" s="1731"/>
      <c r="AP1012" s="1731"/>
      <c r="AQ1012" s="1732"/>
      <c r="AR1012" s="68"/>
      <c r="AS1012" s="68"/>
      <c r="AT1012" s="68"/>
      <c r="AU1012" s="68"/>
      <c r="AV1012" s="68"/>
      <c r="AW1012" s="68"/>
      <c r="AX1012" s="3" t="s">
        <v>1843</v>
      </c>
      <c r="AZ1012" s="3" t="s">
        <v>2610</v>
      </c>
    </row>
    <row r="1013" spans="1:52" ht="12.95" customHeight="1">
      <c r="A1013" s="14"/>
      <c r="B1013" s="79"/>
      <c r="C1013" s="80" t="s">
        <v>215</v>
      </c>
      <c r="D1013" s="1764" t="s">
        <v>1291</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79"/>
      <c r="AG1013" s="1750" t="s">
        <v>670</v>
      </c>
      <c r="AH1013" s="1751"/>
      <c r="AI1013" s="79"/>
      <c r="AJ1013" s="1724">
        <f>ROUND(IF(AG1013="yes",AJ992*0.02,0),0)</f>
        <v>0</v>
      </c>
      <c r="AK1013" s="1725"/>
      <c r="AL1013" s="1725"/>
      <c r="AM1013" s="1725"/>
      <c r="AN1013" s="1725"/>
      <c r="AO1013" s="1725"/>
      <c r="AP1013" s="1725"/>
      <c r="AQ1013" s="1726"/>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5" t="s">
        <v>1292</v>
      </c>
      <c r="E1014" s="1696"/>
      <c r="F1014" s="1696"/>
      <c r="G1014" s="1696"/>
      <c r="H1014" s="1696"/>
      <c r="I1014" s="1696"/>
      <c r="J1014" s="1696"/>
      <c r="K1014" s="1696"/>
      <c r="L1014" s="1696"/>
      <c r="M1014" s="1696"/>
      <c r="N1014" s="1696"/>
      <c r="O1014" s="1696"/>
      <c r="P1014" s="1696"/>
      <c r="Q1014" s="1696"/>
      <c r="R1014" s="1696"/>
      <c r="S1014" s="1696"/>
      <c r="T1014" s="1696"/>
      <c r="U1014" s="1696"/>
      <c r="V1014" s="1696"/>
      <c r="W1014" s="1696"/>
      <c r="X1014" s="1696"/>
      <c r="Y1014" s="1696"/>
      <c r="Z1014" s="1696"/>
      <c r="AA1014" s="1696"/>
      <c r="AB1014" s="1696"/>
      <c r="AC1014" s="1696"/>
      <c r="AD1014" s="1696"/>
      <c r="AE1014" s="1697"/>
      <c r="AF1014" s="1848" t="str">
        <f>IF(AND(AG1013="yes",T212&lt;&gt;1),"The project may not be eligible for this boost","")</f>
        <v/>
      </c>
      <c r="AG1014" s="1849"/>
      <c r="AH1014" s="1849"/>
      <c r="AI1014" s="1850"/>
      <c r="AJ1014" s="1727"/>
      <c r="AK1014" s="1728"/>
      <c r="AL1014" s="1728"/>
      <c r="AM1014" s="1728"/>
      <c r="AN1014" s="1728"/>
      <c r="AO1014" s="1728"/>
      <c r="AP1014" s="1728"/>
      <c r="AQ1014" s="1729"/>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2"/>
      <c r="E1015" s="1743"/>
      <c r="F1015" s="1743"/>
      <c r="G1015" s="1743"/>
      <c r="H1015" s="1743"/>
      <c r="I1015" s="1743"/>
      <c r="J1015" s="1743"/>
      <c r="K1015" s="1743"/>
      <c r="L1015" s="1743"/>
      <c r="M1015" s="1743"/>
      <c r="N1015" s="1743"/>
      <c r="O1015" s="1743"/>
      <c r="P1015" s="1743"/>
      <c r="Q1015" s="1743"/>
      <c r="R1015" s="1743"/>
      <c r="S1015" s="1743"/>
      <c r="T1015" s="1743"/>
      <c r="U1015" s="1743"/>
      <c r="V1015" s="1743"/>
      <c r="W1015" s="1743"/>
      <c r="X1015" s="1743"/>
      <c r="Y1015" s="1743"/>
      <c r="Z1015" s="1743"/>
      <c r="AA1015" s="1743"/>
      <c r="AB1015" s="1743"/>
      <c r="AC1015" s="1743"/>
      <c r="AD1015" s="1743"/>
      <c r="AE1015" s="1744"/>
      <c r="AF1015" s="1851"/>
      <c r="AG1015" s="1852"/>
      <c r="AH1015" s="1852"/>
      <c r="AI1015" s="1853"/>
      <c r="AJ1015" s="1730"/>
      <c r="AK1015" s="1731"/>
      <c r="AL1015" s="1731"/>
      <c r="AM1015" s="1731"/>
      <c r="AN1015" s="1731"/>
      <c r="AO1015" s="1731"/>
      <c r="AP1015" s="1731"/>
      <c r="AQ1015" s="1732"/>
      <c r="AR1015" s="68"/>
      <c r="AS1015" s="68"/>
      <c r="AT1015" s="68"/>
      <c r="AU1015" s="68"/>
      <c r="AV1015" s="68"/>
      <c r="AW1015" s="68"/>
      <c r="AX1015" s="3">
        <v>3</v>
      </c>
      <c r="AY1015" s="200">
        <f t="shared" si="53"/>
        <v>0</v>
      </c>
      <c r="AZ1015" s="1255">
        <v>0.05</v>
      </c>
    </row>
    <row r="1016" spans="1:52" ht="12.95" customHeight="1">
      <c r="A1016" s="14"/>
      <c r="B1016" s="79"/>
      <c r="C1016" s="80" t="s">
        <v>218</v>
      </c>
      <c r="D1016" s="1733" t="s">
        <v>2239</v>
      </c>
      <c r="E1016" s="1734"/>
      <c r="F1016" s="1734"/>
      <c r="G1016" s="1734"/>
      <c r="H1016" s="1734"/>
      <c r="I1016" s="1734"/>
      <c r="J1016" s="1734"/>
      <c r="K1016" s="1734"/>
      <c r="L1016" s="1734"/>
      <c r="M1016" s="1734"/>
      <c r="N1016" s="1734"/>
      <c r="O1016" s="1734"/>
      <c r="P1016" s="1734"/>
      <c r="Q1016" s="1734"/>
      <c r="R1016" s="1734"/>
      <c r="S1016" s="1734"/>
      <c r="T1016" s="1734"/>
      <c r="U1016" s="1734"/>
      <c r="V1016" s="1734"/>
      <c r="W1016" s="1734"/>
      <c r="X1016" s="1734"/>
      <c r="Y1016" s="1734"/>
      <c r="Z1016" s="1734"/>
      <c r="AA1016" s="1734"/>
      <c r="AB1016" s="1734"/>
      <c r="AC1016" s="1734"/>
      <c r="AD1016" s="1734"/>
      <c r="AE1016" s="1735"/>
      <c r="AF1016" s="79"/>
      <c r="AG1016" s="1750" t="s">
        <v>670</v>
      </c>
      <c r="AH1016" s="1751"/>
      <c r="AI1016" s="87"/>
      <c r="AJ1016" s="1724">
        <f>IF(AG1016="yes",AJ992*AY1024,0)</f>
        <v>0</v>
      </c>
      <c r="AK1016" s="1725"/>
      <c r="AL1016" s="1725"/>
      <c r="AM1016" s="1725"/>
      <c r="AN1016" s="1725"/>
      <c r="AO1016" s="1725"/>
      <c r="AP1016" s="1725"/>
      <c r="AQ1016" s="1726"/>
      <c r="AR1016" s="68"/>
      <c r="AS1016" s="68"/>
      <c r="AT1016" s="68"/>
      <c r="AU1016" s="68"/>
      <c r="AV1016" s="68"/>
      <c r="AW1016" s="68"/>
      <c r="AX1016" s="3">
        <v>4</v>
      </c>
      <c r="AY1016" s="200">
        <f t="shared" si="53"/>
        <v>0</v>
      </c>
      <c r="AZ1016" s="1255">
        <v>0.02</v>
      </c>
    </row>
    <row r="1017" spans="1:52" ht="12.95" customHeight="1">
      <c r="A1017" s="14"/>
      <c r="B1017" s="73"/>
      <c r="C1017" s="74"/>
      <c r="D1017" s="1695" t="s">
        <v>1293</v>
      </c>
      <c r="E1017" s="1696"/>
      <c r="F1017" s="1696"/>
      <c r="G1017" s="1696"/>
      <c r="H1017" s="1696"/>
      <c r="I1017" s="1696"/>
      <c r="J1017" s="1696"/>
      <c r="K1017" s="1696"/>
      <c r="L1017" s="1696"/>
      <c r="M1017" s="1696"/>
      <c r="N1017" s="1696"/>
      <c r="O1017" s="1696"/>
      <c r="P1017" s="1696"/>
      <c r="Q1017" s="1696"/>
      <c r="R1017" s="1696"/>
      <c r="S1017" s="1696"/>
      <c r="T1017" s="1696"/>
      <c r="U1017" s="1696"/>
      <c r="V1017" s="1696"/>
      <c r="W1017" s="1696"/>
      <c r="X1017" s="1696"/>
      <c r="Y1017" s="1696"/>
      <c r="Z1017" s="1696"/>
      <c r="AA1017" s="1696"/>
      <c r="AB1017" s="1696"/>
      <c r="AC1017" s="1696"/>
      <c r="AD1017" s="1696"/>
      <c r="AE1017" s="1697"/>
      <c r="AF1017" s="1842" t="str">
        <f>IF(AND(AG1016="Yes",AY1024=0),AY1027,"")</f>
        <v/>
      </c>
      <c r="AG1017" s="1843"/>
      <c r="AH1017" s="1843"/>
      <c r="AI1017" s="1844"/>
      <c r="AJ1017" s="1727"/>
      <c r="AK1017" s="1728"/>
      <c r="AL1017" s="1728"/>
      <c r="AM1017" s="1728"/>
      <c r="AN1017" s="1728"/>
      <c r="AO1017" s="1728"/>
      <c r="AP1017" s="1728"/>
      <c r="AQ1017" s="1729"/>
      <c r="AR1017" s="68"/>
      <c r="AS1017" s="68"/>
      <c r="AT1017" s="68"/>
      <c r="AU1017" s="68"/>
      <c r="AV1017" s="68"/>
      <c r="AW1017" s="68"/>
      <c r="AX1017" s="3">
        <v>5</v>
      </c>
      <c r="AY1017" s="200">
        <f t="shared" si="53"/>
        <v>0</v>
      </c>
      <c r="AZ1017" s="1255">
        <v>0.04</v>
      </c>
    </row>
    <row r="1018" spans="1:52" ht="12.95" customHeight="1">
      <c r="A1018" s="14"/>
      <c r="B1018" s="73"/>
      <c r="C1018" s="74"/>
      <c r="D1018" s="1695"/>
      <c r="E1018" s="1696"/>
      <c r="F1018" s="1696"/>
      <c r="G1018" s="1696"/>
      <c r="H1018" s="1696"/>
      <c r="I1018" s="1696"/>
      <c r="J1018" s="1696"/>
      <c r="K1018" s="1696"/>
      <c r="L1018" s="1696"/>
      <c r="M1018" s="1696"/>
      <c r="N1018" s="1696"/>
      <c r="O1018" s="1696"/>
      <c r="P1018" s="1696"/>
      <c r="Q1018" s="1696"/>
      <c r="R1018" s="1696"/>
      <c r="S1018" s="1696"/>
      <c r="T1018" s="1696"/>
      <c r="U1018" s="1696"/>
      <c r="V1018" s="1696"/>
      <c r="W1018" s="1696"/>
      <c r="X1018" s="1696"/>
      <c r="Y1018" s="1696"/>
      <c r="Z1018" s="1696"/>
      <c r="AA1018" s="1696"/>
      <c r="AB1018" s="1696"/>
      <c r="AC1018" s="1696"/>
      <c r="AD1018" s="1696"/>
      <c r="AE1018" s="1697"/>
      <c r="AF1018" s="1842"/>
      <c r="AG1018" s="1843"/>
      <c r="AH1018" s="1843"/>
      <c r="AI1018" s="1844"/>
      <c r="AJ1018" s="1727"/>
      <c r="AK1018" s="1728"/>
      <c r="AL1018" s="1728"/>
      <c r="AM1018" s="1728"/>
      <c r="AN1018" s="1728"/>
      <c r="AO1018" s="1728"/>
      <c r="AP1018" s="1728"/>
      <c r="AQ1018" s="1729"/>
      <c r="AR1018" s="68"/>
      <c r="AS1018" s="68"/>
      <c r="AT1018" s="68"/>
      <c r="AU1018" s="68"/>
      <c r="AV1018" s="68"/>
      <c r="AW1018" s="68"/>
      <c r="AX1018" s="3">
        <v>6</v>
      </c>
      <c r="AY1018" s="200">
        <f t="shared" si="53"/>
        <v>0</v>
      </c>
      <c r="AZ1018" s="1255">
        <v>0.04</v>
      </c>
    </row>
    <row r="1019" spans="1:52" ht="12.95" customHeight="1">
      <c r="A1019" s="14"/>
      <c r="B1019" s="81"/>
      <c r="C1019" s="82"/>
      <c r="D1019" s="1742"/>
      <c r="E1019" s="1743"/>
      <c r="F1019" s="1743"/>
      <c r="G1019" s="1743"/>
      <c r="H1019" s="1743"/>
      <c r="I1019" s="1743"/>
      <c r="J1019" s="1743"/>
      <c r="K1019" s="1743"/>
      <c r="L1019" s="1743"/>
      <c r="M1019" s="1743"/>
      <c r="N1019" s="1743"/>
      <c r="O1019" s="1743"/>
      <c r="P1019" s="1743"/>
      <c r="Q1019" s="1743"/>
      <c r="R1019" s="1743"/>
      <c r="S1019" s="1743"/>
      <c r="T1019" s="1743"/>
      <c r="U1019" s="1743"/>
      <c r="V1019" s="1743"/>
      <c r="W1019" s="1743"/>
      <c r="X1019" s="1743"/>
      <c r="Y1019" s="1743"/>
      <c r="Z1019" s="1743"/>
      <c r="AA1019" s="1743"/>
      <c r="AB1019" s="1743"/>
      <c r="AC1019" s="1743"/>
      <c r="AD1019" s="1743"/>
      <c r="AE1019" s="1744"/>
      <c r="AF1019" s="1845"/>
      <c r="AG1019" s="1846"/>
      <c r="AH1019" s="1846"/>
      <c r="AI1019" s="1847"/>
      <c r="AJ1019" s="1730"/>
      <c r="AK1019" s="1731"/>
      <c r="AL1019" s="1731"/>
      <c r="AM1019" s="1731"/>
      <c r="AN1019" s="1731"/>
      <c r="AO1019" s="1731"/>
      <c r="AP1019" s="1731"/>
      <c r="AQ1019" s="1732"/>
      <c r="AR1019" s="68"/>
      <c r="AS1019" s="68"/>
      <c r="AT1019" s="68"/>
      <c r="AU1019" s="68"/>
      <c r="AV1019" s="68"/>
      <c r="AW1019" s="68"/>
      <c r="AX1019" s="3">
        <v>7</v>
      </c>
      <c r="AY1019" s="200">
        <f t="shared" si="53"/>
        <v>0</v>
      </c>
      <c r="AZ1019" s="1255">
        <v>0.01</v>
      </c>
    </row>
    <row r="1020" spans="1:52" ht="12.95" customHeight="1">
      <c r="A1020" s="14"/>
      <c r="B1020" s="79"/>
      <c r="C1020" s="80" t="s">
        <v>223</v>
      </c>
      <c r="D1020" s="1812" t="s">
        <v>1294</v>
      </c>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79"/>
      <c r="AG1020" s="1750" t="s">
        <v>670</v>
      </c>
      <c r="AH1020" s="1751"/>
      <c r="AI1020" s="87"/>
      <c r="AJ1020" s="1724">
        <f>ROUND(IF(AND(AG1020="Yes",J1024&lt;&gt;"N/A",AF1023&lt;&gt;""),MIN(AF1023,(0.15*AJ992)),0),0)</f>
        <v>0</v>
      </c>
      <c r="AK1020" s="1725"/>
      <c r="AL1020" s="1725"/>
      <c r="AM1020" s="1725"/>
      <c r="AN1020" s="1725"/>
      <c r="AO1020" s="1725"/>
      <c r="AP1020" s="1725"/>
      <c r="AQ1020" s="1726"/>
      <c r="AR1020" s="68"/>
      <c r="AS1020" s="68"/>
      <c r="AT1020" s="68"/>
      <c r="AU1020" s="68"/>
      <c r="AV1020" s="68"/>
      <c r="AW1020" s="68"/>
      <c r="AX1020" s="3">
        <v>8</v>
      </c>
      <c r="AY1020" s="200">
        <f t="shared" si="53"/>
        <v>0</v>
      </c>
      <c r="AZ1020" s="1255">
        <v>0.01</v>
      </c>
    </row>
    <row r="1021" spans="1:52" ht="12.95" customHeight="1">
      <c r="A1021" s="14"/>
      <c r="B1021" s="81"/>
      <c r="C1021" s="84"/>
      <c r="D1021" s="1815"/>
      <c r="E1021" s="1816"/>
      <c r="F1021" s="1816"/>
      <c r="G1021" s="1816"/>
      <c r="H1021" s="1816"/>
      <c r="I1021" s="1816"/>
      <c r="J1021" s="1816"/>
      <c r="K1021" s="1816"/>
      <c r="L1021" s="1816"/>
      <c r="M1021" s="1816"/>
      <c r="N1021" s="1816"/>
      <c r="O1021" s="1816"/>
      <c r="P1021" s="1816"/>
      <c r="Q1021" s="1816"/>
      <c r="R1021" s="1816"/>
      <c r="S1021" s="1816"/>
      <c r="T1021" s="1816"/>
      <c r="U1021" s="1816"/>
      <c r="V1021" s="1816"/>
      <c r="W1021" s="1816"/>
      <c r="X1021" s="1816"/>
      <c r="Y1021" s="1816"/>
      <c r="Z1021" s="1816"/>
      <c r="AA1021" s="1816"/>
      <c r="AB1021" s="1816"/>
      <c r="AC1021" s="1816"/>
      <c r="AD1021" s="1816"/>
      <c r="AE1021" s="1817"/>
      <c r="AF1021" s="1829" t="str">
        <f>IF(AG1020="yes","Please Select Type and Enter Amount:","")</f>
        <v/>
      </c>
      <c r="AG1021" s="1830"/>
      <c r="AH1021" s="1830"/>
      <c r="AI1021" s="1831"/>
      <c r="AJ1021" s="1727"/>
      <c r="AK1021" s="1728"/>
      <c r="AL1021" s="1728"/>
      <c r="AM1021" s="1728"/>
      <c r="AN1021" s="1728"/>
      <c r="AO1021" s="1728"/>
      <c r="AP1021" s="1728"/>
      <c r="AQ1021" s="1729"/>
      <c r="AR1021" s="68"/>
      <c r="AS1021" s="68"/>
      <c r="AT1021" s="68"/>
      <c r="AU1021" s="68"/>
      <c r="AV1021" s="68"/>
      <c r="AW1021" s="68"/>
      <c r="AX1021" s="3">
        <v>9</v>
      </c>
      <c r="AY1021" s="200">
        <f t="shared" si="53"/>
        <v>0</v>
      </c>
      <c r="AZ1021" s="1255">
        <v>0.01</v>
      </c>
    </row>
    <row r="1022" spans="1:52" ht="12.95" customHeight="1">
      <c r="A1022" s="14"/>
      <c r="B1022" s="81"/>
      <c r="C1022" s="84"/>
      <c r="D1022" s="1695" t="s">
        <v>1295</v>
      </c>
      <c r="E1022" s="1696"/>
      <c r="F1022" s="1696"/>
      <c r="G1022" s="1696"/>
      <c r="H1022" s="1696"/>
      <c r="I1022" s="1696"/>
      <c r="J1022" s="1696"/>
      <c r="K1022" s="1696"/>
      <c r="L1022" s="1696"/>
      <c r="M1022" s="1696"/>
      <c r="N1022" s="1696"/>
      <c r="O1022" s="1696"/>
      <c r="P1022" s="1696"/>
      <c r="Q1022" s="1696"/>
      <c r="R1022" s="1696"/>
      <c r="S1022" s="1696"/>
      <c r="T1022" s="1696"/>
      <c r="U1022" s="1696"/>
      <c r="V1022" s="1696"/>
      <c r="W1022" s="1696"/>
      <c r="X1022" s="1696"/>
      <c r="Y1022" s="1696"/>
      <c r="Z1022" s="1696"/>
      <c r="AA1022" s="1696"/>
      <c r="AB1022" s="1696"/>
      <c r="AC1022" s="1696"/>
      <c r="AD1022" s="1696"/>
      <c r="AE1022" s="1697"/>
      <c r="AF1022" s="1829"/>
      <c r="AG1022" s="1830"/>
      <c r="AH1022" s="1830"/>
      <c r="AI1022" s="1831"/>
      <c r="AJ1022" s="1727"/>
      <c r="AK1022" s="1728"/>
      <c r="AL1022" s="1728"/>
      <c r="AM1022" s="1728"/>
      <c r="AN1022" s="1728"/>
      <c r="AO1022" s="1728"/>
      <c r="AP1022" s="1728"/>
      <c r="AQ1022" s="1729"/>
      <c r="AR1022" s="68"/>
      <c r="AS1022" s="68"/>
      <c r="AT1022" s="68"/>
      <c r="AU1022" s="68"/>
      <c r="AV1022" s="68"/>
      <c r="AW1022" s="68"/>
      <c r="AX1022" s="3">
        <v>10</v>
      </c>
      <c r="AY1022" s="200">
        <f t="shared" si="53"/>
        <v>0</v>
      </c>
      <c r="AZ1022" s="1255">
        <v>0.02</v>
      </c>
    </row>
    <row r="1023" spans="1:52" ht="12.95" customHeight="1">
      <c r="A1023" s="14"/>
      <c r="B1023" s="81"/>
      <c r="C1023" s="84"/>
      <c r="D1023" s="1695"/>
      <c r="E1023" s="1696"/>
      <c r="F1023" s="1696"/>
      <c r="G1023" s="1696"/>
      <c r="H1023" s="1696"/>
      <c r="I1023" s="1696"/>
      <c r="J1023" s="1696"/>
      <c r="K1023" s="1696"/>
      <c r="L1023" s="1696"/>
      <c r="M1023" s="1696"/>
      <c r="N1023" s="1696"/>
      <c r="O1023" s="1696"/>
      <c r="P1023" s="1696"/>
      <c r="Q1023" s="1696"/>
      <c r="R1023" s="1696"/>
      <c r="S1023" s="1696"/>
      <c r="T1023" s="1696"/>
      <c r="U1023" s="1696"/>
      <c r="V1023" s="1696"/>
      <c r="W1023" s="1696"/>
      <c r="X1023" s="1696"/>
      <c r="Y1023" s="1696"/>
      <c r="Z1023" s="1696"/>
      <c r="AA1023" s="1696"/>
      <c r="AB1023" s="1696"/>
      <c r="AC1023" s="1696"/>
      <c r="AD1023" s="1696"/>
      <c r="AE1023" s="1697"/>
      <c r="AF1023" s="1773"/>
      <c r="AG1023" s="1773"/>
      <c r="AH1023" s="1773"/>
      <c r="AI1023" s="1773"/>
      <c r="AJ1023" s="1727"/>
      <c r="AK1023" s="1728"/>
      <c r="AL1023" s="1728"/>
      <c r="AM1023" s="1728"/>
      <c r="AN1023" s="1728"/>
      <c r="AO1023" s="1728"/>
      <c r="AP1023" s="1728"/>
      <c r="AQ1023" s="1729"/>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1" t="s">
        <v>592</v>
      </c>
      <c r="K1024" s="1822"/>
      <c r="L1024" s="1822"/>
      <c r="M1024" s="1822"/>
      <c r="N1024" s="1822"/>
      <c r="O1024" s="1822"/>
      <c r="P1024" s="1822"/>
      <c r="Q1024" s="1822"/>
      <c r="R1024" s="1822"/>
      <c r="S1024" s="1822"/>
      <c r="T1024" s="1822"/>
      <c r="U1024" s="1822"/>
      <c r="V1024" s="1822"/>
      <c r="W1024" s="1822"/>
      <c r="X1024" s="1822"/>
      <c r="Y1024" s="1822"/>
      <c r="Z1024" s="1822"/>
      <c r="AA1024" s="1822"/>
      <c r="AB1024" s="1822"/>
      <c r="AC1024" s="1822"/>
      <c r="AD1024" s="1822"/>
      <c r="AE1024" s="1823"/>
      <c r="AF1024" s="1773"/>
      <c r="AG1024" s="1773"/>
      <c r="AH1024" s="1773"/>
      <c r="AI1024" s="1773"/>
      <c r="AJ1024" s="1730"/>
      <c r="AK1024" s="1731"/>
      <c r="AL1024" s="1731"/>
      <c r="AM1024" s="1731"/>
      <c r="AN1024" s="1731"/>
      <c r="AO1024" s="1731"/>
      <c r="AP1024" s="1731"/>
      <c r="AQ1024" s="1732"/>
      <c r="AR1024" s="68"/>
      <c r="AS1024" s="68"/>
      <c r="AT1024" s="68"/>
      <c r="AU1024" s="68"/>
      <c r="AV1024" s="68"/>
      <c r="AW1024" s="68"/>
      <c r="AX1024" s="1032" t="s">
        <v>2609</v>
      </c>
      <c r="AY1024" s="201">
        <f>IF(SUM(AY1015:AY1023)&lt;=0.2,SUM(AY1015:AY1023),0.2)</f>
        <v>0</v>
      </c>
    </row>
    <row r="1025" spans="1:57" ht="12.95" customHeight="1">
      <c r="A1025" s="14"/>
      <c r="B1025" s="79"/>
      <c r="C1025" s="80" t="s">
        <v>229</v>
      </c>
      <c r="D1025" s="1764" t="s">
        <v>1296</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50" t="s">
        <v>546</v>
      </c>
      <c r="AH1025" s="1751"/>
      <c r="AI1025" s="87"/>
      <c r="AJ1025" s="1724">
        <f>ROUND(IF(AG1025="Yes",AF1027,0),0)</f>
        <v>12400000</v>
      </c>
      <c r="AK1025" s="1725"/>
      <c r="AL1025" s="1725"/>
      <c r="AM1025" s="1725"/>
      <c r="AN1025" s="1725"/>
      <c r="AO1025" s="1725"/>
      <c r="AP1025" s="1725"/>
      <c r="AQ1025" s="1726"/>
      <c r="AR1025" s="68"/>
      <c r="AS1025" s="68"/>
      <c r="AT1025" s="68"/>
      <c r="AU1025" s="68"/>
      <c r="AV1025" s="68"/>
      <c r="AW1025" s="68"/>
      <c r="AX1025" s="68"/>
      <c r="AY1025" s="68"/>
    </row>
    <row r="1026" spans="1:57" ht="12.95" customHeight="1">
      <c r="A1026" s="14"/>
      <c r="B1026" s="73"/>
      <c r="C1026" s="74"/>
      <c r="D1026" s="1695" t="s">
        <v>1692</v>
      </c>
      <c r="E1026" s="1696"/>
      <c r="F1026" s="1696"/>
      <c r="G1026" s="1696"/>
      <c r="H1026" s="1696"/>
      <c r="I1026" s="1696"/>
      <c r="J1026" s="1696"/>
      <c r="K1026" s="1696"/>
      <c r="L1026" s="1696"/>
      <c r="M1026" s="1696"/>
      <c r="N1026" s="1696"/>
      <c r="O1026" s="1696"/>
      <c r="P1026" s="1696"/>
      <c r="Q1026" s="1696"/>
      <c r="R1026" s="1696"/>
      <c r="S1026" s="1696"/>
      <c r="T1026" s="1696"/>
      <c r="U1026" s="1696"/>
      <c r="V1026" s="1696"/>
      <c r="W1026" s="1696"/>
      <c r="X1026" s="1696"/>
      <c r="Y1026" s="1696"/>
      <c r="Z1026" s="1696"/>
      <c r="AA1026" s="1696"/>
      <c r="AB1026" s="1696"/>
      <c r="AC1026" s="1696"/>
      <c r="AD1026" s="1696"/>
      <c r="AE1026" s="1697"/>
      <c r="AF1026" s="1818" t="str">
        <f>IF(AG1025="yes","Enter Amount:","")</f>
        <v>Enter Amount:</v>
      </c>
      <c r="AG1026" s="1819"/>
      <c r="AH1026" s="1819"/>
      <c r="AI1026" s="1820"/>
      <c r="AJ1026" s="1727"/>
      <c r="AK1026" s="1728"/>
      <c r="AL1026" s="1728"/>
      <c r="AM1026" s="1728"/>
      <c r="AN1026" s="1728"/>
      <c r="AO1026" s="1728"/>
      <c r="AP1026" s="1728"/>
      <c r="AQ1026" s="1729"/>
      <c r="AR1026" s="68"/>
      <c r="AS1026" s="68"/>
      <c r="AT1026" s="68"/>
      <c r="AU1026" s="68"/>
      <c r="AV1026" s="68"/>
      <c r="AW1026" s="68"/>
      <c r="AX1026" s="68"/>
      <c r="AY1026" s="68"/>
    </row>
    <row r="1027" spans="1:57" ht="12.95" customHeight="1">
      <c r="A1027" s="14"/>
      <c r="B1027" s="73"/>
      <c r="C1027" s="74"/>
      <c r="D1027" s="1695"/>
      <c r="E1027" s="1696"/>
      <c r="F1027" s="1696"/>
      <c r="G1027" s="1696"/>
      <c r="H1027" s="1696"/>
      <c r="I1027" s="1696"/>
      <c r="J1027" s="1696"/>
      <c r="K1027" s="1696"/>
      <c r="L1027" s="1696"/>
      <c r="M1027" s="1696"/>
      <c r="N1027" s="1696"/>
      <c r="O1027" s="1696"/>
      <c r="P1027" s="1696"/>
      <c r="Q1027" s="1696"/>
      <c r="R1027" s="1696"/>
      <c r="S1027" s="1696"/>
      <c r="T1027" s="1696"/>
      <c r="U1027" s="1696"/>
      <c r="V1027" s="1696"/>
      <c r="W1027" s="1696"/>
      <c r="X1027" s="1696"/>
      <c r="Y1027" s="1696"/>
      <c r="Z1027" s="1696"/>
      <c r="AA1027" s="1696"/>
      <c r="AB1027" s="1696"/>
      <c r="AC1027" s="1696"/>
      <c r="AD1027" s="1696"/>
      <c r="AE1027" s="1697"/>
      <c r="AF1027" s="1773">
        <v>12400000</v>
      </c>
      <c r="AG1027" s="1773"/>
      <c r="AH1027" s="1773"/>
      <c r="AI1027" s="1773"/>
      <c r="AJ1027" s="1727"/>
      <c r="AK1027" s="1728"/>
      <c r="AL1027" s="1728"/>
      <c r="AM1027" s="1728"/>
      <c r="AN1027" s="1728"/>
      <c r="AO1027" s="1728"/>
      <c r="AP1027" s="1728"/>
      <c r="AQ1027" s="172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2"/>
      <c r="E1028" s="1743"/>
      <c r="F1028" s="1743"/>
      <c r="G1028" s="1743"/>
      <c r="H1028" s="1743"/>
      <c r="I1028" s="1743"/>
      <c r="J1028" s="1743"/>
      <c r="K1028" s="1743"/>
      <c r="L1028" s="1743"/>
      <c r="M1028" s="1743"/>
      <c r="N1028" s="1743"/>
      <c r="O1028" s="1743"/>
      <c r="P1028" s="1743"/>
      <c r="Q1028" s="1743"/>
      <c r="R1028" s="1743"/>
      <c r="S1028" s="1743"/>
      <c r="T1028" s="1743"/>
      <c r="U1028" s="1743"/>
      <c r="V1028" s="1743"/>
      <c r="W1028" s="1743"/>
      <c r="X1028" s="1743"/>
      <c r="Y1028" s="1743"/>
      <c r="Z1028" s="1743"/>
      <c r="AA1028" s="1743"/>
      <c r="AB1028" s="1743"/>
      <c r="AC1028" s="1743"/>
      <c r="AD1028" s="1743"/>
      <c r="AE1028" s="1744"/>
      <c r="AF1028" s="1773"/>
      <c r="AG1028" s="1773"/>
      <c r="AH1028" s="1773"/>
      <c r="AI1028" s="1773"/>
      <c r="AJ1028" s="1730"/>
      <c r="AK1028" s="1731"/>
      <c r="AL1028" s="1731"/>
      <c r="AM1028" s="1731"/>
      <c r="AN1028" s="1731"/>
      <c r="AO1028" s="1731"/>
      <c r="AP1028" s="1731"/>
      <c r="AQ1028" s="1732"/>
      <c r="AR1028" s="68"/>
      <c r="AS1028" s="68"/>
      <c r="AT1028" s="68"/>
      <c r="AU1028" s="68"/>
      <c r="AV1028" s="68"/>
      <c r="AW1028" s="68"/>
      <c r="AX1028" s="68"/>
      <c r="AY1028" s="68"/>
    </row>
    <row r="1029" spans="1:57" ht="12.95" customHeight="1">
      <c r="A1029" s="14"/>
      <c r="B1029" s="79"/>
      <c r="C1029" s="80" t="s">
        <v>234</v>
      </c>
      <c r="D1029" s="1733" t="s">
        <v>1297</v>
      </c>
      <c r="E1029" s="1734"/>
      <c r="F1029" s="1734"/>
      <c r="G1029" s="1734"/>
      <c r="H1029" s="1734"/>
      <c r="I1029" s="1734"/>
      <c r="J1029" s="1734"/>
      <c r="K1029" s="1734"/>
      <c r="L1029" s="1734"/>
      <c r="M1029" s="1734"/>
      <c r="N1029" s="1734"/>
      <c r="O1029" s="1734"/>
      <c r="P1029" s="1734"/>
      <c r="Q1029" s="1734"/>
      <c r="R1029" s="1734"/>
      <c r="S1029" s="1734"/>
      <c r="T1029" s="1734"/>
      <c r="U1029" s="1734"/>
      <c r="V1029" s="1734"/>
      <c r="W1029" s="1734"/>
      <c r="X1029" s="1734"/>
      <c r="Y1029" s="1734"/>
      <c r="Z1029" s="1734"/>
      <c r="AA1029" s="1734"/>
      <c r="AB1029" s="1734"/>
      <c r="AC1029" s="1734"/>
      <c r="AD1029" s="1734"/>
      <c r="AE1029" s="1735"/>
      <c r="AF1029" s="79"/>
      <c r="AG1029" s="1750" t="s">
        <v>670</v>
      </c>
      <c r="AH1029" s="1751"/>
      <c r="AI1029" s="87"/>
      <c r="AJ1029" s="1724">
        <f>ROUND(IF(AG1029="yes",(AJ992*0.1),0),0)</f>
        <v>0</v>
      </c>
      <c r="AK1029" s="1725"/>
      <c r="AL1029" s="1725"/>
      <c r="AM1029" s="1725"/>
      <c r="AN1029" s="1725"/>
      <c r="AO1029" s="1725"/>
      <c r="AP1029" s="1725"/>
      <c r="AQ1029" s="1726"/>
      <c r="AR1029" s="68"/>
      <c r="AS1029" s="68"/>
      <c r="AT1029" s="68"/>
      <c r="AU1029" s="68"/>
      <c r="AV1029" s="68"/>
      <c r="AW1029" s="68"/>
      <c r="AX1029" s="68"/>
      <c r="AY1029" s="68"/>
    </row>
    <row r="1030" spans="1:57" ht="12.95" customHeight="1">
      <c r="A1030" s="14"/>
      <c r="B1030" s="73"/>
      <c r="C1030" s="74"/>
      <c r="D1030" s="1695" t="s">
        <v>1298</v>
      </c>
      <c r="E1030" s="1696"/>
      <c r="F1030" s="1696"/>
      <c r="G1030" s="1696"/>
      <c r="H1030" s="1696"/>
      <c r="I1030" s="1696"/>
      <c r="J1030" s="1696"/>
      <c r="K1030" s="1696"/>
      <c r="L1030" s="1696"/>
      <c r="M1030" s="1696"/>
      <c r="N1030" s="1696"/>
      <c r="O1030" s="1696"/>
      <c r="P1030" s="1696"/>
      <c r="Q1030" s="1696"/>
      <c r="R1030" s="1696"/>
      <c r="S1030" s="1696"/>
      <c r="T1030" s="1696"/>
      <c r="U1030" s="1696"/>
      <c r="V1030" s="1696"/>
      <c r="W1030" s="1696"/>
      <c r="X1030" s="1696"/>
      <c r="Y1030" s="1696"/>
      <c r="Z1030" s="1696"/>
      <c r="AA1030" s="1696"/>
      <c r="AB1030" s="1696"/>
      <c r="AC1030" s="1696"/>
      <c r="AD1030" s="1696"/>
      <c r="AE1030" s="1697"/>
      <c r="AF1030" s="73"/>
      <c r="AG1030" s="14"/>
      <c r="AH1030" s="14"/>
      <c r="AI1030" s="83"/>
      <c r="AJ1030" s="1727"/>
      <c r="AK1030" s="1728"/>
      <c r="AL1030" s="1728"/>
      <c r="AM1030" s="1728"/>
      <c r="AN1030" s="1728"/>
      <c r="AO1030" s="1728"/>
      <c r="AP1030" s="1728"/>
      <c r="AQ1030" s="1729"/>
      <c r="AR1030" s="68"/>
      <c r="AS1030" s="68"/>
      <c r="AT1030" s="68"/>
      <c r="AU1030" s="68"/>
      <c r="AV1030" s="68"/>
      <c r="AW1030" s="68"/>
      <c r="AX1030" s="68"/>
      <c r="AY1030" s="68"/>
    </row>
    <row r="1031" spans="1:57" ht="12.95" customHeight="1">
      <c r="A1031" s="14"/>
      <c r="B1031" s="77"/>
      <c r="C1031" s="74"/>
      <c r="D1031" s="1742"/>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3"/>
      <c r="AG1031" s="14"/>
      <c r="AH1031" s="14"/>
      <c r="AI1031" s="83"/>
      <c r="AJ1031" s="1730"/>
      <c r="AK1031" s="1731"/>
      <c r="AL1031" s="1731"/>
      <c r="AM1031" s="1731"/>
      <c r="AN1031" s="1731"/>
      <c r="AO1031" s="1731"/>
      <c r="AP1031" s="1731"/>
      <c r="AQ1031" s="1732"/>
      <c r="AR1031" s="68"/>
      <c r="AS1031" s="68"/>
      <c r="AT1031" s="68"/>
      <c r="AU1031" s="68"/>
      <c r="AV1031" s="68"/>
      <c r="AW1031" s="68"/>
      <c r="AX1031" s="68"/>
      <c r="AY1031" s="68"/>
    </row>
    <row r="1032" spans="1:57" ht="12.95" customHeight="1">
      <c r="A1032" s="14"/>
      <c r="B1032" s="73"/>
      <c r="C1032" s="339" t="s">
        <v>688</v>
      </c>
      <c r="D1032" s="1764" t="s">
        <v>1688</v>
      </c>
      <c r="E1032" s="1765"/>
      <c r="F1032" s="1765"/>
      <c r="G1032" s="1765"/>
      <c r="H1032" s="1765"/>
      <c r="I1032" s="1765"/>
      <c r="J1032" s="1765"/>
      <c r="K1032" s="1765"/>
      <c r="L1032" s="1765"/>
      <c r="M1032" s="1765"/>
      <c r="N1032" s="1765"/>
      <c r="O1032" s="1765"/>
      <c r="P1032" s="1765"/>
      <c r="Q1032" s="1765"/>
      <c r="R1032" s="1765"/>
      <c r="S1032" s="1765"/>
      <c r="T1032" s="1765"/>
      <c r="U1032" s="1765"/>
      <c r="V1032" s="1765"/>
      <c r="W1032" s="1765"/>
      <c r="X1032" s="1765"/>
      <c r="Y1032" s="1765"/>
      <c r="Z1032" s="1765"/>
      <c r="AA1032" s="1765"/>
      <c r="AB1032" s="1765"/>
      <c r="AC1032" s="1765"/>
      <c r="AD1032" s="1765"/>
      <c r="AE1032" s="1766"/>
      <c r="AF1032" s="79"/>
      <c r="AG1032" s="1750" t="s">
        <v>670</v>
      </c>
      <c r="AH1032" s="1751"/>
      <c r="AI1032" s="87"/>
      <c r="AJ1032" s="1724">
        <f>ROUND(IF(AG1032="yes",(AJ992*0.15),0),0)</f>
        <v>0</v>
      </c>
      <c r="AK1032" s="1725"/>
      <c r="AL1032" s="1725"/>
      <c r="AM1032" s="1725"/>
      <c r="AN1032" s="1725"/>
      <c r="AO1032" s="1725"/>
      <c r="AP1032" s="1725"/>
      <c r="AQ1032" s="1726"/>
      <c r="AR1032" s="68"/>
      <c r="AS1032" s="68"/>
      <c r="AT1032" s="68"/>
      <c r="AU1032" s="68"/>
      <c r="AV1032" s="68"/>
      <c r="AW1032" s="68"/>
      <c r="AX1032" s="68"/>
      <c r="AY1032" s="68"/>
    </row>
    <row r="1033" spans="1:57" ht="12.95" customHeight="1">
      <c r="A1033" s="14"/>
      <c r="B1033" s="73"/>
      <c r="C1033" s="74"/>
      <c r="D1033" s="1801" t="s">
        <v>1689</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2"/>
      <c r="AF1033" s="915"/>
      <c r="AG1033" s="916"/>
      <c r="AH1033" s="916"/>
      <c r="AI1033" s="917"/>
      <c r="AJ1033" s="1727"/>
      <c r="AK1033" s="1728"/>
      <c r="AL1033" s="1728"/>
      <c r="AM1033" s="1728"/>
      <c r="AN1033" s="1728"/>
      <c r="AO1033" s="1728"/>
      <c r="AP1033" s="1728"/>
      <c r="AQ1033" s="1729"/>
      <c r="AR1033" s="68"/>
      <c r="AS1033" s="68"/>
      <c r="AT1033" s="68"/>
      <c r="AU1033" s="68"/>
      <c r="AV1033" s="68"/>
      <c r="AW1033" s="68"/>
      <c r="AX1033" s="68"/>
      <c r="AY1033" s="68"/>
    </row>
    <row r="1034" spans="1:57" ht="12.95" customHeight="1">
      <c r="A1034" s="14"/>
      <c r="B1034" s="73"/>
      <c r="C1034" s="74"/>
      <c r="D1034" s="1801"/>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2"/>
      <c r="AF1034" s="915"/>
      <c r="AG1034" s="916"/>
      <c r="AH1034" s="916"/>
      <c r="AI1034" s="917"/>
      <c r="AJ1034" s="1727"/>
      <c r="AK1034" s="1728"/>
      <c r="AL1034" s="1728"/>
      <c r="AM1034" s="1728"/>
      <c r="AN1034" s="1728"/>
      <c r="AO1034" s="1728"/>
      <c r="AP1034" s="1728"/>
      <c r="AQ1034" s="1729"/>
      <c r="AR1034" s="68"/>
      <c r="AS1034" s="68"/>
      <c r="AT1034" s="68"/>
      <c r="AU1034" s="68"/>
      <c r="AV1034" s="68"/>
      <c r="AW1034" s="68"/>
      <c r="AX1034" s="68"/>
      <c r="AY1034" s="68"/>
    </row>
    <row r="1035" spans="1:57" ht="12.95" customHeight="1">
      <c r="A1035" s="14"/>
      <c r="B1035" s="73"/>
      <c r="C1035" s="74"/>
      <c r="D1035" s="1803"/>
      <c r="E1035" s="1804"/>
      <c r="F1035" s="1804"/>
      <c r="G1035" s="1804"/>
      <c r="H1035" s="1804"/>
      <c r="I1035" s="1804"/>
      <c r="J1035" s="1804"/>
      <c r="K1035" s="1804"/>
      <c r="L1035" s="1804"/>
      <c r="M1035" s="1804"/>
      <c r="N1035" s="1804"/>
      <c r="O1035" s="1804"/>
      <c r="P1035" s="1804"/>
      <c r="Q1035" s="1804"/>
      <c r="R1035" s="1804"/>
      <c r="S1035" s="1804"/>
      <c r="T1035" s="1804"/>
      <c r="U1035" s="1804"/>
      <c r="V1035" s="1804"/>
      <c r="W1035" s="1804"/>
      <c r="X1035" s="1804"/>
      <c r="Y1035" s="1804"/>
      <c r="Z1035" s="1804"/>
      <c r="AA1035" s="1804"/>
      <c r="AB1035" s="1804"/>
      <c r="AC1035" s="1804"/>
      <c r="AD1035" s="1804"/>
      <c r="AE1035" s="1805"/>
      <c r="AF1035" s="918"/>
      <c r="AG1035" s="919"/>
      <c r="AH1035" s="919"/>
      <c r="AI1035" s="920"/>
      <c r="AJ1035" s="1730"/>
      <c r="AK1035" s="1731"/>
      <c r="AL1035" s="1731"/>
      <c r="AM1035" s="1731"/>
      <c r="AN1035" s="1731"/>
      <c r="AO1035" s="1731"/>
      <c r="AP1035" s="1731"/>
      <c r="AQ1035" s="1732"/>
      <c r="AR1035" s="68"/>
      <c r="AS1035" s="68"/>
      <c r="AT1035" s="68"/>
      <c r="AU1035" s="68"/>
      <c r="AV1035" s="68"/>
      <c r="AW1035" s="68"/>
      <c r="AX1035" s="68"/>
      <c r="AY1035" s="68"/>
    </row>
    <row r="1036" spans="1:57" ht="12.95" customHeight="1">
      <c r="A1036" s="14"/>
      <c r="B1036" s="73"/>
      <c r="C1036" s="339" t="s">
        <v>688</v>
      </c>
      <c r="D1036" s="1733" t="s">
        <v>1690</v>
      </c>
      <c r="E1036" s="1734"/>
      <c r="F1036" s="1734"/>
      <c r="G1036" s="1734"/>
      <c r="H1036" s="1734"/>
      <c r="I1036" s="1734"/>
      <c r="J1036" s="1734"/>
      <c r="K1036" s="1734"/>
      <c r="L1036" s="1734"/>
      <c r="M1036" s="1734"/>
      <c r="N1036" s="1734"/>
      <c r="O1036" s="1734"/>
      <c r="P1036" s="1734"/>
      <c r="Q1036" s="1734"/>
      <c r="R1036" s="1734"/>
      <c r="S1036" s="1734"/>
      <c r="T1036" s="1734"/>
      <c r="U1036" s="1734"/>
      <c r="V1036" s="1734"/>
      <c r="W1036" s="1734"/>
      <c r="X1036" s="1734"/>
      <c r="Y1036" s="1734"/>
      <c r="Z1036" s="1734"/>
      <c r="AA1036" s="1734"/>
      <c r="AB1036" s="1734"/>
      <c r="AC1036" s="1734"/>
      <c r="AD1036" s="1734"/>
      <c r="AE1036" s="1735"/>
      <c r="AF1036" s="73"/>
      <c r="AG1036" s="1752" t="s">
        <v>670</v>
      </c>
      <c r="AH1036" s="1753"/>
      <c r="AI1036" s="83"/>
      <c r="AJ1036" s="1724">
        <f>ROUND(IF(AND(AG1036="yes",AJ1032=0),(AJ992*0.1),0),0)</f>
        <v>0</v>
      </c>
      <c r="AK1036" s="1725"/>
      <c r="AL1036" s="1725"/>
      <c r="AM1036" s="1725"/>
      <c r="AN1036" s="1725"/>
      <c r="AO1036" s="1725"/>
      <c r="AP1036" s="1725"/>
      <c r="AQ1036" s="1726"/>
      <c r="AR1036" s="68"/>
      <c r="AS1036" s="68"/>
      <c r="AT1036" s="68"/>
      <c r="AU1036" s="68"/>
      <c r="AV1036" s="68"/>
      <c r="AW1036" s="68"/>
      <c r="AX1036" s="68"/>
      <c r="AY1036" s="68"/>
    </row>
    <row r="1037" spans="1:57" ht="12.95" customHeight="1">
      <c r="A1037" s="14"/>
      <c r="B1037" s="73"/>
      <c r="C1037" s="74"/>
      <c r="D1037" s="1801" t="s">
        <v>1691</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2"/>
      <c r="AF1037" s="73"/>
      <c r="AG1037" s="14"/>
      <c r="AH1037" s="14"/>
      <c r="AI1037" s="83"/>
      <c r="AJ1037" s="1727"/>
      <c r="AK1037" s="1728"/>
      <c r="AL1037" s="1728"/>
      <c r="AM1037" s="1728"/>
      <c r="AN1037" s="1728"/>
      <c r="AO1037" s="1728"/>
      <c r="AP1037" s="1728"/>
      <c r="AQ1037" s="1729"/>
      <c r="AR1037" s="68"/>
      <c r="AS1037" s="68"/>
      <c r="AT1037" s="68"/>
      <c r="AU1037" s="68"/>
      <c r="AV1037" s="68"/>
      <c r="AW1037" s="68"/>
      <c r="AX1037" s="68"/>
      <c r="AY1037" s="68"/>
    </row>
    <row r="1038" spans="1:57" ht="12.95" customHeight="1">
      <c r="A1038" s="14"/>
      <c r="B1038" s="73"/>
      <c r="C1038" s="74"/>
      <c r="D1038" s="1801"/>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2"/>
      <c r="AF1038" s="73"/>
      <c r="AG1038" s="14"/>
      <c r="AH1038" s="14"/>
      <c r="AI1038" s="83"/>
      <c r="AJ1038" s="1727"/>
      <c r="AK1038" s="1728"/>
      <c r="AL1038" s="1728"/>
      <c r="AM1038" s="1728"/>
      <c r="AN1038" s="1728"/>
      <c r="AO1038" s="1728"/>
      <c r="AP1038" s="1728"/>
      <c r="AQ1038" s="1729"/>
      <c r="AR1038" s="68"/>
      <c r="AS1038" s="68"/>
      <c r="AT1038" s="68"/>
      <c r="AU1038" s="68"/>
      <c r="AV1038" s="68"/>
      <c r="AW1038" s="68"/>
      <c r="AX1038" s="68"/>
      <c r="AY1038" s="68"/>
      <c r="BA1038" s="1183">
        <f>IFERROR(('Sources and Uses Budget'!$C$17+'Sources and Uses Budget'!$C$18+'Sources and Uses Budget'!$C$22)/$AG$437,0)</f>
        <v>0</v>
      </c>
      <c r="BB1038" s="1183" t="s">
        <v>2492</v>
      </c>
      <c r="BC1038" s="1183"/>
      <c r="BD1038" s="1183"/>
      <c r="BE1038" s="1183"/>
    </row>
    <row r="1039" spans="1:57" ht="12.95" customHeight="1">
      <c r="A1039" s="14"/>
      <c r="B1039" s="73"/>
      <c r="C1039" s="74"/>
      <c r="D1039" s="1801"/>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2"/>
      <c r="AF1039" s="73"/>
      <c r="AG1039" s="14"/>
      <c r="AH1039" s="14"/>
      <c r="AI1039" s="83"/>
      <c r="AJ1039" s="1727"/>
      <c r="AK1039" s="1728"/>
      <c r="AL1039" s="1728"/>
      <c r="AM1039" s="1728"/>
      <c r="AN1039" s="1728"/>
      <c r="AO1039" s="1728"/>
      <c r="AP1039" s="1728"/>
      <c r="AQ1039" s="1729"/>
      <c r="AR1039" s="68"/>
      <c r="AS1039" s="68"/>
      <c r="AT1039" s="68"/>
      <c r="AU1039" s="68"/>
      <c r="AV1039" s="68"/>
      <c r="AW1039" s="68"/>
      <c r="AX1039" s="68"/>
      <c r="AY1039" s="68"/>
      <c r="BA1039">
        <f>IFERROR((($CI$753+$CM$753)/$AG$440),0)</f>
        <v>0.21105527638190955</v>
      </c>
      <c r="BB1039" s="3" t="s">
        <v>2496</v>
      </c>
    </row>
    <row r="1040" spans="1:57" ht="12.95" customHeight="1">
      <c r="A1040" s="14"/>
      <c r="B1040" s="73"/>
      <c r="C1040" s="74"/>
      <c r="D1040" s="1803"/>
      <c r="E1040" s="1804"/>
      <c r="F1040" s="1804"/>
      <c r="G1040" s="1804"/>
      <c r="H1040" s="1804"/>
      <c r="I1040" s="1804"/>
      <c r="J1040" s="1804"/>
      <c r="K1040" s="1804"/>
      <c r="L1040" s="1804"/>
      <c r="M1040" s="1804"/>
      <c r="N1040" s="1804"/>
      <c r="O1040" s="1804"/>
      <c r="P1040" s="1804"/>
      <c r="Q1040" s="1804"/>
      <c r="R1040" s="1804"/>
      <c r="S1040" s="1804"/>
      <c r="T1040" s="1804"/>
      <c r="U1040" s="1804"/>
      <c r="V1040" s="1804"/>
      <c r="W1040" s="1804"/>
      <c r="X1040" s="1804"/>
      <c r="Y1040" s="1804"/>
      <c r="Z1040" s="1804"/>
      <c r="AA1040" s="1804"/>
      <c r="AB1040" s="1804"/>
      <c r="AC1040" s="1804"/>
      <c r="AD1040" s="1804"/>
      <c r="AE1040" s="1805"/>
      <c r="AF1040" s="73"/>
      <c r="AG1040" s="14"/>
      <c r="AH1040" s="14"/>
      <c r="AI1040" s="83"/>
      <c r="AJ1040" s="1727"/>
      <c r="AK1040" s="1728"/>
      <c r="AL1040" s="1728"/>
      <c r="AM1040" s="1728"/>
      <c r="AN1040" s="1728"/>
      <c r="AO1040" s="1728"/>
      <c r="AP1040" s="1728"/>
      <c r="AQ1040" s="1729"/>
      <c r="AR1040" s="68"/>
      <c r="AS1040" s="68"/>
      <c r="AT1040" s="68"/>
      <c r="AU1040" s="68"/>
      <c r="AV1040" s="68"/>
      <c r="AW1040" s="68"/>
      <c r="AX1040" s="68"/>
      <c r="AY1040" s="68"/>
      <c r="BA1040" t="b">
        <f>'Points System'!AJ164="Yes"</f>
        <v>0</v>
      </c>
      <c r="BB1040" s="3" t="s">
        <v>2493</v>
      </c>
    </row>
    <row r="1041" spans="1:56" ht="12.95" customHeight="1">
      <c r="A1041" s="14"/>
      <c r="B1041" s="79"/>
      <c r="C1041" s="131" t="s">
        <v>1011</v>
      </c>
      <c r="D1041" s="1764" t="s">
        <v>1299</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9"/>
      <c r="AG1041" s="1750" t="s">
        <v>546</v>
      </c>
      <c r="AH1041" s="1751"/>
      <c r="AI1041" s="87"/>
      <c r="AJ1041" s="1724">
        <f>ROUND(IF(AG1041="yes",(AJ992*0.1),0),0)</f>
        <v>9088900</v>
      </c>
      <c r="AK1041" s="1725"/>
      <c r="AL1041" s="1725"/>
      <c r="AM1041" s="1725"/>
      <c r="AN1041" s="1725"/>
      <c r="AO1041" s="1725"/>
      <c r="AP1041" s="1725"/>
      <c r="AQ1041" s="1726"/>
      <c r="AR1041" s="68"/>
      <c r="AS1041" s="68"/>
      <c r="AT1041" s="68"/>
      <c r="AU1041" s="68"/>
      <c r="AV1041" s="68"/>
      <c r="AW1041" s="68"/>
      <c r="AX1041" s="68"/>
      <c r="AY1041" s="68"/>
      <c r="BA1041">
        <f>Q212</f>
        <v>0</v>
      </c>
      <c r="BB1041" s="3" t="s">
        <v>2494</v>
      </c>
    </row>
    <row r="1042" spans="1:56" ht="12.95" customHeight="1">
      <c r="A1042" s="14"/>
      <c r="B1042" s="73"/>
      <c r="C1042" s="74"/>
      <c r="D1042" s="1695" t="s">
        <v>2147</v>
      </c>
      <c r="E1042" s="1696"/>
      <c r="F1042" s="1696"/>
      <c r="G1042" s="1696"/>
      <c r="H1042" s="1696"/>
      <c r="I1042" s="1696"/>
      <c r="J1042" s="1696"/>
      <c r="K1042" s="1696"/>
      <c r="L1042" s="1696"/>
      <c r="M1042" s="1696"/>
      <c r="N1042" s="1696"/>
      <c r="O1042" s="1696"/>
      <c r="P1042" s="1696"/>
      <c r="Q1042" s="1696"/>
      <c r="R1042" s="1696"/>
      <c r="S1042" s="1696"/>
      <c r="T1042" s="1696"/>
      <c r="U1042" s="1696"/>
      <c r="V1042" s="1696"/>
      <c r="W1042" s="1696"/>
      <c r="X1042" s="1696"/>
      <c r="Y1042" s="1696"/>
      <c r="Z1042" s="1696"/>
      <c r="AA1042" s="1696"/>
      <c r="AB1042" s="1696"/>
      <c r="AC1042" s="1696"/>
      <c r="AD1042" s="1696"/>
      <c r="AE1042" s="1697"/>
      <c r="AF1042" s="73"/>
      <c r="AG1042" s="14"/>
      <c r="AH1042" s="14"/>
      <c r="AI1042" s="83"/>
      <c r="AJ1042" s="1727"/>
      <c r="AK1042" s="1728"/>
      <c r="AL1042" s="1728"/>
      <c r="AM1042" s="1728"/>
      <c r="AN1042" s="1728"/>
      <c r="AO1042" s="1728"/>
      <c r="AP1042" s="1728"/>
      <c r="AQ1042" s="1729"/>
      <c r="AR1042" s="68"/>
      <c r="AS1042" s="68"/>
      <c r="AT1042" s="68"/>
      <c r="AU1042" s="68"/>
      <c r="AV1042" s="68"/>
      <c r="AW1042" s="68"/>
      <c r="AX1042" s="68"/>
      <c r="AY1042" s="68"/>
      <c r="BA1042" s="1184">
        <f>T212</f>
        <v>0</v>
      </c>
      <c r="BB1042" s="3" t="s">
        <v>2495</v>
      </c>
    </row>
    <row r="1043" spans="1:56" ht="12.95" customHeight="1">
      <c r="A1043" s="14"/>
      <c r="B1043" s="73"/>
      <c r="C1043" s="74"/>
      <c r="D1043" s="1695"/>
      <c r="E1043" s="1696"/>
      <c r="F1043" s="1696"/>
      <c r="G1043" s="1696"/>
      <c r="H1043" s="1696"/>
      <c r="I1043" s="1696"/>
      <c r="J1043" s="1696"/>
      <c r="K1043" s="1696"/>
      <c r="L1043" s="1696"/>
      <c r="M1043" s="1696"/>
      <c r="N1043" s="1696"/>
      <c r="O1043" s="1696"/>
      <c r="P1043" s="1696"/>
      <c r="Q1043" s="1696"/>
      <c r="R1043" s="1696"/>
      <c r="S1043" s="1696"/>
      <c r="T1043" s="1696"/>
      <c r="U1043" s="1696"/>
      <c r="V1043" s="1696"/>
      <c r="W1043" s="1696"/>
      <c r="X1043" s="1696"/>
      <c r="Y1043" s="1696"/>
      <c r="Z1043" s="1696"/>
      <c r="AA1043" s="1696"/>
      <c r="AB1043" s="1696"/>
      <c r="AC1043" s="1696"/>
      <c r="AD1043" s="1696"/>
      <c r="AE1043" s="1697"/>
      <c r="AF1043" s="73"/>
      <c r="AG1043" s="14"/>
      <c r="AH1043" s="14"/>
      <c r="AI1043" s="83"/>
      <c r="AJ1043" s="1727"/>
      <c r="AK1043" s="1728"/>
      <c r="AL1043" s="1728"/>
      <c r="AM1043" s="1728"/>
      <c r="AN1043" s="1728"/>
      <c r="AO1043" s="1728"/>
      <c r="AP1043" s="1728"/>
      <c r="AQ1043" s="1729"/>
      <c r="AR1043" s="68"/>
      <c r="AS1043" s="68"/>
      <c r="AT1043" s="68"/>
      <c r="AU1043" s="68"/>
      <c r="AV1043" s="68"/>
      <c r="AW1043" s="68"/>
      <c r="AX1043" s="68"/>
      <c r="AY1043" s="68"/>
    </row>
    <row r="1044" spans="1:56" ht="12.95" customHeight="1">
      <c r="A1044" s="14"/>
      <c r="B1044" s="73"/>
      <c r="C1044" s="74"/>
      <c r="D1044" s="1742"/>
      <c r="E1044" s="1743"/>
      <c r="F1044" s="1743"/>
      <c r="G1044" s="1743"/>
      <c r="H1044" s="1743"/>
      <c r="I1044" s="1743"/>
      <c r="J1044" s="1743"/>
      <c r="K1044" s="1743"/>
      <c r="L1044" s="1743"/>
      <c r="M1044" s="1743"/>
      <c r="N1044" s="1743"/>
      <c r="O1044" s="1743"/>
      <c r="P1044" s="1743"/>
      <c r="Q1044" s="1743"/>
      <c r="R1044" s="1743"/>
      <c r="S1044" s="1743"/>
      <c r="T1044" s="1743"/>
      <c r="U1044" s="1743"/>
      <c r="V1044" s="1743"/>
      <c r="W1044" s="1743"/>
      <c r="X1044" s="1743"/>
      <c r="Y1044" s="1743"/>
      <c r="Z1044" s="1743"/>
      <c r="AA1044" s="1743"/>
      <c r="AB1044" s="1743"/>
      <c r="AC1044" s="1743"/>
      <c r="AD1044" s="1743"/>
      <c r="AE1044" s="1744"/>
      <c r="AF1044" s="73"/>
      <c r="AG1044" s="14"/>
      <c r="AH1044" s="14"/>
      <c r="AI1044" s="83"/>
      <c r="AJ1044" s="1730"/>
      <c r="AK1044" s="1731"/>
      <c r="AL1044" s="1731"/>
      <c r="AM1044" s="1731"/>
      <c r="AN1044" s="1731"/>
      <c r="AO1044" s="1731"/>
      <c r="AP1044" s="1731"/>
      <c r="AQ1044" s="1732"/>
      <c r="AR1044" s="68"/>
      <c r="AS1044" s="68"/>
      <c r="AT1044" s="68"/>
      <c r="AU1044" s="68"/>
      <c r="AV1044" s="68"/>
      <c r="AW1044" s="68"/>
      <c r="AX1044" s="68"/>
      <c r="AY1044" s="68"/>
    </row>
    <row r="1045" spans="1:56" ht="12.95" customHeight="1">
      <c r="A1045" s="14"/>
      <c r="B1045" s="79"/>
      <c r="C1045" s="131" t="s">
        <v>1686</v>
      </c>
      <c r="D1045" s="1733" t="s">
        <v>1867</v>
      </c>
      <c r="E1045" s="1734"/>
      <c r="F1045" s="1734"/>
      <c r="G1045" s="1734"/>
      <c r="H1045" s="1734"/>
      <c r="I1045" s="1734"/>
      <c r="J1045" s="1734"/>
      <c r="K1045" s="1734"/>
      <c r="L1045" s="1734"/>
      <c r="M1045" s="1734"/>
      <c r="N1045" s="1734"/>
      <c r="O1045" s="1734"/>
      <c r="P1045" s="1734"/>
      <c r="Q1045" s="1734"/>
      <c r="R1045" s="1734"/>
      <c r="S1045" s="1734"/>
      <c r="T1045" s="1734"/>
      <c r="U1045" s="1734"/>
      <c r="V1045" s="1734"/>
      <c r="W1045" s="1734"/>
      <c r="X1045" s="1734"/>
      <c r="Y1045" s="1734"/>
      <c r="Z1045" s="1734"/>
      <c r="AA1045" s="1734"/>
      <c r="AB1045" s="1734"/>
      <c r="AC1045" s="1734"/>
      <c r="AD1045" s="1734"/>
      <c r="AE1045" s="1735"/>
      <c r="AF1045" s="79"/>
      <c r="AG1045" s="1748" t="str">
        <f>IF(X1048&gt;0,"Yes","No")</f>
        <v>Yes</v>
      </c>
      <c r="AH1045" s="1749"/>
      <c r="AI1045" s="87"/>
      <c r="AJ1045" s="1724">
        <f>IF((X1048=0),0,AY1005*AJ992)</f>
        <v>9088900</v>
      </c>
      <c r="AK1045" s="1725"/>
      <c r="AL1045" s="1725"/>
      <c r="AM1045" s="1725"/>
      <c r="AN1045" s="1725"/>
      <c r="AO1045" s="1725"/>
      <c r="AP1045" s="1725"/>
      <c r="AQ1045" s="172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2481</v>
      </c>
      <c r="BB1045" s="3"/>
      <c r="BC1045" s="3"/>
      <c r="BD1045" s="3"/>
    </row>
    <row r="1046" spans="1:56" ht="12.95" customHeight="1">
      <c r="A1046" s="14"/>
      <c r="B1046" s="73"/>
      <c r="C1046" s="442"/>
      <c r="D1046" s="1695" t="s">
        <v>1301</v>
      </c>
      <c r="E1046" s="1696"/>
      <c r="F1046" s="1696"/>
      <c r="G1046" s="1696"/>
      <c r="H1046" s="1696"/>
      <c r="I1046" s="1696"/>
      <c r="J1046" s="1696"/>
      <c r="K1046" s="1696"/>
      <c r="L1046" s="1696"/>
      <c r="M1046" s="1696"/>
      <c r="N1046" s="1696"/>
      <c r="O1046" s="1696"/>
      <c r="P1046" s="1696"/>
      <c r="Q1046" s="1696"/>
      <c r="R1046" s="1696"/>
      <c r="S1046" s="1696"/>
      <c r="T1046" s="1696"/>
      <c r="U1046" s="1696"/>
      <c r="V1046" s="1696"/>
      <c r="W1046" s="1696"/>
      <c r="X1046" s="1696"/>
      <c r="Y1046" s="1696"/>
      <c r="Z1046" s="1696"/>
      <c r="AA1046" s="1696"/>
      <c r="AB1046" s="1696"/>
      <c r="AC1046" s="1696"/>
      <c r="AD1046" s="1696"/>
      <c r="AE1046" s="1697"/>
      <c r="AF1046" s="73"/>
      <c r="AG1046" s="443"/>
      <c r="AH1046" s="443"/>
      <c r="AI1046" s="83"/>
      <c r="AJ1046" s="1727"/>
      <c r="AK1046" s="1728"/>
      <c r="AL1046" s="1728"/>
      <c r="AM1046" s="1728"/>
      <c r="AN1046" s="1728"/>
      <c r="AO1046" s="1728"/>
      <c r="AP1046" s="1728"/>
      <c r="AQ1046" s="1729"/>
      <c r="AR1046" s="68"/>
      <c r="AS1046" s="68"/>
      <c r="AT1046" s="68"/>
      <c r="AU1046" s="13"/>
      <c r="AV1046" s="68"/>
      <c r="AW1046" s="68"/>
      <c r="AX1046" s="68"/>
      <c r="AY1046" s="68"/>
      <c r="AZ1046" s="962">
        <f>'Sources and Uses Budget'!S97*BA1046</f>
        <v>9128943.9000000004</v>
      </c>
      <c r="BA1046" s="1182">
        <f>IF(BA1040,20%,15%)</f>
        <v>0.15</v>
      </c>
      <c r="BB1046" s="3" t="s">
        <v>2482</v>
      </c>
      <c r="BC1046" s="3" t="s">
        <v>2483</v>
      </c>
      <c r="BD1046" s="3"/>
    </row>
    <row r="1047" spans="1:56" ht="12.95" customHeight="1">
      <c r="A1047" s="14"/>
      <c r="B1047" s="73"/>
      <c r="C1047" s="442"/>
      <c r="D1047" s="1695"/>
      <c r="E1047" s="1696"/>
      <c r="F1047" s="1696"/>
      <c r="G1047" s="1696"/>
      <c r="H1047" s="1696"/>
      <c r="I1047" s="1696"/>
      <c r="J1047" s="1696"/>
      <c r="K1047" s="1696"/>
      <c r="L1047" s="1696"/>
      <c r="M1047" s="1696"/>
      <c r="N1047" s="1696"/>
      <c r="O1047" s="1696"/>
      <c r="P1047" s="1696"/>
      <c r="Q1047" s="1696"/>
      <c r="R1047" s="1696"/>
      <c r="S1047" s="1696"/>
      <c r="T1047" s="1696"/>
      <c r="U1047" s="1696"/>
      <c r="V1047" s="1696"/>
      <c r="W1047" s="1696"/>
      <c r="X1047" s="1696"/>
      <c r="Y1047" s="1696"/>
      <c r="Z1047" s="1696"/>
      <c r="AA1047" s="1696"/>
      <c r="AB1047" s="1696"/>
      <c r="AC1047" s="1696"/>
      <c r="AD1047" s="1696"/>
      <c r="AE1047" s="1697"/>
      <c r="AF1047" s="73"/>
      <c r="AG1047" s="443"/>
      <c r="AH1047" s="443"/>
      <c r="AI1047" s="83"/>
      <c r="AJ1047" s="1727"/>
      <c r="AK1047" s="1728"/>
      <c r="AL1047" s="1728"/>
      <c r="AM1047" s="1728"/>
      <c r="AN1047" s="1728"/>
      <c r="AO1047" s="1728"/>
      <c r="AP1047" s="1728"/>
      <c r="AQ1047" s="1729"/>
      <c r="AR1047" s="68"/>
      <c r="AS1047" s="68"/>
      <c r="AT1047" s="68"/>
      <c r="AU1047" s="13"/>
      <c r="AV1047" s="68"/>
      <c r="AW1047" s="68"/>
      <c r="AX1047" s="68"/>
      <c r="AY1047" s="68"/>
      <c r="AZ1047" s="962">
        <f>IF(M356="N/A",0,'Sources and Uses Budget'!T97*BA1047)</f>
        <v>0</v>
      </c>
      <c r="BA1047" s="1182">
        <v>0.15</v>
      </c>
      <c r="BB1047" s="3" t="s">
        <v>2482</v>
      </c>
      <c r="BC1047" s="3" t="s">
        <v>2484</v>
      </c>
      <c r="BD1047" s="3"/>
    </row>
    <row r="1048" spans="1:56" ht="12.95" customHeight="1">
      <c r="A1048" s="14"/>
      <c r="B1048" s="77"/>
      <c r="C1048" s="78"/>
      <c r="D1048" s="132" t="s">
        <v>973</v>
      </c>
      <c r="E1048" s="133"/>
      <c r="F1048" s="133"/>
      <c r="G1048" s="133"/>
      <c r="H1048" s="133"/>
      <c r="I1048" s="1787">
        <f>AY1003</f>
        <v>199</v>
      </c>
      <c r="J1048" s="1788"/>
      <c r="K1048" s="7"/>
      <c r="L1048" s="133"/>
      <c r="M1048" s="133"/>
      <c r="N1048" s="133"/>
      <c r="O1048" s="133"/>
      <c r="P1048" s="133"/>
      <c r="Q1048" s="133"/>
      <c r="R1048" s="133"/>
      <c r="S1048" s="133"/>
      <c r="T1048" s="133"/>
      <c r="U1048" s="133"/>
      <c r="V1048" s="134" t="s">
        <v>974</v>
      </c>
      <c r="W1048" s="48"/>
      <c r="X1048" s="1785">
        <f>CI753</f>
        <v>21</v>
      </c>
      <c r="Y1048" s="1786"/>
      <c r="Z1048" s="48"/>
      <c r="AA1048" s="48"/>
      <c r="AB1048" s="48"/>
      <c r="AC1048" s="48"/>
      <c r="AD1048" s="48"/>
      <c r="AE1048" s="49"/>
      <c r="AF1048" s="924"/>
      <c r="AG1048" s="925"/>
      <c r="AH1048" s="925"/>
      <c r="AI1048" s="926"/>
      <c r="AJ1048" s="1730"/>
      <c r="AK1048" s="1731"/>
      <c r="AL1048" s="1731"/>
      <c r="AM1048" s="1731"/>
      <c r="AN1048" s="1731"/>
      <c r="AO1048" s="1731"/>
      <c r="AP1048" s="1731"/>
      <c r="AQ1048" s="1732"/>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2482</v>
      </c>
      <c r="BC1048" s="3" t="s">
        <v>2485</v>
      </c>
      <c r="BD1048" s="3"/>
    </row>
    <row r="1049" spans="1:56" ht="12.95" customHeight="1">
      <c r="A1049" s="14"/>
      <c r="B1049" s="79"/>
      <c r="C1049" s="131" t="s">
        <v>1687</v>
      </c>
      <c r="D1049" s="1764" t="s">
        <v>2173</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1748" t="str">
        <f>IF(X1052&gt;0,"Yes","No")</f>
        <v>Yes</v>
      </c>
      <c r="AH1049" s="1749"/>
      <c r="AI1049" s="83"/>
      <c r="AJ1049" s="1724">
        <f>IF((X1052=0),0,(2*AY1006)*AJ992)</f>
        <v>18177800</v>
      </c>
      <c r="AK1049" s="1725"/>
      <c r="AL1049" s="1725"/>
      <c r="AM1049" s="1725"/>
      <c r="AN1049" s="1725"/>
      <c r="AO1049" s="1725"/>
      <c r="AP1049" s="1725"/>
      <c r="AQ1049" s="1726"/>
      <c r="AR1049" s="68"/>
      <c r="AS1049" s="68"/>
      <c r="AT1049" s="68"/>
      <c r="AU1049" s="14"/>
      <c r="AV1049" s="68"/>
      <c r="AW1049" s="68"/>
      <c r="AX1049" s="68"/>
      <c r="AY1049" s="68"/>
      <c r="AZ1049" s="962">
        <f>AZ1045*BA1049</f>
        <v>0</v>
      </c>
      <c r="BA1049" s="1182">
        <v>0.15</v>
      </c>
      <c r="BB1049" s="3" t="s">
        <v>2482</v>
      </c>
      <c r="BC1049" s="3" t="s">
        <v>2486</v>
      </c>
      <c r="BD1049" s="3"/>
    </row>
    <row r="1050" spans="1:56" ht="12.95" customHeight="1">
      <c r="A1050" s="14"/>
      <c r="B1050" s="73"/>
      <c r="C1050" s="442"/>
      <c r="D1050" s="1695" t="s">
        <v>1300</v>
      </c>
      <c r="E1050" s="1696"/>
      <c r="F1050" s="1696"/>
      <c r="G1050" s="1696"/>
      <c r="H1050" s="1696"/>
      <c r="I1050" s="1696"/>
      <c r="J1050" s="1696"/>
      <c r="K1050" s="1696"/>
      <c r="L1050" s="1696"/>
      <c r="M1050" s="1696"/>
      <c r="N1050" s="1696"/>
      <c r="O1050" s="1696"/>
      <c r="P1050" s="1696"/>
      <c r="Q1050" s="1696"/>
      <c r="R1050" s="1696"/>
      <c r="S1050" s="1696"/>
      <c r="T1050" s="1696"/>
      <c r="U1050" s="1696"/>
      <c r="V1050" s="1696"/>
      <c r="W1050" s="1696"/>
      <c r="X1050" s="1696"/>
      <c r="Y1050" s="1696"/>
      <c r="Z1050" s="1696"/>
      <c r="AA1050" s="1696"/>
      <c r="AB1050" s="1696"/>
      <c r="AC1050" s="1696"/>
      <c r="AD1050" s="1696"/>
      <c r="AE1050" s="1697"/>
      <c r="AF1050" s="73"/>
      <c r="AG1050" s="443"/>
      <c r="AH1050" s="443"/>
      <c r="AI1050" s="83"/>
      <c r="AJ1050" s="1727"/>
      <c r="AK1050" s="1728"/>
      <c r="AL1050" s="1728"/>
      <c r="AM1050" s="1728"/>
      <c r="AN1050" s="1728"/>
      <c r="AO1050" s="1728"/>
      <c r="AP1050" s="1728"/>
      <c r="AQ1050" s="1729"/>
      <c r="AR1050" s="68"/>
      <c r="AS1050" s="68"/>
      <c r="AT1050" s="68"/>
      <c r="AU1050" s="68"/>
      <c r="AV1050" s="68"/>
      <c r="AW1050" s="68"/>
      <c r="AX1050" s="68"/>
      <c r="AY1050" s="68"/>
      <c r="AZ1050" s="962"/>
      <c r="BA1050" s="3"/>
      <c r="BB1050" s="3"/>
      <c r="BC1050" s="3"/>
      <c r="BD1050" s="3"/>
    </row>
    <row r="1051" spans="1:56" ht="12.95" customHeight="1">
      <c r="A1051" s="14"/>
      <c r="B1051" s="73"/>
      <c r="C1051" s="83"/>
      <c r="D1051" s="1695"/>
      <c r="E1051" s="1696"/>
      <c r="F1051" s="1696"/>
      <c r="G1051" s="1696"/>
      <c r="H1051" s="1696"/>
      <c r="I1051" s="1696"/>
      <c r="J1051" s="1696"/>
      <c r="K1051" s="1696"/>
      <c r="L1051" s="1696"/>
      <c r="M1051" s="1696"/>
      <c r="N1051" s="1696"/>
      <c r="O1051" s="1696"/>
      <c r="P1051" s="1696"/>
      <c r="Q1051" s="1696"/>
      <c r="R1051" s="1696"/>
      <c r="S1051" s="1696"/>
      <c r="T1051" s="1696"/>
      <c r="U1051" s="1696"/>
      <c r="V1051" s="1696"/>
      <c r="W1051" s="1696"/>
      <c r="X1051" s="1696"/>
      <c r="Y1051" s="1696"/>
      <c r="Z1051" s="1696"/>
      <c r="AA1051" s="1696"/>
      <c r="AB1051" s="1696"/>
      <c r="AC1051" s="1696"/>
      <c r="AD1051" s="1696"/>
      <c r="AE1051" s="1697"/>
      <c r="AF1051" s="921"/>
      <c r="AG1051" s="922"/>
      <c r="AH1051" s="922"/>
      <c r="AI1051" s="923"/>
      <c r="AJ1051" s="1727"/>
      <c r="AK1051" s="1728"/>
      <c r="AL1051" s="1728"/>
      <c r="AM1051" s="1728"/>
      <c r="AN1051" s="1728"/>
      <c r="AO1051" s="1728"/>
      <c r="AP1051" s="1728"/>
      <c r="AQ1051" s="1729"/>
      <c r="AR1051" s="68"/>
      <c r="AS1051" s="68"/>
      <c r="AT1051" s="68"/>
      <c r="AU1051" s="68"/>
      <c r="AV1051" s="68"/>
      <c r="AW1051" s="68"/>
      <c r="AX1051" s="68"/>
      <c r="AY1051" s="68"/>
      <c r="AZ1051" s="962">
        <f>ROUNDDOWN(MIN(SUM(AZ1046,AZ1047,AZ1048,AZ1049),BD1051),0)</f>
        <v>2500000</v>
      </c>
      <c r="BA1051" s="3" t="s">
        <v>2487</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87">
        <f>AY1003</f>
        <v>199</v>
      </c>
      <c r="J1052" s="1788"/>
      <c r="K1052" s="14"/>
      <c r="L1052" s="133"/>
      <c r="M1052" s="133"/>
      <c r="N1052" s="133"/>
      <c r="O1052" s="133"/>
      <c r="P1052" s="133"/>
      <c r="Q1052" s="133"/>
      <c r="R1052" s="133"/>
      <c r="S1052" s="133"/>
      <c r="T1052" s="133"/>
      <c r="U1052" s="133"/>
      <c r="V1052" s="134" t="s">
        <v>975</v>
      </c>
      <c r="X1052" s="1785">
        <f>CM753</f>
        <v>21</v>
      </c>
      <c r="Y1052" s="1786"/>
      <c r="AF1052" s="924"/>
      <c r="AG1052" s="925"/>
      <c r="AH1052" s="925"/>
      <c r="AI1052" s="926"/>
      <c r="AJ1052" s="1730"/>
      <c r="AK1052" s="1731"/>
      <c r="AL1052" s="1731"/>
      <c r="AM1052" s="1731"/>
      <c r="AN1052" s="1731"/>
      <c r="AO1052" s="1731"/>
      <c r="AP1052" s="1731"/>
      <c r="AQ1052" s="1732"/>
      <c r="AR1052" s="68"/>
      <c r="AS1052" s="68"/>
      <c r="AT1052" s="68"/>
      <c r="AU1052" s="68"/>
      <c r="AV1052" s="68"/>
      <c r="AW1052" s="68"/>
      <c r="AX1052" s="68"/>
      <c r="AY1052" s="68"/>
      <c r="AZ1052" s="962">
        <f>ROUNDDOWN(MAX(0,BA1052*(SUM(AG1093,AL1093,AZ1045)-BD1052))+BF1052,0)</f>
        <v>0</v>
      </c>
      <c r="BA1052" s="1182">
        <f>IF(L1042,7%,5%)</f>
        <v>0.05</v>
      </c>
      <c r="BB1052" s="3" t="s">
        <v>2488</v>
      </c>
      <c r="BC1052" s="3"/>
      <c r="BD1052" s="3">
        <v>6666667</v>
      </c>
    </row>
    <row r="1053" spans="1:56" ht="12.95" customHeight="1">
      <c r="A1053" s="14"/>
      <c r="B1053" s="102"/>
      <c r="C1053" s="103"/>
      <c r="D1053" s="1783" t="s">
        <v>514</v>
      </c>
      <c r="E1053" s="1783"/>
      <c r="F1053" s="1783"/>
      <c r="G1053" s="1783"/>
      <c r="H1053" s="1783"/>
      <c r="I1053" s="1783"/>
      <c r="J1053" s="1783"/>
      <c r="K1053" s="1783"/>
      <c r="L1053" s="1783"/>
      <c r="M1053" s="1783"/>
      <c r="N1053" s="1783"/>
      <c r="O1053" s="1783"/>
      <c r="P1053" s="1783"/>
      <c r="Q1053" s="1783"/>
      <c r="R1053" s="1783"/>
      <c r="S1053" s="1783"/>
      <c r="T1053" s="1783"/>
      <c r="U1053" s="1783"/>
      <c r="V1053" s="1783"/>
      <c r="W1053" s="1783"/>
      <c r="X1053" s="1783"/>
      <c r="Y1053" s="1783"/>
      <c r="Z1053" s="1783"/>
      <c r="AA1053" s="1783"/>
      <c r="AB1053" s="1783"/>
      <c r="AC1053" s="1783"/>
      <c r="AD1053" s="1783"/>
      <c r="AE1053" s="1783"/>
      <c r="AF1053" s="1783"/>
      <c r="AG1053" s="1783"/>
      <c r="AH1053" s="1783"/>
      <c r="AI1053" s="1784"/>
      <c r="AJ1053" s="1798">
        <f>SUM(AJ992:AQ1052)</f>
        <v>139644600</v>
      </c>
      <c r="AK1053" s="1799"/>
      <c r="AL1053" s="1799"/>
      <c r="AM1053" s="1799"/>
      <c r="AN1053" s="1799"/>
      <c r="AO1053" s="1799"/>
      <c r="AP1053" s="1799"/>
      <c r="AQ1053" s="1800"/>
      <c r="AR1053" s="68"/>
      <c r="AS1053" s="68"/>
      <c r="AT1053" s="68"/>
      <c r="AU1053" s="68"/>
      <c r="AV1053" s="68"/>
      <c r="AW1053" s="68"/>
      <c r="AX1053" s="68"/>
      <c r="AY1053" s="68"/>
      <c r="AZ1053" s="1181">
        <v>6000000</v>
      </c>
      <c r="BA1053" s="3" t="s">
        <v>2489</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2474</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2490</v>
      </c>
      <c r="BC1055" s="3"/>
      <c r="BD1055" s="3"/>
    </row>
    <row r="1056" spans="1:56" ht="12.95" customHeight="1">
      <c r="A1056" s="14"/>
      <c r="B1056" s="68"/>
      <c r="C1056" s="68"/>
      <c r="D1056" s="68"/>
      <c r="E1056" s="68"/>
      <c r="F1056" s="68"/>
      <c r="G1056" s="1176" t="s">
        <v>2475</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70059626</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9128943.9000000004</v>
      </c>
      <c r="BB1056" s="3" t="s">
        <v>2491</v>
      </c>
      <c r="BC1056" s="3"/>
      <c r="BD1056" s="3"/>
    </row>
    <row r="1057" spans="1:54" ht="12.95" customHeight="1">
      <c r="A1057" s="14"/>
      <c r="B1057" s="68"/>
      <c r="C1057" s="68"/>
      <c r="D1057" s="68"/>
      <c r="E1057" s="68"/>
      <c r="F1057" s="68"/>
      <c r="G1057" s="1176"/>
      <c r="H1057" s="1176" t="s">
        <v>2476</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0.56380859581821696</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9200000</v>
      </c>
      <c r="BB1058" s="3" t="s">
        <v>2497</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6700000</v>
      </c>
      <c r="BB1059" s="3" t="s">
        <v>2498</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6" t="s">
        <v>795</v>
      </c>
      <c r="B1061" s="1836"/>
      <c r="C1061" s="1836"/>
      <c r="D1061" s="1836"/>
      <c r="E1061" s="1836"/>
      <c r="F1061" s="1836"/>
      <c r="G1061" s="1836"/>
      <c r="H1061" s="1836"/>
      <c r="I1061" s="1836"/>
      <c r="J1061" s="1836"/>
      <c r="K1061" s="1836"/>
      <c r="L1061" s="1836"/>
      <c r="M1061" s="1836"/>
      <c r="N1061" s="1836"/>
      <c r="O1061" s="1836"/>
      <c r="P1061" s="1836"/>
      <c r="Q1061" s="1836"/>
      <c r="R1061" s="1836"/>
      <c r="S1061" s="1836"/>
      <c r="T1061" s="1836"/>
      <c r="U1061" s="1836"/>
      <c r="V1061" s="1836"/>
      <c r="W1061" s="1836"/>
      <c r="X1061" s="1836"/>
      <c r="Y1061" s="1836"/>
      <c r="Z1061" s="1836"/>
      <c r="AA1061" s="1836"/>
      <c r="AB1061" s="1836"/>
      <c r="AC1061" s="1836"/>
      <c r="AD1061" s="1836"/>
      <c r="AE1061" s="1836"/>
      <c r="AF1061" s="1836"/>
      <c r="AG1061" s="1836"/>
      <c r="AH1061" s="1836"/>
      <c r="AI1061" s="1836"/>
      <c r="AJ1061" s="1836"/>
      <c r="AK1061" s="1836"/>
      <c r="AL1061" s="1836"/>
      <c r="AM1061" s="1836"/>
      <c r="AN1061" s="1836"/>
      <c r="AO1061" s="1836"/>
      <c r="AP1061" s="1836"/>
      <c r="AQ1061" s="1836"/>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5">
        <v>1</v>
      </c>
      <c r="D1065" s="1855"/>
      <c r="E1065" s="14" t="s">
        <v>2240</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5">
        <v>2</v>
      </c>
      <c r="D1067" s="1855"/>
      <c r="E1067" s="1857" t="s">
        <v>2241</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2.95"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2.95"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2245</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2246</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2141</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5">
        <v>9</v>
      </c>
      <c r="D1097" s="1855"/>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5">
        <v>10</v>
      </c>
      <c r="D1100" s="1855"/>
      <c r="E1100" s="1856" t="s">
        <v>2242</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2.95"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5">
        <v>11</v>
      </c>
      <c r="D1103" s="1855"/>
      <c r="E1103" s="1856" t="s">
        <v>2244</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2.95"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13" fitToHeight="3"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42" workbookViewId="0">
      <selection activeCell="A135" sqref="A13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4" t="s">
        <v>622</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374</v>
      </c>
      <c r="D2" s="138" t="s">
        <v>373</v>
      </c>
      <c r="E2" s="138" t="s">
        <v>24</v>
      </c>
      <c r="F2" s="139" t="str">
        <f>Application!B627&amp;Application!C627</f>
        <v>1)JPMorgan Chase Bank, N.A.</v>
      </c>
      <c r="G2" s="139" t="str">
        <f>Application!B628&amp;Application!C628</f>
        <v>2)St. Anton Communities, LLC</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2350000</v>
      </c>
      <c r="C4" s="147">
        <v>2350000</v>
      </c>
      <c r="D4" s="147"/>
      <c r="E4" s="147"/>
      <c r="F4" s="147">
        <v>2350000</v>
      </c>
      <c r="G4" s="147"/>
      <c r="H4" s="147"/>
      <c r="I4" s="147"/>
      <c r="J4" s="147"/>
      <c r="K4" s="147"/>
      <c r="L4" s="147"/>
      <c r="M4" s="147"/>
      <c r="N4" s="147"/>
      <c r="O4" s="147"/>
      <c r="P4" s="147"/>
      <c r="Q4" s="147"/>
      <c r="R4" s="516">
        <f>SUM(E4:Q4)</f>
        <v>2350000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2350000</v>
      </c>
      <c r="C8" s="146">
        <f t="shared" ref="C8:Q8" si="0">SUM(C4:C7)</f>
        <v>2350000</v>
      </c>
      <c r="D8" s="146">
        <f t="shared" si="0"/>
        <v>0</v>
      </c>
      <c r="E8" s="146">
        <f t="shared" si="0"/>
        <v>0</v>
      </c>
      <c r="F8" s="146">
        <f t="shared" si="0"/>
        <v>2350000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2350000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2350000</v>
      </c>
      <c r="C12" s="146">
        <f t="shared" si="2"/>
        <v>2350000</v>
      </c>
      <c r="D12" s="146">
        <f t="shared" si="2"/>
        <v>0</v>
      </c>
      <c r="E12" s="146">
        <f t="shared" si="2"/>
        <v>0</v>
      </c>
      <c r="F12" s="146">
        <f t="shared" si="2"/>
        <v>2350000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2350000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1645</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5"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1642</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ref="B26" si="5">SUM(C26+D26)</f>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7" si="7">SUM(C29+D29)</f>
        <v>0</v>
      </c>
      <c r="C29" s="147"/>
      <c r="D29" s="147"/>
      <c r="E29" s="147"/>
      <c r="F29" s="147"/>
      <c r="G29" s="147"/>
      <c r="H29" s="147"/>
      <c r="I29" s="147"/>
      <c r="J29" s="147"/>
      <c r="K29" s="147"/>
      <c r="L29" s="147"/>
      <c r="M29" s="147"/>
      <c r="N29" s="147"/>
      <c r="O29" s="147"/>
      <c r="P29" s="147"/>
      <c r="Q29" s="147"/>
      <c r="R29" s="516">
        <f t="shared" ref="R29:R37" si="8">SUM(E29:Q29)</f>
        <v>0</v>
      </c>
      <c r="S29" s="147">
        <f>R29</f>
        <v>0</v>
      </c>
      <c r="T29" s="147"/>
      <c r="U29" s="143"/>
    </row>
    <row r="30" spans="1:21" s="144" customFormat="1">
      <c r="A30" s="145" t="s">
        <v>600</v>
      </c>
      <c r="B30" s="146">
        <f t="shared" si="7"/>
        <v>34541000</v>
      </c>
      <c r="C30" s="147">
        <v>34541000</v>
      </c>
      <c r="D30" s="147"/>
      <c r="E30" s="147">
        <v>34229323</v>
      </c>
      <c r="F30" s="147">
        <v>311677</v>
      </c>
      <c r="G30" s="147"/>
      <c r="H30" s="147"/>
      <c r="I30" s="147"/>
      <c r="J30" s="147"/>
      <c r="K30" s="147"/>
      <c r="L30" s="147"/>
      <c r="M30" s="147"/>
      <c r="N30" s="147"/>
      <c r="O30" s="147"/>
      <c r="P30" s="147"/>
      <c r="Q30" s="147"/>
      <c r="R30" s="516">
        <f t="shared" si="8"/>
        <v>34541000</v>
      </c>
      <c r="S30" s="147">
        <f t="shared" ref="S30:S37" si="9">R30</f>
        <v>34541000</v>
      </c>
      <c r="T30" s="147"/>
      <c r="U30" s="143"/>
    </row>
    <row r="31" spans="1:21" s="144" customFormat="1">
      <c r="A31" s="145" t="s">
        <v>601</v>
      </c>
      <c r="B31" s="146">
        <f t="shared" si="7"/>
        <v>1036500</v>
      </c>
      <c r="C31" s="147">
        <v>1036500</v>
      </c>
      <c r="D31" s="147"/>
      <c r="E31" s="147"/>
      <c r="F31" s="147">
        <v>1036500</v>
      </c>
      <c r="G31" s="147"/>
      <c r="H31" s="147"/>
      <c r="I31" s="147"/>
      <c r="J31" s="147"/>
      <c r="K31" s="147"/>
      <c r="L31" s="147"/>
      <c r="M31" s="147"/>
      <c r="N31" s="147"/>
      <c r="O31" s="147"/>
      <c r="P31" s="147"/>
      <c r="Q31" s="147"/>
      <c r="R31" s="516">
        <f t="shared" si="8"/>
        <v>1036500</v>
      </c>
      <c r="S31" s="147">
        <f t="shared" si="9"/>
        <v>1036500</v>
      </c>
      <c r="T31" s="147"/>
      <c r="U31" s="143"/>
    </row>
    <row r="32" spans="1:21" s="144" customFormat="1">
      <c r="A32" s="145" t="s">
        <v>137</v>
      </c>
      <c r="B32" s="146">
        <f t="shared" si="7"/>
        <v>2418500</v>
      </c>
      <c r="C32" s="147">
        <v>2418500</v>
      </c>
      <c r="D32" s="147"/>
      <c r="E32" s="147"/>
      <c r="F32" s="147">
        <v>2418500</v>
      </c>
      <c r="G32" s="147"/>
      <c r="H32" s="147"/>
      <c r="I32" s="147"/>
      <c r="J32" s="147"/>
      <c r="K32" s="147"/>
      <c r="L32" s="147"/>
      <c r="M32" s="147"/>
      <c r="N32" s="147"/>
      <c r="O32" s="147"/>
      <c r="P32" s="147"/>
      <c r="Q32" s="147"/>
      <c r="R32" s="516">
        <f t="shared" si="8"/>
        <v>2418500</v>
      </c>
      <c r="S32" s="147">
        <f t="shared" si="9"/>
        <v>2418500</v>
      </c>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16">
        <f t="shared" si="8"/>
        <v>0</v>
      </c>
      <c r="S33" s="147">
        <f t="shared" si="9"/>
        <v>0</v>
      </c>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16">
        <f t="shared" si="8"/>
        <v>0</v>
      </c>
      <c r="S34" s="147">
        <f t="shared" si="9"/>
        <v>0</v>
      </c>
      <c r="T34" s="147"/>
      <c r="U34" s="143"/>
    </row>
    <row r="35" spans="1:21" s="144" customFormat="1">
      <c r="A35" s="145" t="s">
        <v>140</v>
      </c>
      <c r="B35" s="146">
        <f t="shared" si="7"/>
        <v>160107</v>
      </c>
      <c r="C35" s="147">
        <v>160107</v>
      </c>
      <c r="D35" s="147"/>
      <c r="E35" s="147"/>
      <c r="F35" s="147">
        <v>160107</v>
      </c>
      <c r="G35" s="147"/>
      <c r="H35" s="147"/>
      <c r="I35" s="147"/>
      <c r="J35" s="147"/>
      <c r="K35" s="147"/>
      <c r="L35" s="147"/>
      <c r="M35" s="147"/>
      <c r="N35" s="147"/>
      <c r="O35" s="147"/>
      <c r="P35" s="147"/>
      <c r="Q35" s="147"/>
      <c r="R35" s="516">
        <f t="shared" si="8"/>
        <v>160107</v>
      </c>
      <c r="S35" s="147">
        <f t="shared" si="9"/>
        <v>160107</v>
      </c>
      <c r="T35" s="147"/>
      <c r="U35" s="143"/>
    </row>
    <row r="36" spans="1:21" s="144" customFormat="1">
      <c r="A36" s="283" t="s">
        <v>1642</v>
      </c>
      <c r="B36" s="146">
        <f t="shared" si="7"/>
        <v>0</v>
      </c>
      <c r="C36" s="147"/>
      <c r="D36" s="147"/>
      <c r="E36" s="147"/>
      <c r="F36" s="147"/>
      <c r="G36" s="147"/>
      <c r="H36" s="147"/>
      <c r="I36" s="147"/>
      <c r="J36" s="147"/>
      <c r="K36" s="147"/>
      <c r="L36" s="147"/>
      <c r="M36" s="147"/>
      <c r="N36" s="147"/>
      <c r="O36" s="147"/>
      <c r="P36" s="147"/>
      <c r="Q36" s="147"/>
      <c r="R36" s="516">
        <f t="shared" si="8"/>
        <v>0</v>
      </c>
      <c r="S36" s="147">
        <f t="shared" si="9"/>
        <v>0</v>
      </c>
      <c r="T36" s="147"/>
      <c r="U36" s="143"/>
    </row>
    <row r="37" spans="1:21" s="144" customFormat="1">
      <c r="A37" s="1149" t="s">
        <v>34</v>
      </c>
      <c r="B37" s="146">
        <f t="shared" si="7"/>
        <v>0</v>
      </c>
      <c r="C37" s="147"/>
      <c r="D37" s="147"/>
      <c r="E37" s="147"/>
      <c r="F37" s="147"/>
      <c r="G37" s="147"/>
      <c r="H37" s="147"/>
      <c r="I37" s="147"/>
      <c r="J37" s="147"/>
      <c r="K37" s="147"/>
      <c r="L37" s="147"/>
      <c r="M37" s="147"/>
      <c r="N37" s="147"/>
      <c r="O37" s="147"/>
      <c r="P37" s="147"/>
      <c r="Q37" s="147"/>
      <c r="R37" s="516">
        <f t="shared" si="8"/>
        <v>0</v>
      </c>
      <c r="S37" s="147">
        <f t="shared" si="9"/>
        <v>0</v>
      </c>
      <c r="T37" s="147"/>
      <c r="U37" s="143"/>
    </row>
    <row r="38" spans="1:21" s="144" customFormat="1">
      <c r="A38" s="149" t="s">
        <v>143</v>
      </c>
      <c r="B38" s="146">
        <f t="shared" ref="B38" si="10">SUM(C38+D38)</f>
        <v>38156107</v>
      </c>
      <c r="C38" s="146">
        <f>SUM(C29:C37)</f>
        <v>38156107</v>
      </c>
      <c r="D38" s="146">
        <f t="shared" ref="D38:Q38" si="11">SUM(D29:D37)</f>
        <v>0</v>
      </c>
      <c r="E38" s="146">
        <f t="shared" si="11"/>
        <v>34229323</v>
      </c>
      <c r="F38" s="146">
        <f t="shared" si="11"/>
        <v>3926784</v>
      </c>
      <c r="G38" s="146">
        <f t="shared" si="11"/>
        <v>0</v>
      </c>
      <c r="H38" s="146">
        <f t="shared" si="11"/>
        <v>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42">
        <f>SUM(R29:R37)</f>
        <v>38156107</v>
      </c>
      <c r="S38" s="150">
        <f>SUM(S29:S37)</f>
        <v>38156107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350000</v>
      </c>
      <c r="C40" s="147">
        <v>350000</v>
      </c>
      <c r="D40" s="147"/>
      <c r="E40" s="147"/>
      <c r="F40" s="147">
        <v>350000</v>
      </c>
      <c r="G40" s="147"/>
      <c r="H40" s="147"/>
      <c r="I40" s="147"/>
      <c r="J40" s="147"/>
      <c r="K40" s="147"/>
      <c r="L40" s="147"/>
      <c r="M40" s="147"/>
      <c r="N40" s="147"/>
      <c r="O40" s="147"/>
      <c r="P40" s="147"/>
      <c r="Q40" s="147"/>
      <c r="R40" s="516">
        <f>SUM(E40:Q40)</f>
        <v>350000</v>
      </c>
      <c r="S40" s="147">
        <f>R40</f>
        <v>350000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f>R41</f>
        <v>0</v>
      </c>
      <c r="T41" s="147"/>
      <c r="U41" s="143"/>
    </row>
    <row r="42" spans="1:21" s="144" customFormat="1">
      <c r="A42" s="149" t="s">
        <v>147</v>
      </c>
      <c r="B42" s="146">
        <f>SUM(C42:D42)</f>
        <v>350000</v>
      </c>
      <c r="C42" s="146">
        <f>SUM(C39:C41)</f>
        <v>350000</v>
      </c>
      <c r="D42" s="146">
        <f>SUM(D39:D41)</f>
        <v>0</v>
      </c>
      <c r="E42" s="146">
        <f t="shared" ref="E42:T42" si="12">SUM(E40:E41)</f>
        <v>0</v>
      </c>
      <c r="F42" s="146">
        <f t="shared" si="12"/>
        <v>350000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350000</v>
      </c>
      <c r="S42" s="150">
        <f t="shared" si="12"/>
        <v>350000</v>
      </c>
      <c r="T42" s="150">
        <f t="shared" si="12"/>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6241933</v>
      </c>
      <c r="C45" s="147">
        <v>6241933</v>
      </c>
      <c r="D45" s="147"/>
      <c r="E45" s="147"/>
      <c r="F45" s="147">
        <v>6241933</v>
      </c>
      <c r="G45" s="147"/>
      <c r="H45" s="147"/>
      <c r="I45" s="147"/>
      <c r="J45" s="147"/>
      <c r="K45" s="147"/>
      <c r="L45" s="147"/>
      <c r="M45" s="147"/>
      <c r="N45" s="147"/>
      <c r="O45" s="147"/>
      <c r="P45" s="147"/>
      <c r="Q45" s="147"/>
      <c r="R45" s="516">
        <f t="shared" ref="R45:R53" si="14">SUM(E45:Q45)</f>
        <v>6241933</v>
      </c>
      <c r="S45" s="147">
        <f>R45</f>
        <v>6241933</v>
      </c>
      <c r="T45" s="147"/>
      <c r="U45" s="143"/>
    </row>
    <row r="46" spans="1:21" s="144" customFormat="1">
      <c r="A46" s="145" t="s">
        <v>151</v>
      </c>
      <c r="B46" s="146">
        <f t="shared" si="13"/>
        <v>374025</v>
      </c>
      <c r="C46" s="147">
        <v>374025</v>
      </c>
      <c r="D46" s="147"/>
      <c r="E46" s="147"/>
      <c r="F46" s="147">
        <v>374025</v>
      </c>
      <c r="G46" s="147"/>
      <c r="H46" s="147"/>
      <c r="I46" s="147"/>
      <c r="J46" s="147"/>
      <c r="K46" s="147"/>
      <c r="L46" s="147"/>
      <c r="M46" s="147"/>
      <c r="N46" s="147"/>
      <c r="O46" s="147"/>
      <c r="P46" s="147"/>
      <c r="Q46" s="147"/>
      <c r="R46" s="516">
        <f t="shared" si="14"/>
        <v>374025</v>
      </c>
      <c r="S46" s="147">
        <v>325000</v>
      </c>
      <c r="T46" s="147"/>
      <c r="U46" s="143"/>
    </row>
    <row r="47" spans="1:21" s="144" customFormat="1">
      <c r="A47" s="186" t="s">
        <v>152</v>
      </c>
      <c r="B47" s="146">
        <f t="shared" si="13"/>
        <v>50000</v>
      </c>
      <c r="C47" s="147">
        <v>50000</v>
      </c>
      <c r="D47" s="147"/>
      <c r="E47" s="147"/>
      <c r="F47" s="147">
        <v>50000</v>
      </c>
      <c r="G47" s="147"/>
      <c r="H47" s="147"/>
      <c r="I47" s="147"/>
      <c r="J47" s="147"/>
      <c r="K47" s="147"/>
      <c r="L47" s="147"/>
      <c r="M47" s="147"/>
      <c r="N47" s="147"/>
      <c r="O47" s="147"/>
      <c r="P47" s="147"/>
      <c r="Q47" s="147"/>
      <c r="R47" s="516">
        <f t="shared" si="14"/>
        <v>50000</v>
      </c>
      <c r="S47" s="147">
        <v>50000</v>
      </c>
      <c r="T47" s="147"/>
      <c r="U47" s="143"/>
    </row>
    <row r="48" spans="1:21" s="144" customFormat="1">
      <c r="A48" s="145" t="s">
        <v>153</v>
      </c>
      <c r="B48" s="146">
        <f t="shared" si="13"/>
        <v>0</v>
      </c>
      <c r="C48" s="147"/>
      <c r="D48" s="147"/>
      <c r="E48" s="147"/>
      <c r="F48" s="147"/>
      <c r="G48" s="147"/>
      <c r="H48" s="147"/>
      <c r="I48" s="147"/>
      <c r="J48" s="147"/>
      <c r="K48" s="147"/>
      <c r="L48" s="147"/>
      <c r="M48" s="147"/>
      <c r="N48" s="147"/>
      <c r="O48" s="147"/>
      <c r="P48" s="147"/>
      <c r="Q48" s="147"/>
      <c r="R48" s="516">
        <f t="shared" si="14"/>
        <v>0</v>
      </c>
      <c r="S48" s="147">
        <v>0</v>
      </c>
      <c r="T48" s="147"/>
      <c r="U48" s="143"/>
    </row>
    <row r="49" spans="1:21" s="144" customFormat="1">
      <c r="A49" s="145" t="s">
        <v>57</v>
      </c>
      <c r="B49" s="146">
        <f t="shared" si="13"/>
        <v>194620</v>
      </c>
      <c r="C49" s="147">
        <v>194620</v>
      </c>
      <c r="D49" s="147"/>
      <c r="E49" s="147"/>
      <c r="F49" s="147">
        <v>194620</v>
      </c>
      <c r="G49" s="147"/>
      <c r="H49" s="147"/>
      <c r="I49" s="147"/>
      <c r="J49" s="147"/>
      <c r="K49" s="147"/>
      <c r="L49" s="147"/>
      <c r="M49" s="147"/>
      <c r="N49" s="147"/>
      <c r="O49" s="147"/>
      <c r="P49" s="147"/>
      <c r="Q49" s="147"/>
      <c r="R49" s="516">
        <f t="shared" si="14"/>
        <v>194620</v>
      </c>
      <c r="S49" s="147">
        <v>0</v>
      </c>
      <c r="T49" s="147"/>
      <c r="U49" s="143"/>
    </row>
    <row r="50" spans="1:21" s="144" customFormat="1">
      <c r="A50" s="145" t="s">
        <v>156</v>
      </c>
      <c r="B50" s="146">
        <f t="shared" si="13"/>
        <v>80000</v>
      </c>
      <c r="C50" s="147">
        <v>80000</v>
      </c>
      <c r="D50" s="147"/>
      <c r="E50" s="147"/>
      <c r="F50" s="147">
        <v>80000</v>
      </c>
      <c r="G50" s="147"/>
      <c r="H50" s="147"/>
      <c r="I50" s="147"/>
      <c r="J50" s="147"/>
      <c r="K50" s="147"/>
      <c r="L50" s="147"/>
      <c r="M50" s="147"/>
      <c r="N50" s="147"/>
      <c r="O50" s="147"/>
      <c r="P50" s="147"/>
      <c r="Q50" s="147"/>
      <c r="R50" s="516">
        <f t="shared" si="14"/>
        <v>80000</v>
      </c>
      <c r="S50" s="147">
        <v>80000</v>
      </c>
      <c r="T50" s="147"/>
      <c r="U50" s="143"/>
    </row>
    <row r="51" spans="1:21" s="144" customFormat="1">
      <c r="A51" s="283" t="s">
        <v>154</v>
      </c>
      <c r="B51" s="146">
        <f t="shared" si="13"/>
        <v>0</v>
      </c>
      <c r="C51" s="147"/>
      <c r="D51" s="147"/>
      <c r="E51" s="147"/>
      <c r="F51" s="147"/>
      <c r="G51" s="147"/>
      <c r="H51" s="147"/>
      <c r="I51" s="147"/>
      <c r="J51" s="147"/>
      <c r="K51" s="147"/>
      <c r="L51" s="147"/>
      <c r="M51" s="147"/>
      <c r="N51" s="147"/>
      <c r="O51" s="147"/>
      <c r="P51" s="147"/>
      <c r="Q51" s="147"/>
      <c r="R51" s="516">
        <f t="shared" si="14"/>
        <v>0</v>
      </c>
      <c r="S51" s="147">
        <v>0</v>
      </c>
      <c r="T51" s="147"/>
      <c r="U51" s="143"/>
    </row>
    <row r="52" spans="1:21" s="144" customFormat="1">
      <c r="A52" s="145" t="s">
        <v>155</v>
      </c>
      <c r="B52" s="146">
        <f t="shared" si="13"/>
        <v>0</v>
      </c>
      <c r="C52" s="147"/>
      <c r="D52" s="147"/>
      <c r="E52" s="147"/>
      <c r="F52" s="147"/>
      <c r="G52" s="147"/>
      <c r="H52" s="147"/>
      <c r="I52" s="147"/>
      <c r="J52" s="147"/>
      <c r="K52" s="147"/>
      <c r="L52" s="147"/>
      <c r="M52" s="147"/>
      <c r="N52" s="147"/>
      <c r="O52" s="147"/>
      <c r="P52" s="147"/>
      <c r="Q52" s="147"/>
      <c r="R52" s="516">
        <f t="shared" si="14"/>
        <v>0</v>
      </c>
      <c r="S52" s="147">
        <v>0</v>
      </c>
      <c r="T52" s="147"/>
      <c r="U52" s="143"/>
    </row>
    <row r="53" spans="1:21" s="144" customFormat="1">
      <c r="A53" s="1149" t="s">
        <v>34</v>
      </c>
      <c r="B53" s="146">
        <f t="shared" si="13"/>
        <v>0</v>
      </c>
      <c r="C53" s="147"/>
      <c r="D53" s="147"/>
      <c r="E53" s="147"/>
      <c r="F53" s="147"/>
      <c r="G53" s="147"/>
      <c r="H53" s="147"/>
      <c r="I53" s="147"/>
      <c r="J53" s="147"/>
      <c r="K53" s="147"/>
      <c r="L53" s="147"/>
      <c r="M53" s="147"/>
      <c r="N53" s="147"/>
      <c r="O53" s="147"/>
      <c r="P53" s="147"/>
      <c r="Q53" s="147"/>
      <c r="R53" s="516">
        <f t="shared" si="14"/>
        <v>0</v>
      </c>
      <c r="S53" s="147">
        <v>0</v>
      </c>
      <c r="T53" s="147"/>
      <c r="U53" s="143"/>
    </row>
    <row r="54" spans="1:21" s="153" customFormat="1">
      <c r="A54" s="149" t="s">
        <v>157</v>
      </c>
      <c r="B54" s="150">
        <f>SUM(C54:D54)</f>
        <v>6940578</v>
      </c>
      <c r="C54" s="150">
        <f t="shared" ref="C54:T54" si="15">SUM(C45:C53)</f>
        <v>6940578</v>
      </c>
      <c r="D54" s="150">
        <f t="shared" si="15"/>
        <v>0</v>
      </c>
      <c r="E54" s="150">
        <f t="shared" si="15"/>
        <v>0</v>
      </c>
      <c r="F54" s="150">
        <f t="shared" si="15"/>
        <v>6940578</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6940578</v>
      </c>
      <c r="S54" s="150">
        <f t="shared" si="15"/>
        <v>6696933</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189900</v>
      </c>
      <c r="C56" s="147">
        <v>189900</v>
      </c>
      <c r="D56" s="147"/>
      <c r="E56" s="147">
        <v>189900</v>
      </c>
      <c r="F56" s="147"/>
      <c r="G56" s="147"/>
      <c r="H56" s="147"/>
      <c r="I56" s="147"/>
      <c r="J56" s="147"/>
      <c r="K56" s="147"/>
      <c r="L56" s="147"/>
      <c r="M56" s="147"/>
      <c r="N56" s="147"/>
      <c r="O56" s="147"/>
      <c r="P56" s="147"/>
      <c r="Q56" s="147"/>
      <c r="R56" s="516">
        <f t="shared" ref="R56:R61" si="17">SUM(E56:Q56)</f>
        <v>189900</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0</v>
      </c>
      <c r="C58" s="147"/>
      <c r="D58" s="147"/>
      <c r="E58" s="147"/>
      <c r="F58" s="147"/>
      <c r="G58" s="147"/>
      <c r="H58" s="147"/>
      <c r="I58" s="147"/>
      <c r="J58" s="147"/>
      <c r="K58" s="147"/>
      <c r="L58" s="147"/>
      <c r="M58" s="147"/>
      <c r="N58" s="147"/>
      <c r="O58" s="147"/>
      <c r="P58" s="147"/>
      <c r="Q58" s="147"/>
      <c r="R58" s="516">
        <f t="shared" si="17"/>
        <v>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58800</v>
      </c>
      <c r="C60" s="147">
        <v>58800</v>
      </c>
      <c r="D60" s="147"/>
      <c r="E60" s="147">
        <v>58800</v>
      </c>
      <c r="F60" s="147"/>
      <c r="G60" s="147"/>
      <c r="H60" s="147"/>
      <c r="I60" s="147"/>
      <c r="J60" s="147"/>
      <c r="K60" s="147"/>
      <c r="L60" s="147"/>
      <c r="M60" s="147"/>
      <c r="N60" s="147"/>
      <c r="O60" s="147"/>
      <c r="P60" s="147"/>
      <c r="Q60" s="147"/>
      <c r="R60" s="516">
        <f t="shared" si="17"/>
        <v>58800</v>
      </c>
      <c r="S60" s="148"/>
      <c r="T60" s="148"/>
      <c r="U60" s="143"/>
    </row>
    <row r="61" spans="1:21" s="144" customFormat="1">
      <c r="A61" s="1149" t="s">
        <v>34</v>
      </c>
      <c r="B61" s="146">
        <f t="shared" si="16"/>
        <v>0</v>
      </c>
      <c r="C61" s="147"/>
      <c r="D61" s="147"/>
      <c r="E61" s="147"/>
      <c r="F61" s="147"/>
      <c r="G61" s="147"/>
      <c r="H61" s="147"/>
      <c r="I61" s="147"/>
      <c r="J61" s="147"/>
      <c r="K61" s="147"/>
      <c r="L61" s="147"/>
      <c r="M61" s="147"/>
      <c r="N61" s="147"/>
      <c r="O61" s="147"/>
      <c r="P61" s="147"/>
      <c r="Q61" s="147"/>
      <c r="R61" s="516">
        <f t="shared" si="17"/>
        <v>0</v>
      </c>
      <c r="S61" s="148"/>
      <c r="T61" s="148"/>
      <c r="U61" s="143"/>
    </row>
    <row r="62" spans="1:21" s="144" customFormat="1" ht="13.7" customHeight="1">
      <c r="A62" s="149" t="s">
        <v>301</v>
      </c>
      <c r="B62" s="146">
        <f>SUM(C62:D62)</f>
        <v>248700</v>
      </c>
      <c r="C62" s="146">
        <f t="shared" ref="C62:R62" si="18">SUM(C56:C61)</f>
        <v>248700</v>
      </c>
      <c r="D62" s="146">
        <f t="shared" si="18"/>
        <v>0</v>
      </c>
      <c r="E62" s="146">
        <f t="shared" si="18"/>
        <v>248700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248700</v>
      </c>
      <c r="S62" s="148"/>
      <c r="T62" s="148"/>
      <c r="U62" s="143"/>
    </row>
    <row r="63" spans="1:21" s="144" customFormat="1">
      <c r="A63" s="154" t="s">
        <v>302</v>
      </c>
      <c r="B63" s="146">
        <f t="shared" ref="B63:R63" si="19">SUM(B8+B11+B13+B14+B15+B26+B27+B38+B42+B43+B54+B62)</f>
        <v>48045385</v>
      </c>
      <c r="C63" s="146">
        <f t="shared" si="19"/>
        <v>48045385</v>
      </c>
      <c r="D63" s="146">
        <f t="shared" si="19"/>
        <v>0</v>
      </c>
      <c r="E63" s="146">
        <f t="shared" si="19"/>
        <v>34478023</v>
      </c>
      <c r="F63" s="146">
        <f t="shared" si="19"/>
        <v>13567362</v>
      </c>
      <c r="G63" s="146">
        <f t="shared" si="19"/>
        <v>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48045385</v>
      </c>
      <c r="S63" s="146">
        <f>SUM(S10+S13+S14+S15+S26+S27+S38+S42+S43+S54)</f>
        <v>45203040</v>
      </c>
      <c r="T63" s="146">
        <f>SUM(T11+T13+T14+T15+T26+T27+T38+T42+T43+T54)</f>
        <v>0</v>
      </c>
      <c r="U63" s="143"/>
    </row>
    <row r="64" spans="1:21" s="144" customFormat="1" ht="24">
      <c r="A64" s="141" t="s">
        <v>1646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90000</v>
      </c>
      <c r="C65" s="147">
        <v>90000</v>
      </c>
      <c r="D65" s="147"/>
      <c r="E65" s="147"/>
      <c r="F65" s="147">
        <v>90000</v>
      </c>
      <c r="G65" s="147"/>
      <c r="H65" s="147"/>
      <c r="I65" s="147"/>
      <c r="J65" s="147"/>
      <c r="K65" s="147"/>
      <c r="L65" s="147"/>
      <c r="M65" s="147"/>
      <c r="N65" s="147"/>
      <c r="O65" s="147"/>
      <c r="P65" s="147"/>
      <c r="Q65" s="147"/>
      <c r="R65" s="516">
        <f>SUM(E65:Q65)</f>
        <v>90000</v>
      </c>
      <c r="S65" s="147">
        <f>R65</f>
        <v>90000</v>
      </c>
      <c r="T65" s="147"/>
      <c r="U65" s="143"/>
    </row>
    <row r="66" spans="1:21" s="144" customFormat="1" ht="24" customHeight="1">
      <c r="A66" s="283" t="s">
        <v>1643</v>
      </c>
      <c r="B66" s="146">
        <f>SUM(C66+D66)</f>
        <v>0</v>
      </c>
      <c r="C66" s="147"/>
      <c r="D66" s="147"/>
      <c r="E66" s="147"/>
      <c r="F66" s="147"/>
      <c r="G66" s="147"/>
      <c r="H66" s="147"/>
      <c r="I66" s="147"/>
      <c r="J66" s="147"/>
      <c r="K66" s="147"/>
      <c r="L66" s="147"/>
      <c r="M66" s="147"/>
      <c r="N66" s="147"/>
      <c r="O66" s="147"/>
      <c r="P66" s="147"/>
      <c r="Q66" s="147"/>
      <c r="R66" s="516">
        <f>SUM(E66:Q66)</f>
        <v>0</v>
      </c>
      <c r="S66" s="147">
        <f t="shared" ref="S66:S68" si="20">R66</f>
        <v>0</v>
      </c>
      <c r="T66" s="147"/>
      <c r="U66" s="143"/>
    </row>
    <row r="67" spans="1:21" s="144" customFormat="1" ht="24" customHeight="1">
      <c r="A67" s="283" t="s">
        <v>1644</v>
      </c>
      <c r="B67" s="146">
        <f>SUM(C67+D67)</f>
        <v>0</v>
      </c>
      <c r="C67" s="147"/>
      <c r="D67" s="147"/>
      <c r="E67" s="147"/>
      <c r="F67" s="147"/>
      <c r="G67" s="147"/>
      <c r="H67" s="147"/>
      <c r="I67" s="147"/>
      <c r="J67" s="147"/>
      <c r="K67" s="147"/>
      <c r="L67" s="147"/>
      <c r="M67" s="147"/>
      <c r="N67" s="147"/>
      <c r="O67" s="147"/>
      <c r="P67" s="147"/>
      <c r="Q67" s="147"/>
      <c r="R67" s="516">
        <f>SUM(E67:Q67)</f>
        <v>0</v>
      </c>
      <c r="S67" s="147">
        <f t="shared" si="20"/>
        <v>0</v>
      </c>
      <c r="T67" s="147"/>
      <c r="U67" s="143"/>
    </row>
    <row r="68" spans="1:21" s="144" customFormat="1" ht="12" customHeight="1">
      <c r="A68" s="283" t="s">
        <v>1650</v>
      </c>
      <c r="B68" s="146">
        <f>SUM(C68+D68)</f>
        <v>0</v>
      </c>
      <c r="C68" s="147"/>
      <c r="D68" s="147"/>
      <c r="E68" s="147"/>
      <c r="F68" s="147"/>
      <c r="G68" s="147"/>
      <c r="H68" s="147"/>
      <c r="I68" s="147"/>
      <c r="J68" s="147"/>
      <c r="K68" s="147"/>
      <c r="L68" s="147"/>
      <c r="M68" s="147"/>
      <c r="N68" s="147"/>
      <c r="O68" s="147"/>
      <c r="P68" s="147"/>
      <c r="Q68" s="147"/>
      <c r="R68" s="516">
        <f>SUM(E68:Q68)</f>
        <v>0</v>
      </c>
      <c r="S68" s="147">
        <f t="shared" si="20"/>
        <v>0</v>
      </c>
      <c r="T68" s="147"/>
      <c r="U68" s="143"/>
    </row>
    <row r="69" spans="1:21" s="144" customFormat="1">
      <c r="A69" s="1149" t="s">
        <v>2710</v>
      </c>
      <c r="B69" s="146">
        <f>SUM(C69+D69)</f>
        <v>81800</v>
      </c>
      <c r="C69" s="147">
        <v>81800</v>
      </c>
      <c r="D69" s="147"/>
      <c r="E69" s="147"/>
      <c r="F69" s="147">
        <v>81800</v>
      </c>
      <c r="G69" s="147"/>
      <c r="H69" s="147"/>
      <c r="I69" s="147"/>
      <c r="J69" s="147"/>
      <c r="K69" s="147"/>
      <c r="L69" s="147"/>
      <c r="M69" s="147"/>
      <c r="N69" s="147"/>
      <c r="O69" s="147"/>
      <c r="P69" s="147"/>
      <c r="Q69" s="147"/>
      <c r="R69" s="516">
        <f>SUM(E69:Q69)</f>
        <v>81800</v>
      </c>
      <c r="S69" s="147">
        <v>71800</v>
      </c>
      <c r="T69" s="147"/>
      <c r="U69" s="143"/>
    </row>
    <row r="70" spans="1:21" s="144" customFormat="1">
      <c r="A70" s="149" t="s">
        <v>1647</v>
      </c>
      <c r="B70" s="146">
        <f>SUM(C70:D70)</f>
        <v>171800</v>
      </c>
      <c r="C70" s="146">
        <f>SUM(C65:C69)</f>
        <v>171800</v>
      </c>
      <c r="D70" s="146">
        <f>SUM(D65:D69)</f>
        <v>0</v>
      </c>
      <c r="E70" s="146">
        <f t="shared" ref="E70:T70" si="21">SUM(E65:E69)</f>
        <v>0</v>
      </c>
      <c r="F70" s="146">
        <f t="shared" si="21"/>
        <v>171800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171800</v>
      </c>
      <c r="S70" s="150">
        <f t="shared" si="21"/>
        <v>161800</v>
      </c>
      <c r="T70" s="150">
        <f t="shared" si="21"/>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0</v>
      </c>
      <c r="C75" s="147"/>
      <c r="D75" s="147"/>
      <c r="E75" s="147"/>
      <c r="F75" s="147"/>
      <c r="G75" s="147"/>
      <c r="H75" s="147"/>
      <c r="I75" s="147"/>
      <c r="J75" s="147"/>
      <c r="K75" s="147"/>
      <c r="L75" s="147"/>
      <c r="M75" s="147"/>
      <c r="N75" s="147"/>
      <c r="O75" s="147"/>
      <c r="P75" s="147"/>
      <c r="Q75" s="147"/>
      <c r="R75" s="516">
        <f>SUM(E75:Q75)</f>
        <v>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0</v>
      </c>
      <c r="C77" s="146">
        <f>SUM(C72:C76)</f>
        <v>0</v>
      </c>
      <c r="D77" s="146">
        <f>SUM(D72:D76)</f>
        <v>0</v>
      </c>
      <c r="E77" s="146">
        <f t="shared" ref="E77:Q77" si="22">SUM(E72:E76)</f>
        <v>0</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42">
        <f>SUM(R72:R76)</f>
        <v>0</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1140150</v>
      </c>
      <c r="C79" s="147">
        <v>1140150</v>
      </c>
      <c r="D79" s="147"/>
      <c r="E79" s="147"/>
      <c r="F79" s="147">
        <v>1140150</v>
      </c>
      <c r="G79" s="147"/>
      <c r="H79" s="147"/>
      <c r="I79" s="147"/>
      <c r="J79" s="147"/>
      <c r="K79" s="147"/>
      <c r="L79" s="147"/>
      <c r="M79" s="147"/>
      <c r="N79" s="147"/>
      <c r="O79" s="147"/>
      <c r="P79" s="147"/>
      <c r="Q79" s="147"/>
      <c r="R79" s="516">
        <f>SUM(E79:Q79)</f>
        <v>1140150</v>
      </c>
      <c r="S79" s="147">
        <f>R79</f>
        <v>1140150</v>
      </c>
      <c r="T79" s="147"/>
      <c r="U79" s="143"/>
    </row>
    <row r="80" spans="1:21" s="144" customFormat="1">
      <c r="A80" s="283" t="s">
        <v>58</v>
      </c>
      <c r="B80" s="146">
        <f>SUM(C80:D80)</f>
        <v>59000</v>
      </c>
      <c r="C80" s="147">
        <v>59000</v>
      </c>
      <c r="D80" s="147"/>
      <c r="E80" s="147"/>
      <c r="F80" s="147">
        <v>59000</v>
      </c>
      <c r="G80" s="147"/>
      <c r="H80" s="147"/>
      <c r="I80" s="147"/>
      <c r="J80" s="147"/>
      <c r="K80" s="147"/>
      <c r="L80" s="147"/>
      <c r="M80" s="147"/>
      <c r="N80" s="147"/>
      <c r="O80" s="147"/>
      <c r="P80" s="147"/>
      <c r="Q80" s="147"/>
      <c r="R80" s="516">
        <f>SUM(E80:Q80)</f>
        <v>59000</v>
      </c>
      <c r="S80" s="147">
        <f>R80</f>
        <v>59000</v>
      </c>
      <c r="T80" s="147"/>
      <c r="U80" s="143"/>
    </row>
    <row r="81" spans="1:21" s="144" customFormat="1">
      <c r="A81" s="149" t="s">
        <v>1210</v>
      </c>
      <c r="B81" s="146">
        <f>SUM(C81:D81)</f>
        <v>1199150</v>
      </c>
      <c r="C81" s="509">
        <f>SUM(C79:C80)</f>
        <v>1199150</v>
      </c>
      <c r="D81" s="509">
        <f t="shared" ref="D81:T81" si="23">SUM(D79:D80)</f>
        <v>0</v>
      </c>
      <c r="E81" s="509">
        <f t="shared" si="23"/>
        <v>0</v>
      </c>
      <c r="F81" s="509">
        <f t="shared" si="23"/>
        <v>1199150</v>
      </c>
      <c r="G81" s="509">
        <f t="shared" si="23"/>
        <v>0</v>
      </c>
      <c r="H81" s="509">
        <f t="shared" si="23"/>
        <v>0</v>
      </c>
      <c r="I81" s="509">
        <f t="shared" si="23"/>
        <v>0</v>
      </c>
      <c r="J81" s="509">
        <f t="shared" si="23"/>
        <v>0</v>
      </c>
      <c r="K81" s="509">
        <f t="shared" si="23"/>
        <v>0</v>
      </c>
      <c r="L81" s="509">
        <f t="shared" si="23"/>
        <v>0</v>
      </c>
      <c r="M81" s="509">
        <f t="shared" si="23"/>
        <v>0</v>
      </c>
      <c r="N81" s="509">
        <f t="shared" si="23"/>
        <v>0</v>
      </c>
      <c r="O81" s="509">
        <f t="shared" si="23"/>
        <v>0</v>
      </c>
      <c r="P81" s="509">
        <f t="shared" si="23"/>
        <v>0</v>
      </c>
      <c r="Q81" s="509">
        <f t="shared" si="23"/>
        <v>0</v>
      </c>
      <c r="R81" s="509">
        <f t="shared" si="23"/>
        <v>1199150</v>
      </c>
      <c r="S81" s="509">
        <f t="shared" si="23"/>
        <v>1199150</v>
      </c>
      <c r="T81" s="509">
        <f t="shared" si="23"/>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2097</v>
      </c>
      <c r="B83" s="146">
        <f t="shared" ref="B83:B95" si="24">SUM(C83+D83)</f>
        <v>153780</v>
      </c>
      <c r="C83" s="147">
        <v>153780</v>
      </c>
      <c r="D83" s="147"/>
      <c r="E83" s="147"/>
      <c r="F83" s="147">
        <v>153780</v>
      </c>
      <c r="G83" s="147"/>
      <c r="H83" s="147"/>
      <c r="I83" s="147"/>
      <c r="J83" s="147"/>
      <c r="K83" s="147"/>
      <c r="L83" s="147"/>
      <c r="M83" s="147"/>
      <c r="N83" s="147"/>
      <c r="O83" s="147"/>
      <c r="P83" s="147"/>
      <c r="Q83" s="147"/>
      <c r="R83" s="516">
        <f t="shared" ref="R83:R95" si="25">SUM(E83:Q83)</f>
        <v>153780</v>
      </c>
      <c r="S83" s="148"/>
      <c r="T83" s="148"/>
      <c r="U83" s="143"/>
    </row>
    <row r="84" spans="1:21" s="144" customFormat="1">
      <c r="A84" s="145" t="s">
        <v>768</v>
      </c>
      <c r="B84" s="146">
        <f t="shared" si="24"/>
        <v>15000</v>
      </c>
      <c r="C84" s="147">
        <v>15000</v>
      </c>
      <c r="D84" s="147"/>
      <c r="E84" s="147"/>
      <c r="F84" s="147">
        <v>15000</v>
      </c>
      <c r="G84" s="147"/>
      <c r="H84" s="147"/>
      <c r="I84" s="147"/>
      <c r="J84" s="147"/>
      <c r="K84" s="147"/>
      <c r="L84" s="147"/>
      <c r="M84" s="147"/>
      <c r="N84" s="147"/>
      <c r="O84" s="147"/>
      <c r="P84" s="147"/>
      <c r="Q84" s="147"/>
      <c r="R84" s="516">
        <f t="shared" si="25"/>
        <v>15000</v>
      </c>
      <c r="S84" s="147">
        <f>R84</f>
        <v>15000</v>
      </c>
      <c r="T84" s="147"/>
      <c r="U84" s="143"/>
    </row>
    <row r="85" spans="1:21" s="144" customFormat="1">
      <c r="A85" s="145" t="s">
        <v>769</v>
      </c>
      <c r="B85" s="146">
        <f t="shared" si="24"/>
        <v>12400000</v>
      </c>
      <c r="C85" s="147">
        <v>12400000</v>
      </c>
      <c r="D85" s="147"/>
      <c r="E85" s="147"/>
      <c r="F85" s="147">
        <v>12400000</v>
      </c>
      <c r="G85" s="147"/>
      <c r="H85" s="147"/>
      <c r="I85" s="147"/>
      <c r="J85" s="147"/>
      <c r="K85" s="147"/>
      <c r="L85" s="147"/>
      <c r="M85" s="147"/>
      <c r="N85" s="147"/>
      <c r="O85" s="147"/>
      <c r="P85" s="147"/>
      <c r="Q85" s="147"/>
      <c r="R85" s="516">
        <f t="shared" si="25"/>
        <v>12400000</v>
      </c>
      <c r="S85" s="147">
        <f t="shared" ref="S85:S87" si="26">R85</f>
        <v>12400000</v>
      </c>
      <c r="T85" s="147"/>
      <c r="U85" s="143"/>
    </row>
    <row r="86" spans="1:21" s="144" customFormat="1">
      <c r="A86" s="145" t="s">
        <v>770</v>
      </c>
      <c r="B86" s="146">
        <f t="shared" si="24"/>
        <v>1724136</v>
      </c>
      <c r="C86" s="147">
        <v>1724136</v>
      </c>
      <c r="D86" s="147"/>
      <c r="E86" s="147"/>
      <c r="F86" s="147">
        <v>1724136</v>
      </c>
      <c r="G86" s="147"/>
      <c r="H86" s="147"/>
      <c r="I86" s="147"/>
      <c r="J86" s="147"/>
      <c r="K86" s="147"/>
      <c r="L86" s="147"/>
      <c r="M86" s="147"/>
      <c r="N86" s="147"/>
      <c r="O86" s="147"/>
      <c r="P86" s="147"/>
      <c r="Q86" s="147"/>
      <c r="R86" s="516">
        <f t="shared" si="25"/>
        <v>1724136</v>
      </c>
      <c r="S86" s="147">
        <f t="shared" si="26"/>
        <v>1724136</v>
      </c>
      <c r="T86" s="147"/>
      <c r="U86" s="143"/>
    </row>
    <row r="87" spans="1:21" s="144" customFormat="1">
      <c r="A87" s="145" t="s">
        <v>771</v>
      </c>
      <c r="B87" s="146">
        <f t="shared" si="24"/>
        <v>0</v>
      </c>
      <c r="C87" s="147"/>
      <c r="D87" s="147"/>
      <c r="E87" s="147"/>
      <c r="F87" s="147"/>
      <c r="G87" s="147"/>
      <c r="H87" s="147"/>
      <c r="I87" s="147"/>
      <c r="J87" s="147"/>
      <c r="K87" s="147"/>
      <c r="L87" s="147"/>
      <c r="M87" s="147"/>
      <c r="N87" s="147"/>
      <c r="O87" s="147"/>
      <c r="P87" s="147"/>
      <c r="Q87" s="147"/>
      <c r="R87" s="516">
        <f t="shared" si="25"/>
        <v>0</v>
      </c>
      <c r="S87" s="147">
        <f t="shared" si="26"/>
        <v>0</v>
      </c>
      <c r="T87" s="147"/>
      <c r="U87" s="143"/>
    </row>
    <row r="88" spans="1:21" s="144" customFormat="1">
      <c r="A88" s="145" t="s">
        <v>772</v>
      </c>
      <c r="B88" s="146">
        <f t="shared" si="24"/>
        <v>15000</v>
      </c>
      <c r="C88" s="147">
        <v>15000</v>
      </c>
      <c r="D88" s="147"/>
      <c r="E88" s="147"/>
      <c r="F88" s="147">
        <v>15000</v>
      </c>
      <c r="G88" s="147"/>
      <c r="H88" s="147"/>
      <c r="I88" s="147"/>
      <c r="J88" s="147"/>
      <c r="K88" s="147"/>
      <c r="L88" s="147"/>
      <c r="M88" s="147"/>
      <c r="N88" s="147"/>
      <c r="O88" s="147"/>
      <c r="P88" s="147"/>
      <c r="Q88" s="147"/>
      <c r="R88" s="516">
        <f t="shared" si="25"/>
        <v>15000</v>
      </c>
      <c r="S88" s="148"/>
      <c r="T88" s="148"/>
      <c r="U88" s="143"/>
    </row>
    <row r="89" spans="1:21" s="144" customFormat="1">
      <c r="A89" s="145" t="s">
        <v>773</v>
      </c>
      <c r="B89" s="146">
        <f t="shared" si="24"/>
        <v>125000</v>
      </c>
      <c r="C89" s="147">
        <v>125000</v>
      </c>
      <c r="D89" s="147"/>
      <c r="E89" s="147"/>
      <c r="F89" s="147">
        <v>125000</v>
      </c>
      <c r="G89" s="147"/>
      <c r="H89" s="147"/>
      <c r="I89" s="147"/>
      <c r="J89" s="147"/>
      <c r="K89" s="147"/>
      <c r="L89" s="147"/>
      <c r="M89" s="147"/>
      <c r="N89" s="147"/>
      <c r="O89" s="147"/>
      <c r="P89" s="147"/>
      <c r="Q89" s="147"/>
      <c r="R89" s="516">
        <f t="shared" si="25"/>
        <v>125000</v>
      </c>
      <c r="S89" s="147">
        <f>R89</f>
        <v>125000</v>
      </c>
      <c r="T89" s="147"/>
      <c r="U89" s="143"/>
    </row>
    <row r="90" spans="1:21" s="144" customFormat="1">
      <c r="A90" s="145" t="s">
        <v>774</v>
      </c>
      <c r="B90" s="146">
        <f t="shared" si="24"/>
        <v>6500</v>
      </c>
      <c r="C90" s="147">
        <v>6500</v>
      </c>
      <c r="D90" s="147"/>
      <c r="E90" s="147"/>
      <c r="F90" s="147">
        <v>6500</v>
      </c>
      <c r="G90" s="147"/>
      <c r="H90" s="147"/>
      <c r="I90" s="147"/>
      <c r="J90" s="147"/>
      <c r="K90" s="147"/>
      <c r="L90" s="147"/>
      <c r="M90" s="147"/>
      <c r="N90" s="147"/>
      <c r="O90" s="147"/>
      <c r="P90" s="147"/>
      <c r="Q90" s="147"/>
      <c r="R90" s="516">
        <f t="shared" si="25"/>
        <v>6500</v>
      </c>
      <c r="S90" s="147">
        <f t="shared" ref="S90:S95" si="27">R90</f>
        <v>6500</v>
      </c>
      <c r="T90" s="147"/>
      <c r="U90" s="143"/>
    </row>
    <row r="91" spans="1:21" s="144" customFormat="1">
      <c r="A91" s="145" t="s">
        <v>372</v>
      </c>
      <c r="B91" s="146">
        <f t="shared" si="24"/>
        <v>15000</v>
      </c>
      <c r="C91" s="147">
        <v>15000</v>
      </c>
      <c r="D91" s="147"/>
      <c r="E91" s="147"/>
      <c r="F91" s="147">
        <v>15000</v>
      </c>
      <c r="G91" s="147"/>
      <c r="H91" s="147"/>
      <c r="I91" s="147"/>
      <c r="J91" s="147"/>
      <c r="K91" s="147"/>
      <c r="L91" s="147"/>
      <c r="M91" s="147"/>
      <c r="N91" s="147"/>
      <c r="O91" s="147"/>
      <c r="P91" s="147"/>
      <c r="Q91" s="147"/>
      <c r="R91" s="516">
        <f t="shared" si="25"/>
        <v>15000</v>
      </c>
      <c r="S91" s="147">
        <f t="shared" si="27"/>
        <v>15000</v>
      </c>
      <c r="T91" s="147"/>
      <c r="U91" s="143"/>
    </row>
    <row r="92" spans="1:21" s="144" customFormat="1">
      <c r="A92" s="283" t="s">
        <v>1212</v>
      </c>
      <c r="B92" s="146">
        <f t="shared" si="24"/>
        <v>10000</v>
      </c>
      <c r="C92" s="147">
        <v>10000</v>
      </c>
      <c r="D92" s="147"/>
      <c r="E92" s="147"/>
      <c r="F92" s="147">
        <v>10000</v>
      </c>
      <c r="G92" s="147"/>
      <c r="H92" s="147"/>
      <c r="I92" s="147"/>
      <c r="J92" s="147"/>
      <c r="K92" s="147"/>
      <c r="L92" s="147"/>
      <c r="M92" s="147"/>
      <c r="N92" s="147"/>
      <c r="O92" s="147"/>
      <c r="P92" s="147"/>
      <c r="Q92" s="147"/>
      <c r="R92" s="516">
        <f t="shared" si="25"/>
        <v>10000</v>
      </c>
      <c r="S92" s="147">
        <f t="shared" si="27"/>
        <v>10000</v>
      </c>
      <c r="T92" s="147"/>
      <c r="U92" s="143"/>
    </row>
    <row r="93" spans="1:21" s="144" customFormat="1">
      <c r="A93" s="1149" t="s">
        <v>34</v>
      </c>
      <c r="B93" s="146">
        <f t="shared" si="24"/>
        <v>0</v>
      </c>
      <c r="C93" s="147"/>
      <c r="D93" s="147"/>
      <c r="E93" s="147"/>
      <c r="F93" s="147"/>
      <c r="G93" s="147"/>
      <c r="H93" s="147"/>
      <c r="I93" s="147"/>
      <c r="J93" s="147"/>
      <c r="K93" s="147"/>
      <c r="L93" s="147"/>
      <c r="M93" s="147"/>
      <c r="N93" s="147"/>
      <c r="O93" s="147"/>
      <c r="P93" s="147"/>
      <c r="Q93" s="147"/>
      <c r="R93" s="516">
        <f t="shared" si="25"/>
        <v>0</v>
      </c>
      <c r="S93" s="147">
        <f t="shared" si="27"/>
        <v>0</v>
      </c>
      <c r="T93" s="147"/>
      <c r="U93" s="143"/>
    </row>
    <row r="94" spans="1:21" s="144" customFormat="1">
      <c r="A94" s="1149" t="s">
        <v>34</v>
      </c>
      <c r="B94" s="146">
        <f t="shared" si="24"/>
        <v>0</v>
      </c>
      <c r="C94" s="147"/>
      <c r="D94" s="147"/>
      <c r="E94" s="147"/>
      <c r="F94" s="147"/>
      <c r="G94" s="147"/>
      <c r="H94" s="147"/>
      <c r="I94" s="147"/>
      <c r="J94" s="147"/>
      <c r="K94" s="147"/>
      <c r="L94" s="147"/>
      <c r="M94" s="147"/>
      <c r="N94" s="147"/>
      <c r="O94" s="147"/>
      <c r="P94" s="147"/>
      <c r="Q94" s="147"/>
      <c r="R94" s="516">
        <f t="shared" si="25"/>
        <v>0</v>
      </c>
      <c r="S94" s="147">
        <f t="shared" si="27"/>
        <v>0</v>
      </c>
      <c r="T94" s="147"/>
      <c r="U94" s="143"/>
    </row>
    <row r="95" spans="1:21" s="144" customFormat="1">
      <c r="A95" s="1149" t="s">
        <v>34</v>
      </c>
      <c r="B95" s="146">
        <f t="shared" si="24"/>
        <v>0</v>
      </c>
      <c r="C95" s="147"/>
      <c r="D95" s="147"/>
      <c r="E95" s="147"/>
      <c r="F95" s="147"/>
      <c r="G95" s="147"/>
      <c r="H95" s="147"/>
      <c r="I95" s="147"/>
      <c r="J95" s="147"/>
      <c r="K95" s="147"/>
      <c r="L95" s="147"/>
      <c r="M95" s="147"/>
      <c r="N95" s="147"/>
      <c r="O95" s="147"/>
      <c r="P95" s="147"/>
      <c r="Q95" s="147"/>
      <c r="R95" s="516">
        <f t="shared" si="25"/>
        <v>0</v>
      </c>
      <c r="S95" s="147">
        <f t="shared" si="27"/>
        <v>0</v>
      </c>
      <c r="T95" s="147"/>
      <c r="U95" s="143"/>
    </row>
    <row r="96" spans="1:21" s="144" customFormat="1">
      <c r="A96" s="149" t="s">
        <v>775</v>
      </c>
      <c r="B96" s="146">
        <f>SUM(C96:D96)</f>
        <v>14464416</v>
      </c>
      <c r="C96" s="146">
        <f t="shared" ref="C96:R96" si="28">SUM(C83:C95)</f>
        <v>14464416</v>
      </c>
      <c r="D96" s="146">
        <f t="shared" si="28"/>
        <v>0</v>
      </c>
      <c r="E96" s="146">
        <f t="shared" si="28"/>
        <v>0</v>
      </c>
      <c r="F96" s="146">
        <f t="shared" si="28"/>
        <v>14464416</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14464416</v>
      </c>
      <c r="S96" s="150">
        <f>SUM(S84:S87,S89:S95)</f>
        <v>14295636</v>
      </c>
      <c r="T96" s="146">
        <f>SUM(T84:T87,T89:T95)</f>
        <v>0</v>
      </c>
      <c r="U96" s="143"/>
    </row>
    <row r="97" spans="1:21" s="144" customFormat="1">
      <c r="A97" s="149" t="s">
        <v>776</v>
      </c>
      <c r="B97" s="146">
        <f>SUM(C97:D97)</f>
        <v>63880751</v>
      </c>
      <c r="C97" s="146">
        <f t="shared" ref="C97:R97" si="29">SUM(C63+C70+C77+C81+C96)</f>
        <v>63880751</v>
      </c>
      <c r="D97" s="146">
        <f t="shared" si="29"/>
        <v>0</v>
      </c>
      <c r="E97" s="146">
        <f t="shared" si="29"/>
        <v>34478023</v>
      </c>
      <c r="F97" s="146">
        <f t="shared" si="29"/>
        <v>29402728</v>
      </c>
      <c r="G97" s="146">
        <f t="shared" si="29"/>
        <v>0</v>
      </c>
      <c r="H97" s="146">
        <f t="shared" si="29"/>
        <v>0</v>
      </c>
      <c r="I97" s="146">
        <f t="shared" si="29"/>
        <v>0</v>
      </c>
      <c r="J97" s="146">
        <f t="shared" si="29"/>
        <v>0</v>
      </c>
      <c r="K97" s="146">
        <f t="shared" si="29"/>
        <v>0</v>
      </c>
      <c r="L97" s="146">
        <f t="shared" si="29"/>
        <v>0</v>
      </c>
      <c r="M97" s="146">
        <f t="shared" si="29"/>
        <v>0</v>
      </c>
      <c r="N97" s="146">
        <f t="shared" si="29"/>
        <v>0</v>
      </c>
      <c r="O97" s="146">
        <f t="shared" si="29"/>
        <v>0</v>
      </c>
      <c r="P97" s="146">
        <f t="shared" si="29"/>
        <v>0</v>
      </c>
      <c r="Q97" s="146">
        <f t="shared" si="29"/>
        <v>0</v>
      </c>
      <c r="R97" s="146">
        <f t="shared" si="29"/>
        <v>63880751</v>
      </c>
      <c r="S97" s="146">
        <f>SUM(S63+S70+S81+S96)</f>
        <v>60859626</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9200000</v>
      </c>
      <c r="C99" s="979">
        <v>9200000</v>
      </c>
      <c r="D99" s="979"/>
      <c r="E99" s="979"/>
      <c r="F99" s="147">
        <v>3217272</v>
      </c>
      <c r="G99" s="147">
        <v>5982728</v>
      </c>
      <c r="H99" s="147"/>
      <c r="I99" s="147"/>
      <c r="J99" s="147"/>
      <c r="K99" s="147"/>
      <c r="L99" s="147"/>
      <c r="M99" s="147"/>
      <c r="N99" s="147"/>
      <c r="O99" s="147"/>
      <c r="P99" s="147"/>
      <c r="Q99" s="147"/>
      <c r="R99" s="516">
        <f>SUM(E99:Q99)</f>
        <v>9200000</v>
      </c>
      <c r="S99" s="147">
        <f>R99</f>
        <v>9200000</v>
      </c>
      <c r="T99" s="147"/>
      <c r="U99" s="143"/>
    </row>
    <row r="100" spans="1:21" s="144" customFormat="1">
      <c r="A100" s="283" t="s">
        <v>1648</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1649</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9200000</v>
      </c>
      <c r="C104" s="146">
        <f>SUM(C99:C103)</f>
        <v>9200000</v>
      </c>
      <c r="D104" s="146">
        <f t="shared" ref="D104:T104" si="30">SUM(D99:D103)</f>
        <v>0</v>
      </c>
      <c r="E104" s="146">
        <f t="shared" si="30"/>
        <v>0</v>
      </c>
      <c r="F104" s="146">
        <f t="shared" si="30"/>
        <v>3217272</v>
      </c>
      <c r="G104" s="146">
        <f t="shared" si="30"/>
        <v>5982728</v>
      </c>
      <c r="H104" s="146">
        <f t="shared" si="30"/>
        <v>0</v>
      </c>
      <c r="I104" s="146">
        <f t="shared" si="30"/>
        <v>0</v>
      </c>
      <c r="J104" s="146">
        <f t="shared" si="30"/>
        <v>0</v>
      </c>
      <c r="K104" s="146">
        <f t="shared" si="30"/>
        <v>0</v>
      </c>
      <c r="L104" s="146">
        <f t="shared" si="30"/>
        <v>0</v>
      </c>
      <c r="M104" s="146">
        <f t="shared" si="30"/>
        <v>0</v>
      </c>
      <c r="N104" s="146">
        <f t="shared" si="30"/>
        <v>0</v>
      </c>
      <c r="O104" s="146">
        <f t="shared" si="30"/>
        <v>0</v>
      </c>
      <c r="P104" s="146">
        <f t="shared" si="30"/>
        <v>0</v>
      </c>
      <c r="Q104" s="146">
        <f t="shared" si="30"/>
        <v>0</v>
      </c>
      <c r="R104" s="342">
        <f t="shared" si="30"/>
        <v>9200000</v>
      </c>
      <c r="S104" s="150">
        <f t="shared" si="30"/>
        <v>9200000</v>
      </c>
      <c r="T104" s="150">
        <f t="shared" si="30"/>
        <v>0</v>
      </c>
      <c r="U104" s="143"/>
    </row>
    <row r="105" spans="1:21" s="144" customFormat="1">
      <c r="A105" s="149" t="s">
        <v>781</v>
      </c>
      <c r="B105" s="150">
        <f>SUM(C105:D105)</f>
        <v>73080751</v>
      </c>
      <c r="C105" s="150">
        <f t="shared" ref="C105:R105" si="31">SUM(C97+C104)</f>
        <v>73080751</v>
      </c>
      <c r="D105" s="150">
        <f t="shared" si="31"/>
        <v>0</v>
      </c>
      <c r="E105" s="150">
        <f t="shared" si="31"/>
        <v>34478023</v>
      </c>
      <c r="F105" s="150">
        <f t="shared" si="31"/>
        <v>32620000</v>
      </c>
      <c r="G105" s="150">
        <f t="shared" si="31"/>
        <v>5982728</v>
      </c>
      <c r="H105" s="150">
        <f t="shared" si="31"/>
        <v>0</v>
      </c>
      <c r="I105" s="150">
        <f t="shared" si="31"/>
        <v>0</v>
      </c>
      <c r="J105" s="150">
        <f t="shared" si="31"/>
        <v>0</v>
      </c>
      <c r="K105" s="150">
        <f t="shared" si="31"/>
        <v>0</v>
      </c>
      <c r="L105" s="150">
        <f t="shared" si="31"/>
        <v>0</v>
      </c>
      <c r="M105" s="150">
        <f t="shared" si="31"/>
        <v>0</v>
      </c>
      <c r="N105" s="150">
        <f t="shared" si="31"/>
        <v>0</v>
      </c>
      <c r="O105" s="150">
        <f t="shared" si="31"/>
        <v>0</v>
      </c>
      <c r="P105" s="150">
        <f t="shared" si="31"/>
        <v>0</v>
      </c>
      <c r="Q105" s="150">
        <f t="shared" si="31"/>
        <v>0</v>
      </c>
      <c r="R105" s="342">
        <f t="shared" si="31"/>
        <v>73080751</v>
      </c>
      <c r="S105" s="150">
        <f>S97+S104</f>
        <v>70059626</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70059626</v>
      </c>
      <c r="T107" s="150">
        <f>T105+T106</f>
        <v>0</v>
      </c>
    </row>
    <row r="108" spans="1:21" s="189" customFormat="1">
      <c r="A108" s="162" t="s">
        <v>880</v>
      </c>
      <c r="B108" s="157"/>
      <c r="C108" s="157"/>
      <c r="D108" s="157"/>
      <c r="E108" s="301">
        <f>Application!AO640</f>
        <v>34478023</v>
      </c>
      <c r="F108" s="301">
        <f>Application!AO627</f>
        <v>32620000</v>
      </c>
      <c r="G108" s="301">
        <f>Application!AO628</f>
        <v>5982728</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2098</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8" t="s">
        <v>991</v>
      </c>
      <c r="E122" s="1868"/>
      <c r="F122" s="1868"/>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0" t="s">
        <v>1226</v>
      </c>
      <c r="E123" s="1553"/>
      <c r="F123" s="1553"/>
      <c r="G123" s="1553"/>
      <c r="H123" s="1553"/>
      <c r="I123" s="1553"/>
      <c r="J123" s="1553"/>
      <c r="K123" s="1553"/>
      <c r="L123" s="1553"/>
      <c r="M123" s="1553"/>
      <c r="N123" s="1553"/>
      <c r="O123" s="1553"/>
      <c r="P123" s="1553"/>
      <c r="Q123" s="1553"/>
      <c r="R123" s="1553"/>
      <c r="S123" s="1553"/>
      <c r="T123" s="324"/>
      <c r="U123" s="326"/>
    </row>
    <row r="124" spans="1:21" ht="12.75">
      <c r="A124" s="117" t="s">
        <v>993</v>
      </c>
      <c r="B124" s="333"/>
      <c r="C124" s="117"/>
      <c r="D124" s="1553"/>
      <c r="E124" s="1553"/>
      <c r="F124" s="1553"/>
      <c r="G124" s="1553"/>
      <c r="H124" s="1553"/>
      <c r="I124" s="1553"/>
      <c r="J124" s="1553"/>
      <c r="K124" s="1553"/>
      <c r="L124" s="1553"/>
      <c r="M124" s="1553"/>
      <c r="N124" s="1553"/>
      <c r="O124" s="1553"/>
      <c r="P124" s="1553"/>
      <c r="Q124" s="1553"/>
      <c r="R124" s="1553"/>
      <c r="S124" s="1553"/>
      <c r="T124" s="324"/>
      <c r="U124" s="326"/>
    </row>
    <row r="125" spans="1:21" ht="12.75">
      <c r="A125" s="117" t="s">
        <v>994</v>
      </c>
      <c r="B125" s="333"/>
      <c r="C125" s="117"/>
      <c r="D125" s="1553"/>
      <c r="E125" s="1553"/>
      <c r="F125" s="1553"/>
      <c r="G125" s="1553"/>
      <c r="H125" s="1553"/>
      <c r="I125" s="1553"/>
      <c r="J125" s="1553"/>
      <c r="K125" s="1553"/>
      <c r="L125" s="1553"/>
      <c r="M125" s="1553"/>
      <c r="N125" s="1553"/>
      <c r="O125" s="1553"/>
      <c r="P125" s="1553"/>
      <c r="Q125" s="1553"/>
      <c r="R125" s="1553"/>
      <c r="S125" s="1553"/>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2.75">
      <c r="A129" s="117" t="s">
        <v>300</v>
      </c>
      <c r="B129" s="333"/>
      <c r="C129" s="117"/>
      <c r="D129" s="1867" t="s">
        <v>998</v>
      </c>
      <c r="E129" s="1867"/>
      <c r="F129" s="1867"/>
      <c r="G129" s="1867"/>
      <c r="H129" s="1867"/>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1" t="s">
        <v>1001</v>
      </c>
      <c r="E132" s="1861"/>
      <c r="F132" s="1861"/>
      <c r="G132" s="1861"/>
      <c r="H132" s="1861"/>
      <c r="I132" s="117"/>
      <c r="J132" s="1861" t="s">
        <v>1002</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2.75">
      <c r="A139" s="1858" t="s">
        <v>1005</v>
      </c>
      <c r="B139" s="1858"/>
      <c r="C139" s="1858"/>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36" workbookViewId="0">
      <selection activeCell="E30" sqref="E30"/>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1" t="s">
        <v>1229</v>
      </c>
      <c r="B1" s="1872"/>
      <c r="C1" s="1872"/>
      <c r="D1" s="1872"/>
      <c r="E1" s="1872"/>
      <c r="F1" s="1872"/>
      <c r="G1" s="1872"/>
      <c r="H1" s="1872"/>
      <c r="I1" s="1872"/>
      <c r="J1" s="1873"/>
      <c r="K1" s="355"/>
    </row>
    <row r="2" spans="1:11" s="401" customFormat="1" ht="72">
      <c r="A2" s="398"/>
      <c r="B2" s="399" t="s">
        <v>1028</v>
      </c>
      <c r="C2" s="399" t="s">
        <v>1231</v>
      </c>
      <c r="D2" s="399" t="s">
        <v>1232</v>
      </c>
      <c r="E2" s="399" t="s">
        <v>1159</v>
      </c>
      <c r="F2" s="399" t="s">
        <v>1233</v>
      </c>
      <c r="G2" s="399" t="s">
        <v>1234</v>
      </c>
      <c r="H2" s="399" t="s">
        <v>1029</v>
      </c>
      <c r="I2" s="399" t="s">
        <v>1235</v>
      </c>
      <c r="J2" s="399" t="s">
        <v>1236</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2350000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2350000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2350000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1642</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34541000</v>
      </c>
      <c r="C30" s="362"/>
      <c r="D30" s="362"/>
      <c r="E30" s="361">
        <f>'Sources and Uses Budget'!S30</f>
        <v>34541000</v>
      </c>
      <c r="F30" s="362"/>
      <c r="G30" s="362"/>
      <c r="H30" s="361">
        <f>'Sources and Uses Budget'!T30</f>
        <v>0</v>
      </c>
      <c r="I30" s="362"/>
      <c r="J30" s="362"/>
      <c r="K30" s="359"/>
    </row>
    <row r="31" spans="1:11" s="360" customFormat="1">
      <c r="A31" s="145" t="s">
        <v>601</v>
      </c>
      <c r="B31" s="361">
        <f>'Sources and Uses Budget'!C31</f>
        <v>1036500</v>
      </c>
      <c r="C31" s="362"/>
      <c r="D31" s="362"/>
      <c r="E31" s="361">
        <f>'Sources and Uses Budget'!S31</f>
        <v>1036500</v>
      </c>
      <c r="F31" s="362"/>
      <c r="G31" s="362"/>
      <c r="H31" s="361">
        <f>'Sources and Uses Budget'!T31</f>
        <v>0</v>
      </c>
      <c r="I31" s="362"/>
      <c r="J31" s="362"/>
      <c r="K31" s="359"/>
    </row>
    <row r="32" spans="1:11" s="360" customFormat="1">
      <c r="A32" s="145" t="s">
        <v>137</v>
      </c>
      <c r="B32" s="361">
        <f>'Sources and Uses Budget'!C32</f>
        <v>2418500</v>
      </c>
      <c r="C32" s="362"/>
      <c r="D32" s="362"/>
      <c r="E32" s="361">
        <f>'Sources and Uses Budget'!S32</f>
        <v>2418500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160107</v>
      </c>
      <c r="C35" s="362"/>
      <c r="D35" s="362"/>
      <c r="E35" s="361">
        <f>'Sources and Uses Budget'!S35</f>
        <v>160107</v>
      </c>
      <c r="F35" s="362"/>
      <c r="G35" s="362"/>
      <c r="H35" s="361">
        <f>'Sources and Uses Budget'!T35</f>
        <v>0</v>
      </c>
      <c r="I35" s="362"/>
      <c r="J35" s="362"/>
      <c r="K35" s="359"/>
    </row>
    <row r="36" spans="1:11" s="360" customFormat="1">
      <c r="A36" s="508" t="s">
        <v>1642</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38156107</v>
      </c>
      <c r="C38" s="361">
        <f>SUM(C29:C37)</f>
        <v>0</v>
      </c>
      <c r="D38" s="361">
        <f>SUM(D29:D37)</f>
        <v>0</v>
      </c>
      <c r="E38" s="361">
        <f>'Sources and Uses Budget'!S38</f>
        <v>38156107</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350000</v>
      </c>
      <c r="C40" s="362"/>
      <c r="D40" s="362"/>
      <c r="E40" s="361">
        <f>'Sources and Uses Budget'!S40</f>
        <v>350000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350000</v>
      </c>
      <c r="C42" s="361">
        <f>SUM(C39:C41)</f>
        <v>0</v>
      </c>
      <c r="D42" s="361">
        <f>SUM(D39:D41)</f>
        <v>0</v>
      </c>
      <c r="E42" s="361">
        <f>'Sources and Uses Budget'!S42</f>
        <v>350000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6241933</v>
      </c>
      <c r="C45" s="362"/>
      <c r="D45" s="362"/>
      <c r="E45" s="361">
        <f>'Sources and Uses Budget'!S45</f>
        <v>6241933</v>
      </c>
      <c r="F45" s="362"/>
      <c r="G45" s="362"/>
      <c r="H45" s="361">
        <f>'Sources and Uses Budget'!T45</f>
        <v>0</v>
      </c>
      <c r="I45" s="362"/>
      <c r="J45" s="362"/>
      <c r="K45" s="359"/>
    </row>
    <row r="46" spans="1:11" s="360" customFormat="1">
      <c r="A46" s="364" t="s">
        <v>151</v>
      </c>
      <c r="B46" s="361">
        <f>'Sources and Uses Budget'!C46</f>
        <v>374025</v>
      </c>
      <c r="C46" s="362"/>
      <c r="D46" s="362"/>
      <c r="E46" s="361">
        <f>'Sources and Uses Budget'!S46</f>
        <v>325000</v>
      </c>
      <c r="F46" s="362"/>
      <c r="G46" s="362"/>
      <c r="H46" s="361">
        <f>'Sources and Uses Budget'!T46</f>
        <v>0</v>
      </c>
      <c r="I46" s="362"/>
      <c r="J46" s="362"/>
      <c r="K46" s="359"/>
    </row>
    <row r="47" spans="1:11" s="360" customFormat="1" ht="12" customHeight="1">
      <c r="A47" s="364" t="s">
        <v>152</v>
      </c>
      <c r="B47" s="361">
        <f>'Sources and Uses Budget'!C47</f>
        <v>50000</v>
      </c>
      <c r="C47" s="362"/>
      <c r="D47" s="362"/>
      <c r="E47" s="361">
        <f>'Sources and Uses Budget'!S47</f>
        <v>50000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194620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80000</v>
      </c>
      <c r="C50" s="362"/>
      <c r="D50" s="362"/>
      <c r="E50" s="361">
        <f>'Sources and Uses Budget'!S50</f>
        <v>80000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6940578</v>
      </c>
      <c r="C54" s="367">
        <f>SUM(C45:C53)</f>
        <v>0</v>
      </c>
      <c r="D54" s="367">
        <f>SUM(D45:D53)</f>
        <v>0</v>
      </c>
      <c r="E54" s="361">
        <f>'Sources and Uses Budget'!S54</f>
        <v>6696933</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189900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58800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248700</v>
      </c>
      <c r="C62" s="361">
        <f>SUM(C56:C61)</f>
        <v>0</v>
      </c>
      <c r="D62" s="361">
        <f>SUM(D56:D61)</f>
        <v>0</v>
      </c>
      <c r="E62" s="363"/>
      <c r="F62" s="363"/>
      <c r="G62" s="363"/>
      <c r="H62" s="363"/>
      <c r="I62" s="363"/>
      <c r="J62" s="363"/>
      <c r="K62" s="359"/>
    </row>
    <row r="63" spans="1:11" s="360" customFormat="1">
      <c r="A63" s="370" t="s">
        <v>302</v>
      </c>
      <c r="B63" s="361">
        <f>'Sources and Uses Budget'!C63</f>
        <v>48045385</v>
      </c>
      <c r="C63" s="361">
        <f>SUM(C8+C11+C13+C14+C15+C26+C27+C38+C42+C43+C54+C62)</f>
        <v>0</v>
      </c>
      <c r="D63" s="361">
        <f>SUM(D8+D11+D13+D14+D15+D26+D27+D38+D42+D43+D54+D62)</f>
        <v>0</v>
      </c>
      <c r="E63" s="361">
        <f>'Sources and Uses Budget'!S63</f>
        <v>45203040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1646</v>
      </c>
      <c r="B64" s="358"/>
      <c r="C64" s="358"/>
      <c r="D64" s="358"/>
      <c r="E64" s="358"/>
      <c r="F64" s="358"/>
      <c r="G64" s="358"/>
      <c r="H64" s="358"/>
      <c r="I64" s="358"/>
      <c r="J64" s="358"/>
      <c r="K64" s="359"/>
    </row>
    <row r="65" spans="1:11" s="360" customFormat="1">
      <c r="A65" s="145" t="s">
        <v>171</v>
      </c>
      <c r="B65" s="361">
        <f>'Sources and Uses Budget'!C65</f>
        <v>90000</v>
      </c>
      <c r="C65" s="362"/>
      <c r="D65" s="362"/>
      <c r="E65" s="361">
        <f>'Sources and Uses Budget'!S65</f>
        <v>90000</v>
      </c>
      <c r="F65" s="362"/>
      <c r="G65" s="362"/>
      <c r="H65" s="361">
        <f>'Sources and Uses Budget'!T65</f>
        <v>0</v>
      </c>
      <c r="I65" s="362"/>
      <c r="J65" s="362"/>
      <c r="K65" s="359"/>
    </row>
    <row r="66" spans="1:11" s="360" customFormat="1" ht="24">
      <c r="A66" s="283" t="s">
        <v>1643</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1644</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1650</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Closing Costs</v>
      </c>
      <c r="B69" s="361">
        <f>'Sources and Uses Budget'!C69</f>
        <v>81800</v>
      </c>
      <c r="C69" s="362"/>
      <c r="D69" s="362"/>
      <c r="E69" s="361">
        <f>'Sources and Uses Budget'!S69</f>
        <v>71800</v>
      </c>
      <c r="F69" s="362"/>
      <c r="G69" s="362"/>
      <c r="H69" s="361">
        <f>'Sources and Uses Budget'!T69</f>
        <v>0</v>
      </c>
      <c r="I69" s="362"/>
      <c r="J69" s="362"/>
      <c r="K69" s="359"/>
    </row>
    <row r="70" spans="1:11" s="360" customFormat="1">
      <c r="A70" s="365" t="s">
        <v>602</v>
      </c>
      <c r="B70" s="361">
        <f>'Sources and Uses Budget'!C70</f>
        <v>171800</v>
      </c>
      <c r="C70" s="361">
        <f>SUM(C64:C69)</f>
        <v>0</v>
      </c>
      <c r="D70" s="361">
        <f>SUM(D64:D69)</f>
        <v>0</v>
      </c>
      <c r="E70" s="361">
        <f>'Sources and Uses Budget'!S70</f>
        <v>161800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0</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1140150</v>
      </c>
      <c r="C79" s="362"/>
      <c r="D79" s="362"/>
      <c r="E79" s="361">
        <f>'Sources and Uses Budget'!S79</f>
        <v>1140150</v>
      </c>
      <c r="F79" s="362"/>
      <c r="G79" s="362"/>
      <c r="H79" s="361">
        <f>'Sources and Uses Budget'!T79</f>
        <v>0</v>
      </c>
      <c r="I79" s="362"/>
      <c r="J79" s="362"/>
      <c r="K79" s="359"/>
    </row>
    <row r="80" spans="1:11" s="360" customFormat="1">
      <c r="A80" s="364" t="s">
        <v>58</v>
      </c>
      <c r="B80" s="361">
        <f>'Sources and Uses Budget'!C80</f>
        <v>59000</v>
      </c>
      <c r="C80" s="362"/>
      <c r="D80" s="362"/>
      <c r="E80" s="361">
        <f>'Sources and Uses Budget'!S80</f>
        <v>59000</v>
      </c>
      <c r="F80" s="362"/>
      <c r="G80" s="362"/>
      <c r="H80" s="361">
        <f>'Sources and Uses Budget'!T80</f>
        <v>0</v>
      </c>
      <c r="I80" s="362"/>
      <c r="J80" s="362"/>
      <c r="K80" s="359"/>
    </row>
    <row r="81" spans="1:11" s="360" customFormat="1">
      <c r="A81" s="365" t="s">
        <v>1210</v>
      </c>
      <c r="B81" s="361">
        <f>'Sources and Uses Budget'!C81</f>
        <v>1199150</v>
      </c>
      <c r="C81" s="361">
        <f>SUM(C79:C80)</f>
        <v>0</v>
      </c>
      <c r="D81" s="361">
        <f>SUM(D79:D80)</f>
        <v>0</v>
      </c>
      <c r="E81" s="361">
        <f>'Sources and Uses Budget'!S81</f>
        <v>1199150</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2097</v>
      </c>
      <c r="B83" s="361">
        <f>'Sources and Uses Budget'!C83</f>
        <v>153780</v>
      </c>
      <c r="C83" s="362"/>
      <c r="D83" s="362"/>
      <c r="E83" s="363"/>
      <c r="F83" s="363"/>
      <c r="G83" s="363"/>
      <c r="H83" s="363"/>
      <c r="I83" s="363"/>
      <c r="J83" s="363"/>
      <c r="K83" s="359"/>
    </row>
    <row r="84" spans="1:11" s="360" customFormat="1">
      <c r="A84" s="145" t="s">
        <v>768</v>
      </c>
      <c r="B84" s="361">
        <f>'Sources and Uses Budget'!C84</f>
        <v>15000</v>
      </c>
      <c r="C84" s="362"/>
      <c r="D84" s="362"/>
      <c r="E84" s="361">
        <f>'Sources and Uses Budget'!S84</f>
        <v>15000</v>
      </c>
      <c r="F84" s="362"/>
      <c r="G84" s="362"/>
      <c r="H84" s="361">
        <f>'Sources and Uses Budget'!T84</f>
        <v>0</v>
      </c>
      <c r="I84" s="362"/>
      <c r="J84" s="362"/>
      <c r="K84" s="359"/>
    </row>
    <row r="85" spans="1:11" s="360" customFormat="1">
      <c r="A85" s="145" t="s">
        <v>769</v>
      </c>
      <c r="B85" s="361">
        <f>'Sources and Uses Budget'!C85</f>
        <v>12400000</v>
      </c>
      <c r="C85" s="362"/>
      <c r="D85" s="362"/>
      <c r="E85" s="361">
        <f>'Sources and Uses Budget'!S85</f>
        <v>12400000</v>
      </c>
      <c r="F85" s="362"/>
      <c r="G85" s="362"/>
      <c r="H85" s="361">
        <f>'Sources and Uses Budget'!T85</f>
        <v>0</v>
      </c>
      <c r="I85" s="362"/>
      <c r="J85" s="362"/>
      <c r="K85" s="359"/>
    </row>
    <row r="86" spans="1:11" s="360" customFormat="1">
      <c r="A86" s="145" t="s">
        <v>770</v>
      </c>
      <c r="B86" s="361">
        <f>'Sources and Uses Budget'!C86</f>
        <v>1724136</v>
      </c>
      <c r="C86" s="362"/>
      <c r="D86" s="362"/>
      <c r="E86" s="361">
        <f>'Sources and Uses Budget'!S86</f>
        <v>1724136</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15000</v>
      </c>
      <c r="C88" s="362"/>
      <c r="D88" s="362"/>
      <c r="E88" s="363"/>
      <c r="F88" s="363"/>
      <c r="G88" s="363"/>
      <c r="H88" s="363"/>
      <c r="I88" s="363"/>
      <c r="J88" s="363"/>
      <c r="K88" s="359"/>
    </row>
    <row r="89" spans="1:11" s="360" customFormat="1">
      <c r="A89" s="145" t="s">
        <v>773</v>
      </c>
      <c r="B89" s="361">
        <f>'Sources and Uses Budget'!C89</f>
        <v>125000</v>
      </c>
      <c r="C89" s="362"/>
      <c r="D89" s="362"/>
      <c r="E89" s="361">
        <f>'Sources and Uses Budget'!S89</f>
        <v>125000</v>
      </c>
      <c r="F89" s="362"/>
      <c r="G89" s="362"/>
      <c r="H89" s="361">
        <f>'Sources and Uses Budget'!T89</f>
        <v>0</v>
      </c>
      <c r="I89" s="362"/>
      <c r="J89" s="362"/>
      <c r="K89" s="359"/>
    </row>
    <row r="90" spans="1:11" s="360" customFormat="1">
      <c r="A90" s="145" t="s">
        <v>774</v>
      </c>
      <c r="B90" s="361">
        <f>'Sources and Uses Budget'!C90</f>
        <v>6500</v>
      </c>
      <c r="C90" s="362"/>
      <c r="D90" s="362"/>
      <c r="E90" s="361">
        <f>'Sources and Uses Budget'!S90</f>
        <v>6500</v>
      </c>
      <c r="F90" s="362"/>
      <c r="G90" s="362"/>
      <c r="H90" s="361">
        <f>'Sources and Uses Budget'!T90</f>
        <v>0</v>
      </c>
      <c r="I90" s="362"/>
      <c r="J90" s="362"/>
      <c r="K90" s="359"/>
    </row>
    <row r="91" spans="1:11" s="360" customFormat="1">
      <c r="A91" s="155" t="s">
        <v>372</v>
      </c>
      <c r="B91" s="361">
        <f>'Sources and Uses Budget'!C91</f>
        <v>15000</v>
      </c>
      <c r="C91" s="362"/>
      <c r="D91" s="362"/>
      <c r="E91" s="361">
        <f>'Sources and Uses Budget'!S91</f>
        <v>15000</v>
      </c>
      <c r="F91" s="362"/>
      <c r="G91" s="362"/>
      <c r="H91" s="361">
        <f>'Sources and Uses Budget'!T91</f>
        <v>0</v>
      </c>
      <c r="I91" s="362"/>
      <c r="J91" s="362"/>
      <c r="K91" s="359"/>
    </row>
    <row r="92" spans="1:11" s="360" customFormat="1">
      <c r="A92" s="508" t="s">
        <v>1212</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14464416</v>
      </c>
      <c r="C96" s="361">
        <f>SUM(C83:C95)</f>
        <v>0</v>
      </c>
      <c r="D96" s="361">
        <f>SUM(D83:D95)</f>
        <v>0</v>
      </c>
      <c r="E96" s="361">
        <f>'Sources and Uses Budget'!S96</f>
        <v>14295636</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63880751</v>
      </c>
      <c r="C97" s="361">
        <f>SUM(C63+C70+C77+C81+C96)</f>
        <v>0</v>
      </c>
      <c r="D97" s="361">
        <f>SUM(D63+D70+D77+D81+D96)</f>
        <v>0</v>
      </c>
      <c r="E97" s="361">
        <f>'Sources and Uses Budget'!S97</f>
        <v>60859626</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9200000</v>
      </c>
      <c r="C99" s="362"/>
      <c r="D99" s="362"/>
      <c r="E99" s="361">
        <f>'Sources and Uses Budget'!S99</f>
        <v>9200000</v>
      </c>
      <c r="F99" s="362"/>
      <c r="G99" s="362"/>
      <c r="H99" s="361">
        <f>'Sources and Uses Budget'!T99</f>
        <v>0</v>
      </c>
      <c r="I99" s="362"/>
      <c r="J99" s="362"/>
      <c r="K99" s="359"/>
    </row>
    <row r="100" spans="1:11" s="360" customFormat="1">
      <c r="A100" s="283" t="s">
        <v>1648</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1649</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9200000</v>
      </c>
      <c r="C104" s="361">
        <f>SUM(C99:C103)</f>
        <v>0</v>
      </c>
      <c r="D104" s="361">
        <f>SUM(D99:D103)</f>
        <v>0</v>
      </c>
      <c r="E104" s="361">
        <f>'Sources and Uses Budget'!S104</f>
        <v>9200000</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73080751</v>
      </c>
      <c r="C105" s="367">
        <f>SUM(C97+C104)</f>
        <v>0</v>
      </c>
      <c r="D105" s="367">
        <f>SUM(D97+D104)</f>
        <v>0</v>
      </c>
      <c r="E105" s="361">
        <f>'Sources and Uses Budget'!S105</f>
        <v>70059626</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70059626</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2" t="s">
        <v>2460</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2459</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4" t="str">
        <f>IF(Application!H18="","",Application!H18)</f>
        <v>Westpark Family Affordable Apartments</v>
      </c>
      <c r="M4" s="1875"/>
      <c r="N4" s="1875"/>
      <c r="O4" s="1875"/>
      <c r="P4" s="1875"/>
      <c r="Q4" s="1875"/>
      <c r="R4" s="1875"/>
      <c r="S4" s="1875"/>
      <c r="T4" s="1875"/>
      <c r="U4" s="1875"/>
      <c r="V4" s="1875"/>
      <c r="W4" s="1875"/>
      <c r="X4" s="1875"/>
      <c r="Y4" s="1875"/>
      <c r="Z4" s="1875"/>
      <c r="AA4" s="1875"/>
      <c r="AB4" s="1875"/>
      <c r="AC4" s="1876"/>
      <c r="AD4" s="1190"/>
      <c r="AE4" s="1190"/>
      <c r="AF4" s="1888" t="s">
        <v>2458</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2457</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2456</v>
      </c>
      <c r="C6" s="1190"/>
      <c r="D6" s="1190"/>
      <c r="E6" s="1190"/>
      <c r="F6" s="1190"/>
      <c r="G6" s="1190"/>
      <c r="H6" s="1190"/>
      <c r="I6" s="1190"/>
      <c r="J6" s="1190"/>
      <c r="K6" s="1190"/>
      <c r="L6" s="1874" t="str">
        <f>IF(Application!H16="","",Application!H16)</f>
        <v>PacH Anton South Holdings, LLC</v>
      </c>
      <c r="M6" s="1875"/>
      <c r="N6" s="1875"/>
      <c r="O6" s="1875"/>
      <c r="P6" s="1875"/>
      <c r="Q6" s="1875"/>
      <c r="R6" s="1875"/>
      <c r="S6" s="1875"/>
      <c r="T6" s="1875"/>
      <c r="U6" s="1875"/>
      <c r="V6" s="1875"/>
      <c r="W6" s="1875"/>
      <c r="X6" s="1875"/>
      <c r="Y6" s="1875"/>
      <c r="Z6" s="1875"/>
      <c r="AA6" s="1875"/>
      <c r="AB6" s="1875"/>
      <c r="AC6" s="1876"/>
      <c r="AD6" s="1190"/>
      <c r="AE6" s="1190"/>
      <c r="AF6" s="1877" t="s">
        <v>2455</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2454</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thickBot="1">
      <c r="A8" s="1189"/>
      <c r="B8" s="1192" t="s">
        <v>2453</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2452</v>
      </c>
      <c r="AG8" s="1877"/>
      <c r="AH8" s="1877"/>
      <c r="AI8" s="1877"/>
      <c r="AJ8" s="1877"/>
      <c r="AK8" s="1877"/>
      <c r="AL8" s="1877"/>
      <c r="AM8" s="1877"/>
      <c r="AN8" s="1877"/>
      <c r="AO8" s="1877"/>
      <c r="AP8" s="1878" t="s">
        <v>2101</v>
      </c>
      <c r="AQ8" s="1878"/>
      <c r="AR8" s="1878"/>
      <c r="AS8" s="1878"/>
      <c r="AT8" s="1878"/>
      <c r="AU8" s="1878"/>
      <c r="AV8" s="1190"/>
      <c r="AW8" s="1190"/>
      <c r="AX8" s="1190"/>
      <c r="AY8" s="1190"/>
      <c r="AZ8" s="1190"/>
      <c r="BA8" s="1190"/>
      <c r="BB8" s="1190"/>
      <c r="BC8" s="1190"/>
      <c r="BD8" s="1190"/>
      <c r="BE8" s="1191"/>
      <c r="BM8" s="1187" t="s">
        <v>1986</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2451</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2450</v>
      </c>
    </row>
    <row r="10" spans="1:65" ht="15">
      <c r="A10" s="1189"/>
      <c r="B10" s="1192" t="s">
        <v>2449</v>
      </c>
      <c r="C10" s="1192"/>
      <c r="D10" s="1192"/>
      <c r="E10" s="1192"/>
      <c r="F10" s="1192"/>
      <c r="G10" s="1192"/>
      <c r="H10" s="1192"/>
      <c r="I10" s="1192"/>
      <c r="J10" s="1192"/>
      <c r="K10" s="1192"/>
      <c r="L10" s="1192"/>
      <c r="M10" s="1190"/>
      <c r="N10" s="1903">
        <f>Application!AO627</f>
        <v>32620000</v>
      </c>
      <c r="O10" s="1903"/>
      <c r="P10" s="1903"/>
      <c r="Q10" s="1903"/>
      <c r="R10" s="1903"/>
      <c r="S10" s="1903"/>
      <c r="T10" s="1903"/>
      <c r="U10" s="1190"/>
      <c r="V10" s="1190"/>
      <c r="W10" s="1190"/>
      <c r="X10" s="1193"/>
      <c r="Y10" s="1193"/>
      <c r="Z10" s="1193"/>
      <c r="AA10" s="1193"/>
      <c r="AB10" s="1193"/>
      <c r="AC10" s="1193"/>
      <c r="AD10" s="1193"/>
      <c r="AE10" s="1193"/>
      <c r="AF10" s="1888" t="s">
        <v>2448</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2447</v>
      </c>
    </row>
    <row r="11" spans="1:65" ht="15">
      <c r="A11" s="1189"/>
      <c r="B11" s="1192" t="s">
        <v>2446</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2445</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2101</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2444</v>
      </c>
    </row>
    <row r="13" spans="1:65" thickBot="1">
      <c r="A13" s="1190"/>
      <c r="B13" s="1891" t="s">
        <v>2443</v>
      </c>
      <c r="C13" s="1892"/>
      <c r="D13" s="1892"/>
      <c r="E13" s="1892"/>
      <c r="F13" s="1892"/>
      <c r="G13" s="1892"/>
      <c r="H13" s="1892"/>
      <c r="I13" s="1892"/>
      <c r="J13" s="1892"/>
      <c r="K13" s="1892"/>
      <c r="L13" s="1892"/>
      <c r="M13" s="1892"/>
      <c r="N13" s="1892"/>
      <c r="O13" s="1892"/>
      <c r="P13" s="1893"/>
      <c r="Q13" s="1894" t="s">
        <v>670</v>
      </c>
      <c r="R13" s="1895"/>
      <c r="S13" s="1895"/>
      <c r="T13" s="1896"/>
      <c r="U13" s="1193"/>
      <c r="V13" s="1190"/>
      <c r="W13" s="1190"/>
      <c r="X13" s="1190"/>
      <c r="Y13" s="1190"/>
      <c r="Z13" s="1190"/>
      <c r="AA13" s="1897" t="s">
        <v>2442</v>
      </c>
      <c r="AB13" s="1897"/>
      <c r="AC13" s="1897"/>
      <c r="AD13" s="1897"/>
      <c r="AE13" s="1897"/>
      <c r="AF13" s="1897"/>
      <c r="AG13" s="1897"/>
      <c r="AH13" s="1897"/>
      <c r="AI13" s="1897"/>
      <c r="AJ13" s="1897"/>
      <c r="AK13" s="1897"/>
      <c r="AL13" s="1897"/>
      <c r="AM13" s="1897"/>
      <c r="AN13" s="1897"/>
      <c r="AO13" s="1898">
        <f>Application!W473</f>
        <v>0</v>
      </c>
      <c r="AP13" s="1899"/>
      <c r="AQ13" s="1899"/>
      <c r="AR13" s="1899"/>
      <c r="AS13" s="1899"/>
      <c r="AT13" s="1193"/>
      <c r="AU13" s="1193"/>
      <c r="AV13" s="1193"/>
      <c r="AW13" s="1193"/>
      <c r="AX13" s="1193"/>
      <c r="AY13" s="1193"/>
      <c r="AZ13" s="1193"/>
      <c r="BA13" s="1193"/>
      <c r="BB13" s="1193"/>
      <c r="BC13" s="1193"/>
      <c r="BD13" s="1193"/>
      <c r="BE13" s="1194"/>
      <c r="BM13" s="1187" t="s">
        <v>2441</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2440</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thickBot="1">
      <c r="A15" s="1190"/>
      <c r="B15" s="1904" t="s">
        <v>2439</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2438</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9" t="s">
        <v>2437</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2436</v>
      </c>
      <c r="C18" s="1913"/>
      <c r="D18" s="1913"/>
      <c r="E18" s="1913"/>
      <c r="F18" s="1913"/>
      <c r="G18" s="1913"/>
      <c r="H18" s="1913"/>
      <c r="I18" s="1914"/>
      <c r="J18" s="1915" t="s">
        <v>1588</v>
      </c>
      <c r="K18" s="1916"/>
      <c r="L18" s="1916"/>
      <c r="M18" s="1916"/>
      <c r="N18" s="1916"/>
      <c r="O18" s="1917"/>
      <c r="P18" s="1915" t="s">
        <v>324</v>
      </c>
      <c r="Q18" s="1916"/>
      <c r="R18" s="1916"/>
      <c r="S18" s="1916"/>
      <c r="T18" s="1916"/>
      <c r="U18" s="1917"/>
      <c r="V18" s="1915" t="s">
        <v>325</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2435</v>
      </c>
      <c r="AU18" s="1916"/>
      <c r="AV18" s="1916"/>
      <c r="AW18" s="1916"/>
      <c r="AX18" s="1916"/>
      <c r="AY18" s="1918"/>
      <c r="AZ18" s="1190"/>
      <c r="BA18" s="1190"/>
      <c r="BB18" s="1190"/>
      <c r="BC18" s="1190"/>
      <c r="BD18" s="1190"/>
      <c r="BE18" s="1194"/>
    </row>
    <row r="19" spans="1:58" ht="15">
      <c r="A19" s="1190"/>
      <c r="B19" s="1919">
        <v>0.3</v>
      </c>
      <c r="C19" s="1920"/>
      <c r="D19" s="1920"/>
      <c r="E19" s="1920"/>
      <c r="F19" s="1920"/>
      <c r="G19" s="1920"/>
      <c r="H19" s="1920"/>
      <c r="I19" s="1921"/>
      <c r="J19" s="1922">
        <f t="shared" ref="J19:J24" si="0">SUM(P19:AS19)</f>
        <v>21</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11</v>
      </c>
      <c r="W19" s="1923"/>
      <c r="X19" s="1923"/>
      <c r="Y19" s="1923"/>
      <c r="Z19" s="1923"/>
      <c r="AA19" s="1924"/>
      <c r="AB19" s="1922" cm="1">
        <f t="array" ref="AB19">SUMPRODUCT((Application!$B$714:$B$738 = 'CalHFA Addendum'!AB$18)*(Application!$AC$714:$AC$738 = 'CalHFA Addendum'!$B19),Application!$G$714:$G$738)</f>
        <v>5</v>
      </c>
      <c r="AC19" s="1923"/>
      <c r="AD19" s="1923"/>
      <c r="AE19" s="1923"/>
      <c r="AF19" s="1923"/>
      <c r="AG19" s="1924"/>
      <c r="AH19" s="1922" cm="1">
        <f t="array" ref="AH19">SUMPRODUCT((Application!$B$714:$B$738 = 'CalHFA Addendum'!AH$18)*(Application!$AC$714:$AC$738 = 'CalHFA Addendum'!$B19),Application!$G$714:$G$738)</f>
        <v>5</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0.105</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5">
      <c r="A21" s="1190"/>
      <c r="B21" s="1919">
        <v>0.5</v>
      </c>
      <c r="C21" s="1920"/>
      <c r="D21" s="1920"/>
      <c r="E21" s="1920"/>
      <c r="F21" s="1920"/>
      <c r="G21" s="1920"/>
      <c r="H21" s="1920"/>
      <c r="I21" s="1921"/>
      <c r="J21" s="1922">
        <f t="shared" si="0"/>
        <v>21</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11</v>
      </c>
      <c r="W21" s="1923"/>
      <c r="X21" s="1923"/>
      <c r="Y21" s="1923"/>
      <c r="Z21" s="1923"/>
      <c r="AA21" s="1924"/>
      <c r="AB21" s="1922" cm="1">
        <f t="array" ref="AB21">SUMPRODUCT((Application!$B$714:$B$738 = 'CalHFA Addendum'!AB$18)*(Application!$AC$714:$AC$738 = 'CalHFA Addendum'!$B21),Application!$G$714:$G$738)</f>
        <v>5</v>
      </c>
      <c r="AC21" s="1923"/>
      <c r="AD21" s="1923"/>
      <c r="AE21" s="1923"/>
      <c r="AF21" s="1923"/>
      <c r="AG21" s="1924"/>
      <c r="AH21" s="1922" cm="1">
        <f t="array" ref="AH21">SUMPRODUCT((Application!$B$714:$B$738 = 'CalHFA Addendum'!AH$18)*(Application!$AC$714:$AC$738 = 'CalHFA Addendum'!$B21),Application!$G$714:$G$738)</f>
        <v>5</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0.105</v>
      </c>
      <c r="AU21" s="1926"/>
      <c r="AV21" s="1926"/>
      <c r="AW21" s="1926"/>
      <c r="AX21" s="1926"/>
      <c r="AY21" s="1927"/>
      <c r="AZ21" s="1190"/>
      <c r="BA21" s="1190"/>
      <c r="BB21" s="1190"/>
      <c r="BC21" s="1190"/>
      <c r="BD21" s="1190"/>
      <c r="BE21" s="1194"/>
    </row>
    <row r="22" spans="1:58" ht="15">
      <c r="A22" s="1190"/>
      <c r="B22" s="1919">
        <v>0.6</v>
      </c>
      <c r="C22" s="1920"/>
      <c r="D22" s="1920"/>
      <c r="E22" s="1920"/>
      <c r="F22" s="1920"/>
      <c r="G22" s="1920"/>
      <c r="H22" s="1920"/>
      <c r="I22" s="1921"/>
      <c r="J22" s="1922">
        <f t="shared" si="0"/>
        <v>80</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40</v>
      </c>
      <c r="W22" s="1923"/>
      <c r="X22" s="1923"/>
      <c r="Y22" s="1923"/>
      <c r="Z22" s="1923"/>
      <c r="AA22" s="1924"/>
      <c r="AB22" s="1922" cm="1">
        <f t="array" ref="AB22">SUMPRODUCT((Application!$B$714:$B$738 = 'CalHFA Addendum'!AB$18)*(Application!$AC$714:$AC$738 = 'CalHFA Addendum'!$B22),Application!$G$714:$G$738)</f>
        <v>20</v>
      </c>
      <c r="AC22" s="1923"/>
      <c r="AD22" s="1923"/>
      <c r="AE22" s="1923"/>
      <c r="AF22" s="1923"/>
      <c r="AG22" s="1924"/>
      <c r="AH22" s="1922" cm="1">
        <f t="array" ref="AH22">SUMPRODUCT((Application!$B$714:$B$738 = 'CalHFA Addendum'!AH$18)*(Application!$AC$714:$AC$738 = 'CalHFA Addendum'!$B22),Application!$G$714:$G$738)</f>
        <v>20</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0.4</v>
      </c>
      <c r="AU22" s="1926"/>
      <c r="AV22" s="1926"/>
      <c r="AW22" s="1926"/>
      <c r="AX22" s="1926"/>
      <c r="AY22" s="1927"/>
      <c r="AZ22" s="1190"/>
      <c r="BA22" s="1190"/>
      <c r="BB22" s="1190"/>
      <c r="BC22" s="1190"/>
      <c r="BD22" s="1190"/>
      <c r="BE22" s="1194"/>
    </row>
    <row r="23" spans="1:58" ht="15">
      <c r="A23" s="1190"/>
      <c r="B23" s="1919">
        <v>0.7</v>
      </c>
      <c r="C23" s="1920"/>
      <c r="D23" s="1920"/>
      <c r="E23" s="1920"/>
      <c r="F23" s="1920"/>
      <c r="G23" s="1920"/>
      <c r="H23" s="1920"/>
      <c r="I23" s="1921"/>
      <c r="J23" s="1922">
        <f t="shared" si="0"/>
        <v>77</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37</v>
      </c>
      <c r="W23" s="1923"/>
      <c r="X23" s="1923"/>
      <c r="Y23" s="1923"/>
      <c r="Z23" s="1923"/>
      <c r="AA23" s="1924"/>
      <c r="AB23" s="1922" cm="1">
        <f t="array" ref="AB23">SUMPRODUCT((Application!$B$714:$B$738 = 'CalHFA Addendum'!AB$18)*(Application!$AC$714:$AC$738 = 'CalHFA Addendum'!$B23),Application!$G$714:$G$738)</f>
        <v>20</v>
      </c>
      <c r="AC23" s="1923"/>
      <c r="AD23" s="1923"/>
      <c r="AE23" s="1923"/>
      <c r="AF23" s="1923"/>
      <c r="AG23" s="1924"/>
      <c r="AH23" s="1922" cm="1">
        <f t="array" ref="AH23">SUMPRODUCT((Application!$B$714:$B$738 = 'CalHFA Addendum'!AH$18)*(Application!$AC$714:$AC$738 = 'CalHFA Addendum'!$B23),Application!$G$714:$G$738)</f>
        <v>20</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0.38500000000000001</v>
      </c>
      <c r="AU23" s="1926"/>
      <c r="AV23" s="1926"/>
      <c r="AW23" s="1926"/>
      <c r="AX23" s="1926"/>
      <c r="AY23" s="1927"/>
      <c r="AZ23" s="1190"/>
      <c r="BA23" s="1190"/>
      <c r="BB23" s="1190"/>
      <c r="BC23" s="1190"/>
      <c r="BD23" s="1190"/>
      <c r="BE23" s="1194"/>
    </row>
    <row r="24" spans="1:58" ht="15">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5">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5">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5">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thickBot="1">
      <c r="A28" s="1190"/>
      <c r="B28" s="1931" t="s">
        <v>2434</v>
      </c>
      <c r="C28" s="1932"/>
      <c r="D28" s="1932"/>
      <c r="E28" s="1932"/>
      <c r="F28" s="1932"/>
      <c r="G28" s="1932"/>
      <c r="H28" s="1932"/>
      <c r="I28" s="1933"/>
      <c r="J28" s="1934">
        <f>SUM(P28:AS28)</f>
        <v>1</v>
      </c>
      <c r="K28" s="1935"/>
      <c r="L28" s="1935"/>
      <c r="M28" s="1935"/>
      <c r="N28" s="1935"/>
      <c r="O28" s="1936"/>
      <c r="P28" s="1934">
        <f>_xlfn.IFNA(VLOOKUP(P$18,Application!$J$773:$S$776,6,FALSE), 0)</f>
        <v>0</v>
      </c>
      <c r="Q28" s="1935"/>
      <c r="R28" s="1935"/>
      <c r="S28" s="1935"/>
      <c r="T28" s="1935"/>
      <c r="U28" s="1936"/>
      <c r="V28" s="1934">
        <f>_xlfn.IFNA(VLOOKUP(V$18,Application!$J$773:$S$776,6,FALSE), 0)</f>
        <v>1</v>
      </c>
      <c r="W28" s="1935"/>
      <c r="X28" s="1935"/>
      <c r="Y28" s="1935"/>
      <c r="Z28" s="1935"/>
      <c r="AA28" s="1936"/>
      <c r="AB28" s="1934">
        <f>_xlfn.IFNA(VLOOKUP(AB$18,Application!$J$773:$S$776,6,FALSE), 0)</f>
        <v>0</v>
      </c>
      <c r="AC28" s="1935"/>
      <c r="AD28" s="1935"/>
      <c r="AE28" s="1935"/>
      <c r="AF28" s="1935"/>
      <c r="AG28" s="1936"/>
      <c r="AH28" s="1934">
        <f>_xlfn.IFNA(VLOOKUP(AH$18,Application!$J$773:$S$776,6,FALSE), 0)</f>
        <v>0</v>
      </c>
      <c r="AI28" s="1935"/>
      <c r="AJ28" s="1935"/>
      <c r="AK28" s="1935"/>
      <c r="AL28" s="1935"/>
      <c r="AM28" s="1936"/>
      <c r="AN28" s="1934">
        <f>_xlfn.IFNA(VLOOKUP(AN$18,Application!$J$773:$S$776,6,FALSE), 0)</f>
        <v>0</v>
      </c>
      <c r="AO28" s="1935"/>
      <c r="AP28" s="1935"/>
      <c r="AQ28" s="1935"/>
      <c r="AR28" s="1935"/>
      <c r="AS28" s="1936"/>
      <c r="AT28" s="1937">
        <f t="shared" si="1"/>
        <v>5.0000000000000001E-3</v>
      </c>
      <c r="AU28" s="1938"/>
      <c r="AV28" s="1938"/>
      <c r="AW28" s="1938"/>
      <c r="AX28" s="1938"/>
      <c r="AY28" s="1939"/>
      <c r="AZ28" s="1190"/>
      <c r="BA28" s="1190"/>
      <c r="BB28" s="1190"/>
      <c r="BC28" s="1190"/>
      <c r="BD28" s="1190"/>
      <c r="BE28" s="1194"/>
    </row>
    <row r="29" spans="1:58" thickBot="1">
      <c r="A29" s="1190"/>
      <c r="B29" s="1968" t="s">
        <v>1588</v>
      </c>
      <c r="C29" s="1941"/>
      <c r="D29" s="1941"/>
      <c r="E29" s="1941"/>
      <c r="F29" s="1941"/>
      <c r="G29" s="1941"/>
      <c r="H29" s="1941"/>
      <c r="I29" s="1942"/>
      <c r="J29" s="1940">
        <f>SUM(J19:O28)</f>
        <v>200</v>
      </c>
      <c r="K29" s="1941"/>
      <c r="L29" s="1941"/>
      <c r="M29" s="1941"/>
      <c r="N29" s="1941"/>
      <c r="O29" s="1942"/>
      <c r="P29" s="1940">
        <f>SUM(P19:U28)</f>
        <v>0</v>
      </c>
      <c r="Q29" s="1941"/>
      <c r="R29" s="1941"/>
      <c r="S29" s="1941"/>
      <c r="T29" s="1941"/>
      <c r="U29" s="1942"/>
      <c r="V29" s="1940">
        <f>SUM(V19:AA28)</f>
        <v>100</v>
      </c>
      <c r="W29" s="1941"/>
      <c r="X29" s="1941"/>
      <c r="Y29" s="1941"/>
      <c r="Z29" s="1941"/>
      <c r="AA29" s="1942"/>
      <c r="AB29" s="1940">
        <f>SUM(AB19:AG28)</f>
        <v>50</v>
      </c>
      <c r="AC29" s="1941"/>
      <c r="AD29" s="1941"/>
      <c r="AE29" s="1941"/>
      <c r="AF29" s="1941"/>
      <c r="AG29" s="1942"/>
      <c r="AH29" s="1940">
        <f>SUM(AH19:AM28)</f>
        <v>50</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6" t="s">
        <v>2433</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thickBot="1">
      <c r="A32" s="1190"/>
      <c r="B32" s="1949" t="s">
        <v>2432</v>
      </c>
      <c r="C32" s="1950"/>
      <c r="D32" s="1950"/>
      <c r="E32" s="1950"/>
      <c r="F32" s="1950"/>
      <c r="G32" s="1950"/>
      <c r="H32" s="1950"/>
      <c r="I32" s="1950"/>
      <c r="J32" s="1953" t="s">
        <v>2431</v>
      </c>
      <c r="K32" s="1954"/>
      <c r="L32" s="1954"/>
      <c r="M32" s="1954"/>
      <c r="N32" s="1953" t="s">
        <v>2430</v>
      </c>
      <c r="O32" s="1954"/>
      <c r="P32" s="1954"/>
      <c r="Q32" s="1956"/>
      <c r="R32" s="1958" t="s">
        <v>2429</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2428</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2427</v>
      </c>
      <c r="AT35" s="1970"/>
      <c r="AU35" s="1970"/>
      <c r="AV35" s="1970"/>
      <c r="AW35" s="1970"/>
      <c r="AX35" s="1978"/>
      <c r="AY35" s="1969" t="s">
        <v>2426</v>
      </c>
      <c r="AZ35" s="1970"/>
      <c r="BA35" s="1970"/>
      <c r="BB35" s="1970"/>
      <c r="BC35" s="1970"/>
      <c r="BD35" s="1971"/>
      <c r="BE35" s="1194"/>
    </row>
    <row r="36" spans="1:58" ht="15.75" customHeight="1">
      <c r="A36" s="1190"/>
      <c r="B36" s="1988" t="s">
        <v>2425</v>
      </c>
      <c r="C36" s="1989"/>
      <c r="D36" s="1989"/>
      <c r="E36" s="1989"/>
      <c r="F36" s="1989"/>
      <c r="G36" s="1989"/>
      <c r="H36" s="1989"/>
      <c r="I36" s="1989"/>
      <c r="J36" s="1990" t="s">
        <v>2424</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2423</v>
      </c>
      <c r="C37" s="1989"/>
      <c r="D37" s="1989"/>
      <c r="E37" s="1989"/>
      <c r="F37" s="1989"/>
      <c r="G37" s="1989"/>
      <c r="H37" s="1989"/>
      <c r="I37" s="1989"/>
      <c r="J37" s="1990" t="s">
        <v>2422</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2421</v>
      </c>
      <c r="C38" s="1989"/>
      <c r="D38" s="1989"/>
      <c r="E38" s="1989"/>
      <c r="F38" s="1989"/>
      <c r="G38" s="1989"/>
      <c r="H38" s="1989"/>
      <c r="I38" s="1989"/>
      <c r="J38" s="1990" t="s">
        <v>2420</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2419</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2419</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2418</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2418</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2417</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2416</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2415</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2339</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300</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2414</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2413</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2412</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2405</v>
      </c>
      <c r="C51" s="2008"/>
      <c r="D51" s="2008"/>
      <c r="E51" s="2008"/>
      <c r="F51" s="2008"/>
      <c r="G51" s="2008"/>
      <c r="H51" s="2008"/>
      <c r="I51" s="2008"/>
      <c r="J51" s="2008" t="s">
        <v>2411</v>
      </c>
      <c r="K51" s="2008"/>
      <c r="L51" s="2008"/>
      <c r="M51" s="2008"/>
      <c r="N51" s="2008"/>
      <c r="O51" s="2008"/>
      <c r="P51" s="2008"/>
      <c r="Q51" s="2008"/>
      <c r="R51" s="2009" t="s">
        <v>2410</v>
      </c>
      <c r="S51" s="2009"/>
      <c r="T51" s="2009"/>
      <c r="U51" s="2009"/>
      <c r="V51" s="2009"/>
      <c r="W51" s="2009"/>
      <c r="X51" s="2009"/>
      <c r="Y51" s="2009"/>
      <c r="Z51" s="2009" t="s">
        <v>2409</v>
      </c>
      <c r="AA51" s="2009"/>
      <c r="AB51" s="2009"/>
      <c r="AC51" s="2009"/>
      <c r="AD51" s="2009"/>
      <c r="AE51" s="2009"/>
      <c r="AF51" s="2009"/>
      <c r="AG51" s="2009"/>
      <c r="AH51" s="2009" t="s">
        <v>2408</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2407</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2406</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1588</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2405</v>
      </c>
      <c r="C59" s="2017"/>
      <c r="D59" s="2017"/>
      <c r="E59" s="2017"/>
      <c r="F59" s="2017"/>
      <c r="G59" s="2017"/>
      <c r="H59" s="2017"/>
      <c r="I59" s="2018"/>
      <c r="J59" s="1910" t="s">
        <v>2404</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2403</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2402</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2401</v>
      </c>
      <c r="AD68" s="2054"/>
      <c r="AE68" s="2054"/>
      <c r="AF68" s="2054"/>
      <c r="AG68" s="2054"/>
      <c r="AH68" s="2054"/>
      <c r="AI68" s="2054"/>
      <c r="AJ68" s="2054"/>
      <c r="AK68" s="2054"/>
      <c r="AL68" s="2054"/>
      <c r="AM68" s="2054"/>
      <c r="AN68" s="2054"/>
      <c r="AO68" s="2054"/>
      <c r="AP68" s="2054"/>
      <c r="AQ68" s="2054"/>
      <c r="AR68" s="2054"/>
      <c r="AS68" s="2054"/>
      <c r="AT68" s="2054"/>
      <c r="AU68" s="2054"/>
      <c r="AV68" s="2031" t="s">
        <v>670</v>
      </c>
      <c r="AW68" s="2032"/>
      <c r="AX68" s="2032"/>
      <c r="AY68" s="2032"/>
      <c r="AZ68" s="2032"/>
      <c r="BA68" s="2032"/>
      <c r="BB68" s="2032"/>
      <c r="BC68" s="2033"/>
      <c r="BD68" s="1190"/>
      <c r="BE68" s="1194"/>
      <c r="BM68" s="1199" t="s">
        <v>2400</v>
      </c>
    </row>
    <row r="69" spans="1:94" ht="15.75" customHeight="1" thickTop="1" thickBot="1">
      <c r="A69" s="1190"/>
      <c r="B69" s="2034" t="s">
        <v>2399</v>
      </c>
      <c r="C69" s="2035"/>
      <c r="D69" s="2035"/>
      <c r="E69" s="2035"/>
      <c r="F69" s="2035"/>
      <c r="G69" s="2035"/>
      <c r="H69" s="2035"/>
      <c r="I69" s="2035"/>
      <c r="J69" s="2035"/>
      <c r="K69" s="2035"/>
      <c r="L69" s="2035"/>
      <c r="M69" s="2035"/>
      <c r="N69" s="2035"/>
      <c r="O69" s="2036" t="s">
        <v>2398</v>
      </c>
      <c r="P69" s="2037"/>
      <c r="Q69" s="2037"/>
      <c r="R69" s="2037"/>
      <c r="S69" s="2037"/>
      <c r="T69" s="2037"/>
      <c r="U69" s="2037"/>
      <c r="V69" s="2037"/>
      <c r="W69" s="2037"/>
      <c r="X69" s="2037"/>
      <c r="Y69" s="2037"/>
      <c r="Z69" s="2037"/>
      <c r="AA69" s="2038"/>
      <c r="AB69" s="1190"/>
      <c r="AC69" s="2039" t="s">
        <v>2397</v>
      </c>
      <c r="AD69" s="2040"/>
      <c r="AE69" s="2040"/>
      <c r="AF69" s="2040"/>
      <c r="AG69" s="2040"/>
      <c r="AH69" s="2040"/>
      <c r="AI69" s="2040"/>
      <c r="AJ69" s="2040"/>
      <c r="AK69" s="2040"/>
      <c r="AL69" s="2040"/>
      <c r="AM69" s="2040"/>
      <c r="AN69" s="2040"/>
      <c r="AO69" s="2040"/>
      <c r="AP69" s="2040"/>
      <c r="AQ69" s="2040"/>
      <c r="AR69" s="2040"/>
      <c r="AS69" s="2040"/>
      <c r="AT69" s="2040"/>
      <c r="AU69" s="2040"/>
      <c r="AV69" s="2031" t="s">
        <v>670</v>
      </c>
      <c r="AW69" s="2032"/>
      <c r="AX69" s="2032"/>
      <c r="AY69" s="2032"/>
      <c r="AZ69" s="2032"/>
      <c r="BA69" s="2032"/>
      <c r="BB69" s="2032"/>
      <c r="BC69" s="2033"/>
      <c r="BD69" s="1190"/>
      <c r="BE69" s="1194"/>
      <c r="BM69" s="1200" t="s">
        <v>546</v>
      </c>
    </row>
    <row r="70" spans="1:94" ht="15.75" customHeight="1">
      <c r="A70" s="1190"/>
      <c r="B70" s="1988" t="s">
        <v>2396</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2395</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670</v>
      </c>
    </row>
    <row r="71" spans="1:94" ht="15.75" customHeight="1" thickBot="1">
      <c r="A71" s="1190"/>
      <c r="B71" s="1988" t="s">
        <v>2394</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2393</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2392</v>
      </c>
    </row>
    <row r="72" spans="1:94" ht="15.75" customHeight="1">
      <c r="A72" s="1190"/>
      <c r="B72" s="1988" t="s">
        <v>2391</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2390</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2389</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2334</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2388</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2287</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2387</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2386</v>
      </c>
      <c r="C81" s="2064"/>
      <c r="D81" s="2064"/>
      <c r="E81" s="2064"/>
      <c r="F81" s="2064"/>
      <c r="G81" s="2064"/>
      <c r="H81" s="2064"/>
      <c r="I81" s="2064"/>
      <c r="J81" s="2064"/>
      <c r="K81" s="2064"/>
      <c r="L81" s="2064"/>
      <c r="M81" s="2064"/>
      <c r="N81" s="2064"/>
      <c r="O81" s="2064"/>
      <c r="P81" s="2064"/>
      <c r="Q81" s="2064"/>
      <c r="R81" s="2065" t="s">
        <v>2191</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2385</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2384</v>
      </c>
      <c r="AK83" s="2087"/>
      <c r="AL83" s="2087"/>
      <c r="AM83" s="2087"/>
      <c r="AN83" s="2087"/>
      <c r="AO83" s="2087"/>
      <c r="AP83" s="2087"/>
      <c r="AQ83" s="2087"/>
      <c r="AR83" s="2087"/>
      <c r="AS83" s="2087"/>
      <c r="AT83" s="2087"/>
      <c r="AU83" s="2087"/>
      <c r="AV83" s="2087"/>
      <c r="AW83" s="2087"/>
      <c r="AX83" s="2087"/>
      <c r="AY83" s="2090" t="s">
        <v>546</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2374</v>
      </c>
      <c r="J84" s="2008"/>
      <c r="K84" s="2008"/>
      <c r="L84" s="2008"/>
      <c r="M84" s="2008"/>
      <c r="N84" s="2008"/>
      <c r="O84" s="2008" t="s">
        <v>2350</v>
      </c>
      <c r="P84" s="2008"/>
      <c r="Q84" s="2008"/>
      <c r="R84" s="2008"/>
      <c r="S84" s="2008"/>
      <c r="T84" s="2008"/>
      <c r="U84" s="2008"/>
      <c r="V84" s="2094" t="s">
        <v>2349</v>
      </c>
      <c r="W84" s="2094"/>
      <c r="X84" s="2094"/>
      <c r="Y84" s="2094"/>
      <c r="Z84" s="2094"/>
      <c r="AA84" s="2094"/>
      <c r="AB84" s="2095" t="s">
        <v>2373</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2372</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2371</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2378</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2370</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2383</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2287</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2382</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2381</v>
      </c>
      <c r="C94" s="2064"/>
      <c r="D94" s="2064"/>
      <c r="E94" s="2064"/>
      <c r="F94" s="2064"/>
      <c r="G94" s="2064"/>
      <c r="H94" s="2064"/>
      <c r="I94" s="2064"/>
      <c r="J94" s="2064"/>
      <c r="K94" s="2064"/>
      <c r="L94" s="2064"/>
      <c r="M94" s="2064"/>
      <c r="N94" s="2064"/>
      <c r="O94" s="2064"/>
      <c r="P94" s="2064"/>
      <c r="Q94" s="2098"/>
      <c r="R94" s="2065" t="s">
        <v>2191</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2380</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2379</v>
      </c>
      <c r="AK96" s="2087"/>
      <c r="AL96" s="2087"/>
      <c r="AM96" s="2087"/>
      <c r="AN96" s="2087"/>
      <c r="AO96" s="2087"/>
      <c r="AP96" s="2087"/>
      <c r="AQ96" s="2087"/>
      <c r="AR96" s="2087"/>
      <c r="AS96" s="2087"/>
      <c r="AT96" s="2087"/>
      <c r="AU96" s="2087"/>
      <c r="AV96" s="2087"/>
      <c r="AW96" s="2087"/>
      <c r="AX96" s="2087"/>
      <c r="AY96" s="2090" t="s">
        <v>546</v>
      </c>
      <c r="AZ96" s="2090"/>
      <c r="BA96" s="2090"/>
      <c r="BB96" s="2091"/>
      <c r="BC96" s="1190"/>
      <c r="BD96" s="1190"/>
      <c r="BE96" s="1194"/>
      <c r="BQ96" s="1256" t="str">
        <f>Application!M243&amp;IF(TRIM(Application!AA249)&lt;&gt;""," ("&amp;Application!AA249&amp;")","")</f>
        <v>St. Anton Westpark Affordable, LLC</v>
      </c>
      <c r="BR96" s="1259">
        <f>Application!AH246</f>
        <v>6.0000000000000001E-3</v>
      </c>
      <c r="CM96" s="1188"/>
      <c r="CN96" s="1188"/>
      <c r="CO96" s="1188"/>
      <c r="CP96" s="1188"/>
    </row>
    <row r="97" spans="1:94" ht="15.75" customHeight="1">
      <c r="A97" s="1190"/>
      <c r="B97" s="2007"/>
      <c r="C97" s="2008"/>
      <c r="D97" s="2008"/>
      <c r="E97" s="2008"/>
      <c r="F97" s="2008"/>
      <c r="G97" s="2008"/>
      <c r="H97" s="2008"/>
      <c r="I97" s="2008" t="s">
        <v>2374</v>
      </c>
      <c r="J97" s="2008"/>
      <c r="K97" s="2008"/>
      <c r="L97" s="2008"/>
      <c r="M97" s="2008"/>
      <c r="N97" s="2008"/>
      <c r="O97" s="2008" t="s">
        <v>2350</v>
      </c>
      <c r="P97" s="2008"/>
      <c r="Q97" s="2008"/>
      <c r="R97" s="2008"/>
      <c r="S97" s="2008"/>
      <c r="T97" s="2008"/>
      <c r="U97" s="2008"/>
      <c r="V97" s="2094" t="s">
        <v>2349</v>
      </c>
      <c r="W97" s="2094"/>
      <c r="X97" s="2094"/>
      <c r="Y97" s="2094"/>
      <c r="Z97" s="2094"/>
      <c r="AA97" s="2094"/>
      <c r="AB97" s="2095" t="s">
        <v>2373</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PacH Anton South Holdings, LLC (Pacific Housing, Inc.)</v>
      </c>
      <c r="BR97" s="1259">
        <f>Application!AH254</f>
        <v>4.0000000000000001E-3</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Pacific Housing, Inc</v>
      </c>
      <c r="BR98" s="1259">
        <f>Application!AH262</f>
        <v>0</v>
      </c>
      <c r="CM98" s="1188"/>
      <c r="CN98" s="1188"/>
      <c r="CO98" s="1188"/>
      <c r="CP98" s="1188"/>
    </row>
    <row r="99" spans="1:94" ht="15.75" customHeight="1">
      <c r="A99" s="1190"/>
      <c r="B99" s="2007" t="s">
        <v>2372</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2371</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2378</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2370</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St. Anton Multifamily,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2377</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2287</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2376</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2375</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2374</v>
      </c>
      <c r="J108" s="2008"/>
      <c r="K108" s="2008"/>
      <c r="L108" s="2008"/>
      <c r="M108" s="2008"/>
      <c r="N108" s="2008"/>
      <c r="O108" s="2008" t="s">
        <v>2350</v>
      </c>
      <c r="P108" s="2008"/>
      <c r="Q108" s="2008"/>
      <c r="R108" s="2008"/>
      <c r="S108" s="2008"/>
      <c r="T108" s="2008"/>
      <c r="U108" s="2008"/>
      <c r="V108" s="2094" t="s">
        <v>2349</v>
      </c>
      <c r="W108" s="2094"/>
      <c r="X108" s="2094"/>
      <c r="Y108" s="2094"/>
      <c r="Z108" s="2094"/>
      <c r="AA108" s="2094"/>
      <c r="AB108" s="2095" t="s">
        <v>2373</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2372</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2371</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2370</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2369</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2287</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2368</v>
      </c>
      <c r="C117" s="2114"/>
      <c r="D117" s="2114"/>
      <c r="E117" s="2114"/>
      <c r="F117" s="2114"/>
      <c r="G117" s="2114"/>
      <c r="H117" s="2114"/>
      <c r="I117" s="2114"/>
      <c r="J117" s="2114"/>
      <c r="K117" s="2114"/>
      <c r="L117" s="2114"/>
      <c r="M117" s="2114"/>
      <c r="N117" s="2114"/>
      <c r="O117" s="2114"/>
      <c r="P117" s="2114"/>
      <c r="Q117" s="2114"/>
      <c r="R117" s="2114"/>
      <c r="S117" s="2114"/>
      <c r="T117" s="2114"/>
      <c r="U117" s="2117" t="s">
        <v>546</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2368</v>
      </c>
      <c r="C121" s="2122"/>
      <c r="D121" s="2122"/>
      <c r="E121" s="2122"/>
      <c r="F121" s="2122"/>
      <c r="G121" s="2122"/>
      <c r="H121" s="2122"/>
      <c r="I121" s="2122"/>
      <c r="J121" s="2122"/>
      <c r="K121" s="2122"/>
      <c r="L121" s="2122"/>
      <c r="M121" s="2122"/>
      <c r="N121" s="2122"/>
      <c r="O121" s="2122"/>
      <c r="P121" s="2122"/>
      <c r="Q121" s="2122"/>
      <c r="R121" s="2122"/>
      <c r="S121" s="2122"/>
      <c r="T121" s="2122"/>
      <c r="U121" s="2125" t="s">
        <v>546</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2367</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2366</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1578</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2365</v>
      </c>
      <c r="J127" s="2008"/>
      <c r="K127" s="2008"/>
      <c r="L127" s="2008"/>
      <c r="M127" s="2008"/>
      <c r="N127" s="2008"/>
      <c r="O127" s="2105" t="s">
        <v>2364</v>
      </c>
      <c r="P127" s="2105"/>
      <c r="Q127" s="2105"/>
      <c r="R127" s="2105"/>
      <c r="S127" s="2105"/>
      <c r="T127" s="2105"/>
      <c r="U127" s="2106"/>
      <c r="V127" s="1190"/>
      <c r="W127" s="1190"/>
      <c r="X127" s="2073" t="s">
        <v>2334</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2348</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2347</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2363</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2362</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2350</v>
      </c>
      <c r="J134" s="2151"/>
      <c r="K134" s="2151"/>
      <c r="L134" s="2151"/>
      <c r="M134" s="2151"/>
      <c r="N134" s="2151"/>
      <c r="O134" s="2151"/>
      <c r="P134" s="2151" t="s">
        <v>2349</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2348</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2347</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2361</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546</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2360</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2359</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546</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2358</v>
      </c>
      <c r="C142" s="2138"/>
      <c r="D142" s="2138"/>
      <c r="E142" s="2138"/>
      <c r="F142" s="2138"/>
      <c r="G142" s="2138"/>
      <c r="H142" s="2138"/>
      <c r="I142" s="2138"/>
      <c r="J142" s="2138"/>
      <c r="K142" s="2138"/>
      <c r="L142" s="2138"/>
      <c r="M142" s="2138"/>
      <c r="N142" s="2138"/>
      <c r="O142" s="2138"/>
      <c r="P142" s="2138"/>
      <c r="Q142" s="2138"/>
      <c r="R142" s="2139" t="s">
        <v>2357</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250</v>
      </c>
      <c r="BD142" s="1190"/>
      <c r="BE142" s="1194"/>
    </row>
    <row r="143" spans="1:57" ht="15.75" customHeight="1">
      <c r="A143" s="1190"/>
      <c r="B143" s="2141" t="s">
        <v>2356</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2355</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2354</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2353</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2352</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2350</v>
      </c>
      <c r="J157" s="2151"/>
      <c r="K157" s="2151"/>
      <c r="L157" s="2151"/>
      <c r="M157" s="2151"/>
      <c r="N157" s="2151"/>
      <c r="O157" s="2151"/>
      <c r="P157" s="2151" t="s">
        <v>2351</v>
      </c>
      <c r="Q157" s="2151"/>
      <c r="R157" s="2151"/>
      <c r="S157" s="2151"/>
      <c r="T157" s="2151"/>
      <c r="U157" s="2152"/>
      <c r="V157" s="1190"/>
      <c r="W157" s="1190"/>
      <c r="X157" s="2149"/>
      <c r="Y157" s="2150"/>
      <c r="Z157" s="2150"/>
      <c r="AA157" s="2150"/>
      <c r="AB157" s="2150"/>
      <c r="AC157" s="2150"/>
      <c r="AD157" s="2150"/>
      <c r="AE157" s="2151" t="s">
        <v>2350</v>
      </c>
      <c r="AF157" s="2151"/>
      <c r="AG157" s="2151"/>
      <c r="AH157" s="2151"/>
      <c r="AI157" s="2151"/>
      <c r="AJ157" s="2151"/>
      <c r="AK157" s="2151"/>
      <c r="AL157" s="2151" t="s">
        <v>2349</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2348</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2348</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2347</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2346</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2331</v>
      </c>
      <c r="D163" s="2150"/>
      <c r="E163" s="2150"/>
      <c r="F163" s="2150"/>
      <c r="G163" s="2150"/>
      <c r="H163" s="2150"/>
      <c r="I163" s="2150"/>
      <c r="J163" s="2150"/>
      <c r="K163" s="2150"/>
      <c r="L163" s="2150"/>
      <c r="M163" s="2150"/>
      <c r="N163" s="2150"/>
      <c r="O163" s="2150"/>
      <c r="P163" s="2150"/>
      <c r="Q163" s="2150" t="s">
        <v>2345</v>
      </c>
      <c r="R163" s="2150"/>
      <c r="S163" s="2150"/>
      <c r="T163" s="2095" t="s">
        <v>2344</v>
      </c>
      <c r="U163" s="2095"/>
      <c r="V163" s="2095"/>
      <c r="W163" s="2095"/>
      <c r="X163" s="2095"/>
      <c r="Y163" s="2095"/>
      <c r="Z163" s="2095"/>
      <c r="AA163" s="2095"/>
      <c r="AB163" s="2150" t="s">
        <v>2343</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2342</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2341</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2340</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2339</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170</v>
      </c>
      <c r="D168" s="2154"/>
      <c r="E168" s="2154"/>
      <c r="F168" s="2161" t="s">
        <v>2320</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170</v>
      </c>
      <c r="D169" s="2154"/>
      <c r="E169" s="2154"/>
      <c r="F169" s="2161" t="s">
        <v>2320</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170</v>
      </c>
      <c r="D170" s="2163"/>
      <c r="E170" s="2163"/>
      <c r="F170" s="2164" t="s">
        <v>2320</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2338</v>
      </c>
      <c r="D172" s="2054"/>
      <c r="E172" s="2054"/>
      <c r="F172" s="2054"/>
      <c r="G172" s="2054"/>
      <c r="H172" s="2054"/>
      <c r="I172" s="2054"/>
      <c r="J172" s="2054"/>
      <c r="K172" s="2054"/>
      <c r="L172" s="2054"/>
      <c r="M172" s="2054"/>
      <c r="N172" s="2104"/>
      <c r="O172" s="1190"/>
      <c r="P172" s="2169" t="s">
        <v>2337</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2336</v>
      </c>
      <c r="D173" s="2150"/>
      <c r="E173" s="2150"/>
      <c r="F173" s="2150"/>
      <c r="G173" s="2150"/>
      <c r="H173" s="2150"/>
      <c r="I173" s="2150" t="s">
        <v>2335</v>
      </c>
      <c r="J173" s="2150"/>
      <c r="K173" s="2150"/>
      <c r="L173" s="2150"/>
      <c r="M173" s="2150"/>
      <c r="N173" s="2158"/>
      <c r="O173" s="1190"/>
      <c r="P173" s="2073" t="s">
        <v>2334</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2333</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2331</v>
      </c>
      <c r="D184" s="2054"/>
      <c r="E184" s="2054"/>
      <c r="F184" s="2054"/>
      <c r="G184" s="2054"/>
      <c r="H184" s="2054"/>
      <c r="I184" s="2054"/>
      <c r="J184" s="2054"/>
      <c r="K184" s="2054"/>
      <c r="L184" s="2054"/>
      <c r="M184" s="2054"/>
      <c r="N184" s="2054" t="s">
        <v>2332</v>
      </c>
      <c r="O184" s="2054"/>
      <c r="P184" s="2054"/>
      <c r="Q184" s="2054"/>
      <c r="R184" s="2054"/>
      <c r="S184" s="2054"/>
      <c r="T184" s="2054"/>
      <c r="U184" s="2005" t="s">
        <v>2331</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2330</v>
      </c>
      <c r="D185" s="2178"/>
      <c r="E185" s="2178"/>
      <c r="F185" s="2178"/>
      <c r="G185" s="2178"/>
      <c r="H185" s="2178"/>
      <c r="I185" s="2178"/>
      <c r="J185" s="2178"/>
      <c r="K185" s="2178"/>
      <c r="L185" s="2178"/>
      <c r="M185" s="2178"/>
      <c r="N185" s="2179">
        <f>'Sources and Uses Budget'!B105</f>
        <v>73080751</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2329</v>
      </c>
      <c r="D186" s="2178"/>
      <c r="E186" s="2178"/>
      <c r="F186" s="2178"/>
      <c r="G186" s="2178"/>
      <c r="H186" s="2178"/>
      <c r="I186" s="2178"/>
      <c r="J186" s="2178"/>
      <c r="K186" s="2178"/>
      <c r="L186" s="2178"/>
      <c r="M186" s="2178"/>
      <c r="N186" s="2179">
        <f>N185/J29</f>
        <v>365403.755</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2328</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2327</v>
      </c>
      <c r="D188" s="2178"/>
      <c r="E188" s="2178"/>
      <c r="F188" s="2178"/>
      <c r="G188" s="2178"/>
      <c r="H188" s="2178"/>
      <c r="I188" s="2178"/>
      <c r="J188" s="2178"/>
      <c r="K188" s="2178"/>
      <c r="L188" s="2178"/>
      <c r="M188" s="2178"/>
      <c r="N188" s="2195">
        <f>SUM('Sources and Uses Budget'!B85:B86)</f>
        <v>14124136</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2326</v>
      </c>
      <c r="D189" s="2178"/>
      <c r="E189" s="2178"/>
      <c r="F189" s="2178"/>
      <c r="G189" s="2178"/>
      <c r="H189" s="2178"/>
      <c r="I189" s="2178"/>
      <c r="J189" s="2178"/>
      <c r="K189" s="2178"/>
      <c r="L189" s="2178"/>
      <c r="M189" s="2178"/>
      <c r="N189" s="2195">
        <f>'Sources and Uses Budget'!B8</f>
        <v>2350000</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2324</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2325</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2324</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2323</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2322</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300</v>
      </c>
      <c r="D192" s="2155"/>
      <c r="E192" s="2208" t="s">
        <v>2320</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2321</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300</v>
      </c>
      <c r="D193" s="2011"/>
      <c r="E193" s="2208" t="s">
        <v>2320</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300</v>
      </c>
      <c r="D194" s="2234"/>
      <c r="E194" s="2235" t="s">
        <v>2320</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2319</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2318</v>
      </c>
      <c r="D195" s="2217"/>
      <c r="E195" s="2217"/>
      <c r="F195" s="2217"/>
      <c r="G195" s="2217"/>
      <c r="H195" s="2217"/>
      <c r="I195" s="2217"/>
      <c r="J195" s="2217"/>
      <c r="K195" s="2217"/>
      <c r="L195" s="2217"/>
      <c r="M195" s="2217"/>
      <c r="N195" s="2218">
        <f>SUM(N187:T194)</f>
        <v>16474136</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2317</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2316</v>
      </c>
      <c r="D196" s="2227"/>
      <c r="E196" s="2227"/>
      <c r="F196" s="2227"/>
      <c r="G196" s="2227"/>
      <c r="H196" s="2227"/>
      <c r="I196" s="2227"/>
      <c r="J196" s="2227"/>
      <c r="K196" s="2227"/>
      <c r="L196" s="2227"/>
      <c r="M196" s="2227"/>
      <c r="N196" s="2228">
        <f>(N185-N195)/J29</f>
        <v>283033.07500000001</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2315</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2314</v>
      </c>
      <c r="D200" s="2253"/>
      <c r="E200" s="2253"/>
      <c r="F200" s="2253"/>
      <c r="G200" s="2253"/>
      <c r="H200" s="2253"/>
      <c r="I200" s="2253"/>
      <c r="J200" s="2253"/>
      <c r="K200" s="2253"/>
      <c r="L200" s="2253"/>
      <c r="M200" s="2253"/>
      <c r="N200" s="2253"/>
      <c r="O200" s="2254" t="s">
        <v>2313</v>
      </c>
      <c r="P200" s="2254"/>
      <c r="Q200" s="2254"/>
      <c r="R200" s="2254"/>
      <c r="S200" s="2254"/>
      <c r="T200" s="2254"/>
      <c r="U200" s="2254"/>
      <c r="V200" s="2254"/>
      <c r="W200" s="2254"/>
      <c r="X200" s="2254" t="s">
        <v>2312</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2311</v>
      </c>
      <c r="D201" s="2245"/>
      <c r="E201" s="2245"/>
      <c r="F201" s="2245"/>
      <c r="G201" s="2245"/>
      <c r="H201" s="2245"/>
      <c r="I201" s="2245"/>
      <c r="J201" s="2245"/>
      <c r="K201" s="2245"/>
      <c r="L201" s="2245"/>
      <c r="M201" s="2245"/>
      <c r="N201" s="2245"/>
      <c r="O201" s="2246" t="s">
        <v>2310</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855</v>
      </c>
      <c r="D202" s="2245"/>
      <c r="E202" s="2245"/>
      <c r="F202" s="2245"/>
      <c r="G202" s="2245"/>
      <c r="H202" s="2245"/>
      <c r="I202" s="2245"/>
      <c r="J202" s="2245"/>
      <c r="K202" s="2245"/>
      <c r="L202" s="2245"/>
      <c r="M202" s="2245"/>
      <c r="N202" s="2245"/>
      <c r="O202" s="2246" t="s">
        <v>2310</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2309</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2308</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2307</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2306</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2305</v>
      </c>
      <c r="D207" s="2260"/>
      <c r="E207" s="2260"/>
      <c r="F207" s="2261"/>
      <c r="G207" s="2265" t="s">
        <v>2304</v>
      </c>
      <c r="H207" s="2260"/>
      <c r="I207" s="2260"/>
      <c r="J207" s="2260"/>
      <c r="K207" s="2260"/>
      <c r="L207" s="2260"/>
      <c r="M207" s="2260"/>
      <c r="N207" s="2260"/>
      <c r="O207" s="2261"/>
      <c r="P207" s="2267" t="s">
        <v>2303</v>
      </c>
      <c r="Q207" s="2268"/>
      <c r="R207" s="2268"/>
      <c r="S207" s="2268"/>
      <c r="T207" s="2269"/>
      <c r="U207" s="2273" t="s">
        <v>2302</v>
      </c>
      <c r="V207" s="2274"/>
      <c r="W207" s="2274"/>
      <c r="X207" s="2275"/>
      <c r="Y207" s="2273" t="s">
        <v>2301</v>
      </c>
      <c r="Z207" s="2274"/>
      <c r="AA207" s="2274"/>
      <c r="AB207" s="2275"/>
      <c r="AC207" s="2273" t="s">
        <v>2300</v>
      </c>
      <c r="AD207" s="2274"/>
      <c r="AE207" s="2274"/>
      <c r="AF207" s="2275"/>
      <c r="AG207" s="2265" t="s">
        <v>2299</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1887</v>
      </c>
      <c r="H209" s="2286"/>
      <c r="I209" s="2286"/>
      <c r="J209" s="2286"/>
      <c r="K209" s="2286"/>
      <c r="L209" s="2286"/>
      <c r="M209" s="2286"/>
      <c r="N209" s="2286"/>
      <c r="O209" s="2286"/>
      <c r="P209" s="2287"/>
      <c r="Q209" s="2290"/>
      <c r="R209" s="2290"/>
      <c r="S209" s="2290"/>
      <c r="T209" s="2290"/>
      <c r="U209" s="2288" t="s">
        <v>1887</v>
      </c>
      <c r="V209" s="2288"/>
      <c r="W209" s="2288"/>
      <c r="X209" s="2288"/>
      <c r="Y209" s="2288" t="s">
        <v>1887</v>
      </c>
      <c r="Z209" s="2288"/>
      <c r="AA209" s="2288"/>
      <c r="AB209" s="2288"/>
      <c r="AC209" s="2289" t="s">
        <v>1887</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1887</v>
      </c>
      <c r="H210" s="2286"/>
      <c r="I210" s="2286"/>
      <c r="J210" s="2286"/>
      <c r="K210" s="2286"/>
      <c r="L210" s="2286"/>
      <c r="M210" s="2286"/>
      <c r="N210" s="2286"/>
      <c r="O210" s="2286"/>
      <c r="P210" s="2287"/>
      <c r="Q210" s="2287"/>
      <c r="R210" s="2287"/>
      <c r="S210" s="2287"/>
      <c r="T210" s="2287"/>
      <c r="U210" s="2288" t="s">
        <v>1887</v>
      </c>
      <c r="V210" s="2288"/>
      <c r="W210" s="2288"/>
      <c r="X210" s="2288"/>
      <c r="Y210" s="2288" t="s">
        <v>1887</v>
      </c>
      <c r="Z210" s="2288"/>
      <c r="AA210" s="2288"/>
      <c r="AB210" s="2288"/>
      <c r="AC210" s="2289" t="s">
        <v>1887</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1887</v>
      </c>
      <c r="H211" s="2286"/>
      <c r="I211" s="2286"/>
      <c r="J211" s="2286"/>
      <c r="K211" s="2286"/>
      <c r="L211" s="2286"/>
      <c r="M211" s="2286"/>
      <c r="N211" s="2286"/>
      <c r="O211" s="2286"/>
      <c r="P211" s="2287"/>
      <c r="Q211" s="2287"/>
      <c r="R211" s="2287"/>
      <c r="S211" s="2287"/>
      <c r="T211" s="2287"/>
      <c r="U211" s="2288" t="s">
        <v>1887</v>
      </c>
      <c r="V211" s="2288"/>
      <c r="W211" s="2288"/>
      <c r="X211" s="2288"/>
      <c r="Y211" s="2288" t="s">
        <v>1887</v>
      </c>
      <c r="Z211" s="2288"/>
      <c r="AA211" s="2288"/>
      <c r="AB211" s="2288"/>
      <c r="AC211" s="2289" t="s">
        <v>1887</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1887</v>
      </c>
      <c r="H212" s="2286"/>
      <c r="I212" s="2286"/>
      <c r="J212" s="2286"/>
      <c r="K212" s="2286"/>
      <c r="L212" s="2286"/>
      <c r="M212" s="2286"/>
      <c r="N212" s="2286"/>
      <c r="O212" s="2286"/>
      <c r="P212" s="2287"/>
      <c r="Q212" s="2287"/>
      <c r="R212" s="2287"/>
      <c r="S212" s="2287"/>
      <c r="T212" s="2287"/>
      <c r="U212" s="2288" t="s">
        <v>1887</v>
      </c>
      <c r="V212" s="2288"/>
      <c r="W212" s="2288"/>
      <c r="X212" s="2288"/>
      <c r="Y212" s="2288" t="s">
        <v>1887</v>
      </c>
      <c r="Z212" s="2288"/>
      <c r="AA212" s="2288"/>
      <c r="AB212" s="2288"/>
      <c r="AC212" s="2289" t="s">
        <v>1887</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1887</v>
      </c>
      <c r="H213" s="2286"/>
      <c r="I213" s="2286"/>
      <c r="J213" s="2286"/>
      <c r="K213" s="2286"/>
      <c r="L213" s="2286"/>
      <c r="M213" s="2286"/>
      <c r="N213" s="2286"/>
      <c r="O213" s="2286"/>
      <c r="P213" s="2287"/>
      <c r="Q213" s="2287"/>
      <c r="R213" s="2287"/>
      <c r="S213" s="2287"/>
      <c r="T213" s="2287"/>
      <c r="U213" s="2288" t="s">
        <v>1887</v>
      </c>
      <c r="V213" s="2288"/>
      <c r="W213" s="2288"/>
      <c r="X213" s="2288"/>
      <c r="Y213" s="2288" t="s">
        <v>1887</v>
      </c>
      <c r="Z213" s="2288"/>
      <c r="AA213" s="2288"/>
      <c r="AB213" s="2288"/>
      <c r="AC213" s="2289" t="s">
        <v>1887</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1887</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1887</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1887</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2298</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2297</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2296</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2295</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2294</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2293</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2292</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2291</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2290</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2289</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2288</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2287</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442</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2286</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2285</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J57" sqref="AJ57"/>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6" t="s">
        <v>1282</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2.95"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1240</v>
      </c>
    </row>
    <row r="7" spans="1:40" ht="12.9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2.9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5" customHeight="1">
      <c r="B11" s="2337" t="s">
        <v>375</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70059626</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2.95" customHeight="1">
      <c r="B12" s="2352" t="s">
        <v>498</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2.95" customHeight="1">
      <c r="B13" s="435"/>
      <c r="C13" s="2354" t="s">
        <v>499</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2.95" customHeight="1">
      <c r="B14" s="435"/>
      <c r="C14" s="2354" t="s">
        <v>500</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2.95" customHeight="1">
      <c r="B15" s="435"/>
      <c r="C15" s="2354" t="s">
        <v>501</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2.95" customHeight="1">
      <c r="B16" s="435"/>
      <c r="C16" s="2354" t="s">
        <v>806</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2.95" customHeight="1">
      <c r="B17" s="435"/>
      <c r="C17" s="2354" t="s">
        <v>502</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2.95" customHeight="1">
      <c r="A18"/>
      <c r="B18" s="1150"/>
      <c r="C18" s="1810" t="s">
        <v>961</v>
      </c>
      <c r="D18" s="1810"/>
      <c r="E18" s="1810"/>
      <c r="F18" s="1810"/>
      <c r="G18" s="1810"/>
      <c r="H18" s="1810"/>
      <c r="I18" s="1810"/>
      <c r="J18" s="1810"/>
      <c r="K18" s="1810"/>
      <c r="L18" s="1810"/>
      <c r="M18" s="1810"/>
      <c r="N18" s="1810"/>
      <c r="O18" s="1810"/>
      <c r="P18" s="1810"/>
      <c r="Q18" s="1810"/>
      <c r="R18" s="1810"/>
      <c r="S18" s="1811"/>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2.95" customHeight="1">
      <c r="B19" s="1150"/>
      <c r="C19" s="1810" t="s">
        <v>961</v>
      </c>
      <c r="D19" s="1810"/>
      <c r="E19" s="1810"/>
      <c r="F19" s="1810"/>
      <c r="G19" s="1810"/>
      <c r="H19" s="1810"/>
      <c r="I19" s="1810"/>
      <c r="J19" s="1810"/>
      <c r="K19" s="1810"/>
      <c r="L19" s="1810"/>
      <c r="M19" s="1810"/>
      <c r="N19" s="1810"/>
      <c r="O19" s="1810"/>
      <c r="P19" s="1810"/>
      <c r="Q19" s="1810"/>
      <c r="R19" s="1810"/>
      <c r="S19" s="1811"/>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2.95" customHeight="1">
      <c r="B20" s="2337" t="s">
        <v>503</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2.95" customHeight="1">
      <c r="B21" s="2337" t="s">
        <v>1265</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2.95" customHeight="1">
      <c r="B22" s="2337" t="s">
        <v>504</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5" customHeight="1">
      <c r="B23" s="2337" t="s">
        <v>505</v>
      </c>
      <c r="C23" s="2338"/>
      <c r="D23" s="2338"/>
      <c r="E23" s="2338"/>
      <c r="F23" s="2338"/>
      <c r="G23" s="2338"/>
      <c r="H23" s="2338"/>
      <c r="I23" s="2338"/>
      <c r="J23" s="2338"/>
      <c r="K23" s="2338"/>
      <c r="L23" s="2338"/>
      <c r="M23" s="2338"/>
      <c r="N23" s="2338"/>
      <c r="O23" s="2338"/>
      <c r="P23" s="2338"/>
      <c r="Q23" s="2338"/>
      <c r="R23" s="2338"/>
      <c r="S23" s="2339"/>
      <c r="T23" s="2330">
        <f>T11+T22</f>
        <v>70059626</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2.95" customHeight="1">
      <c r="B24" s="2337" t="s">
        <v>962</v>
      </c>
      <c r="C24" s="2338"/>
      <c r="D24" s="2338"/>
      <c r="E24" s="2338"/>
      <c r="F24" s="2338"/>
      <c r="G24" s="2338"/>
      <c r="H24" s="2338"/>
      <c r="I24" s="2338"/>
      <c r="J24" s="2338"/>
      <c r="K24" s="2338"/>
      <c r="L24" s="2338"/>
      <c r="M24" s="2338"/>
      <c r="N24" s="2338"/>
      <c r="O24" s="2338"/>
      <c r="P24" s="2338"/>
      <c r="Q24" s="2338"/>
      <c r="R24" s="2338"/>
      <c r="S24" s="2339"/>
      <c r="T24" s="2332">
        <f>Application!AJ1053</f>
        <v>139644600</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2.95" customHeight="1">
      <c r="B25" s="2341" t="s">
        <v>1266</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2.95" customHeight="1">
      <c r="B26" s="2337" t="s">
        <v>506</v>
      </c>
      <c r="C26" s="2338"/>
      <c r="D26" s="2338"/>
      <c r="E26" s="2338"/>
      <c r="F26" s="2338"/>
      <c r="G26" s="2338"/>
      <c r="H26" s="2338"/>
      <c r="I26" s="2338"/>
      <c r="J26" s="2338"/>
      <c r="K26" s="2338"/>
      <c r="L26" s="2338"/>
      <c r="M26" s="2338"/>
      <c r="N26" s="2338"/>
      <c r="O26" s="2338"/>
      <c r="P26" s="2338"/>
      <c r="Q26" s="2338"/>
      <c r="R26" s="2338"/>
      <c r="S26" s="2339"/>
      <c r="T26" s="2330">
        <f>T23*T25</f>
        <v>91077513.799999997</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2.95" customHeight="1">
      <c r="A27" s="410"/>
      <c r="B27" s="2344" t="s">
        <v>426</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2.95" customHeight="1">
      <c r="A28" s="404"/>
      <c r="B28" s="2337" t="s">
        <v>507</v>
      </c>
      <c r="C28" s="2338"/>
      <c r="D28" s="2338"/>
      <c r="E28" s="2338"/>
      <c r="F28" s="2338"/>
      <c r="G28" s="2338"/>
      <c r="H28" s="2338"/>
      <c r="I28" s="2338"/>
      <c r="J28" s="2338"/>
      <c r="K28" s="2338"/>
      <c r="L28" s="2338"/>
      <c r="M28" s="2338"/>
      <c r="N28" s="2338"/>
      <c r="O28" s="2338"/>
      <c r="P28" s="2338"/>
      <c r="Q28" s="2338"/>
      <c r="R28" s="2338"/>
      <c r="S28" s="2339"/>
      <c r="T28" s="2330">
        <f>IF(ISERROR((T26*T27)),0,(T26*T27))</f>
        <v>91077513.799999997</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2.95" customHeight="1">
      <c r="B29" s="2337" t="s">
        <v>524</v>
      </c>
      <c r="C29" s="2338"/>
      <c r="D29" s="2338"/>
      <c r="E29" s="2338"/>
      <c r="F29" s="2338"/>
      <c r="G29" s="2338"/>
      <c r="H29" s="2338"/>
      <c r="I29" s="2338"/>
      <c r="J29" s="2338"/>
      <c r="K29" s="2338"/>
      <c r="L29" s="2338"/>
      <c r="M29" s="2338"/>
      <c r="N29" s="2338"/>
      <c r="O29" s="2338"/>
      <c r="P29" s="2338"/>
      <c r="Q29" s="2338"/>
      <c r="R29" s="2338"/>
      <c r="S29" s="2339"/>
      <c r="T29" s="2332">
        <f>T28+Y28+AD28+AI28</f>
        <v>91077513.799999997</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2.95" customHeight="1">
      <c r="B30" s="2340" t="s">
        <v>1268</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2.95" customHeight="1">
      <c r="B31" s="2340" t="s">
        <v>1267</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1155</v>
      </c>
      <c r="Z35" s="2358"/>
      <c r="AA35" s="2358"/>
      <c r="AB35" s="2358"/>
      <c r="AC35" s="2358"/>
      <c r="AD35" s="2378" t="s">
        <v>369</v>
      </c>
      <c r="AE35" s="2378"/>
      <c r="AF35" s="2378"/>
      <c r="AG35" s="2378"/>
      <c r="AH35" s="2378"/>
    </row>
    <row r="36" spans="1:76" ht="12.95" customHeight="1">
      <c r="B36" s="407"/>
      <c r="X36" s="412"/>
      <c r="Y36" s="2358"/>
      <c r="Z36" s="2358"/>
      <c r="AA36" s="2358"/>
      <c r="AB36" s="2358"/>
      <c r="AC36" s="2358"/>
      <c r="AD36" s="2378"/>
      <c r="AE36" s="2378"/>
      <c r="AF36" s="2378"/>
      <c r="AG36" s="2378"/>
      <c r="AH36" s="2378"/>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2.95" customHeight="1">
      <c r="A38" s="404"/>
      <c r="B38" s="2337" t="s">
        <v>507</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91077513.799999997</v>
      </c>
      <c r="Z38" s="2331"/>
      <c r="AA38" s="2331"/>
      <c r="AB38" s="2331"/>
      <c r="AC38" s="2331"/>
      <c r="AD38" s="2331">
        <f>IF(T24&gt;=(T23+Y23+AD23+AI23),AD28+AI28,0)</f>
        <v>0</v>
      </c>
      <c r="AE38" s="2331"/>
      <c r="AF38" s="2331"/>
      <c r="AG38" s="2331"/>
      <c r="AH38" s="2331"/>
    </row>
    <row r="39" spans="1:76" ht="12.95" customHeight="1">
      <c r="B39" s="2337" t="s">
        <v>1693</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2.95" customHeight="1">
      <c r="A40" s="404"/>
      <c r="B40" s="2337" t="s">
        <v>643</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3643101</v>
      </c>
      <c r="Z40" s="2331"/>
      <c r="AA40" s="2331"/>
      <c r="AB40" s="2331"/>
      <c r="AC40" s="2331"/>
      <c r="AD40" s="2330">
        <f>ROUND(AD38*AD39,0)</f>
        <v>0</v>
      </c>
      <c r="AE40" s="2331"/>
      <c r="AF40" s="2331"/>
      <c r="AG40" s="2331"/>
      <c r="AH40" s="2331"/>
    </row>
    <row r="41" spans="1:76" ht="12.95" customHeight="1">
      <c r="B41" s="2337" t="s">
        <v>644</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3643101</v>
      </c>
      <c r="Z41" s="2333"/>
      <c r="AA41" s="2333"/>
      <c r="AB41" s="2333"/>
      <c r="AC41" s="2333"/>
      <c r="AD41" s="2333"/>
      <c r="AE41" s="2333"/>
      <c r="AF41" s="2333"/>
      <c r="AG41" s="2333"/>
      <c r="AH41" s="233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5" t="s">
        <v>1278</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2.95" customHeight="1" thickTop="1"/>
    <row r="46" spans="1:76" ht="12.95" customHeight="1">
      <c r="A46" s="404" t="s">
        <v>587</v>
      </c>
      <c r="C46" s="404" t="s">
        <v>282</v>
      </c>
    </row>
    <row r="47" spans="1:76" ht="12.95" customHeight="1">
      <c r="D47" s="404" t="s">
        <v>283</v>
      </c>
      <c r="AB47" s="2347">
        <f>'Sources and Uses Budget'!B105-MAX(IF('Sources and Uses Budget'!B15="",0,'Sources and Uses Budget'!B15),IF(Application!AG394="",0,Application!AG394))</f>
        <v>73080751</v>
      </c>
      <c r="AC47" s="2348"/>
      <c r="AD47" s="2348"/>
      <c r="AE47" s="2348"/>
      <c r="AF47" s="2349"/>
    </row>
    <row r="48" spans="1:76" ht="12.95" customHeight="1">
      <c r="D48" s="404" t="s">
        <v>21</v>
      </c>
      <c r="AB48" s="2347">
        <f>Application!AO639-MAX(IF('Sources and Uses Budget'!B15="",0,'Sources and Uses Budget'!B15),IF(Application!AG394="",0,Application!AG394))</f>
        <v>38602728</v>
      </c>
      <c r="AC48" s="2348"/>
      <c r="AD48" s="2348"/>
      <c r="AE48" s="2348"/>
      <c r="AF48" s="2349"/>
    </row>
    <row r="49" spans="1:76" ht="12.95" customHeight="1">
      <c r="D49" s="404" t="s">
        <v>91</v>
      </c>
      <c r="AB49" s="2347">
        <f>AB47-AB48</f>
        <v>34478023</v>
      </c>
      <c r="AC49" s="2348"/>
      <c r="AD49" s="2348"/>
      <c r="AE49" s="2348"/>
      <c r="AF49" s="2349"/>
    </row>
    <row r="50" spans="1:76" ht="12.95" customHeight="1">
      <c r="D50" s="404" t="s">
        <v>682</v>
      </c>
      <c r="AA50" s="415"/>
      <c r="AB50" s="2374">
        <v>0.94</v>
      </c>
      <c r="AC50" s="2375"/>
      <c r="AD50" s="2375"/>
      <c r="AE50" s="2375"/>
      <c r="AF50" s="2376"/>
    </row>
    <row r="51" spans="1:76" s="417" customFormat="1" ht="12.95" customHeight="1">
      <c r="A51" s="402"/>
      <c r="B51" s="402"/>
      <c r="C51" s="402"/>
      <c r="D51" s="402"/>
      <c r="E51" s="2377" t="s">
        <v>1852</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7">
        <f>ROUND(IF(ISERROR((AB49/AB50)),0,(AB49/AB50)),0)</f>
        <v>36678748</v>
      </c>
      <c r="AC54" s="2348"/>
      <c r="AD54" s="2348"/>
      <c r="AE54" s="2348"/>
      <c r="AF54" s="2349"/>
    </row>
    <row r="55" spans="1:76" ht="12.95" customHeight="1">
      <c r="D55" s="404" t="s">
        <v>333</v>
      </c>
      <c r="AB55" s="2347">
        <f>(AB54/10)</f>
        <v>3667874.8</v>
      </c>
      <c r="AC55" s="2348"/>
      <c r="AD55" s="2348"/>
      <c r="AE55" s="2348"/>
      <c r="AF55" s="2349"/>
    </row>
    <row r="56" spans="1:76" ht="12.95" customHeight="1">
      <c r="D56" s="404" t="s">
        <v>757</v>
      </c>
      <c r="AB56" s="2347">
        <f>ROUND((IF((Y41&lt;AB55),Y41,AB55)),0)</f>
        <v>3643101</v>
      </c>
      <c r="AC56" s="2348"/>
      <c r="AD56" s="2348"/>
      <c r="AE56" s="2348"/>
      <c r="AF56" s="2349"/>
    </row>
    <row r="57" spans="1:76" ht="12.95" customHeight="1">
      <c r="D57" s="404" t="s">
        <v>756</v>
      </c>
      <c r="AB57" s="2347">
        <f>ROUND((10*AB56*AB50),0)</f>
        <v>34245149</v>
      </c>
      <c r="AC57" s="2348"/>
      <c r="AD57" s="2348"/>
      <c r="AE57" s="2348"/>
      <c r="AF57" s="2349"/>
    </row>
    <row r="58" spans="1:76" ht="12.95" customHeight="1">
      <c r="D58" s="404"/>
      <c r="AB58" s="423"/>
      <c r="AC58" s="423"/>
      <c r="AD58" s="423"/>
      <c r="AE58" s="423"/>
      <c r="AF58" s="423"/>
    </row>
    <row r="59" spans="1:76" ht="12.95" customHeight="1">
      <c r="D59" s="404" t="s">
        <v>755</v>
      </c>
      <c r="AB59" s="2370">
        <f>AB49-AB57</f>
        <v>232874</v>
      </c>
      <c r="AC59" s="2370"/>
      <c r="AD59" s="2370"/>
      <c r="AE59" s="2370"/>
      <c r="AF59" s="2370"/>
    </row>
    <row r="60" spans="1:76" ht="12.95" customHeight="1">
      <c r="D60" s="404"/>
      <c r="AB60" s="423"/>
      <c r="AC60" s="423"/>
      <c r="AD60" s="423"/>
      <c r="AE60" s="423"/>
      <c r="AF60" s="423"/>
    </row>
    <row r="61" spans="1:76" s="204" customFormat="1" ht="12.95"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2.95" customHeight="1" thickTop="1"/>
    <row r="63" spans="1:76" ht="12.95" customHeight="1">
      <c r="A63" s="404" t="s">
        <v>590</v>
      </c>
      <c r="C63" s="205" t="s">
        <v>1250</v>
      </c>
      <c r="Y63" s="2371" t="s">
        <v>985</v>
      </c>
      <c r="Z63" s="2371"/>
      <c r="AA63" s="2371"/>
      <c r="AB63" s="2371"/>
      <c r="AC63" s="2371"/>
      <c r="AD63" s="2371" t="s">
        <v>369</v>
      </c>
      <c r="AE63" s="2371"/>
      <c r="AF63" s="2371"/>
      <c r="AG63" s="2371"/>
      <c r="AH63" s="2371"/>
    </row>
    <row r="64" spans="1:76" ht="12.95" customHeight="1">
      <c r="C64" s="404"/>
      <c r="D64" s="377" t="s">
        <v>1251</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0</v>
      </c>
      <c r="Z64" s="2372"/>
      <c r="AA64" s="2372"/>
      <c r="AB64" s="2372"/>
      <c r="AC64" s="2373"/>
      <c r="AD64" s="2332">
        <f>IF(AND(OR(Application!D211="At-Risk",Application!D211="At-Risk and Special Needs"),Application!M358="yes"),AD28+AI28,0)</f>
        <v>0</v>
      </c>
      <c r="AE64" s="2372"/>
      <c r="AF64" s="2372"/>
      <c r="AG64" s="2372"/>
      <c r="AH64" s="2373"/>
    </row>
    <row r="65" spans="1:36" ht="12.95" customHeight="1">
      <c r="C65" s="404"/>
      <c r="E65" s="1017" t="s">
        <v>1850</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1851</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2.95" customHeight="1">
      <c r="C68" s="404"/>
      <c r="D68" s="205" t="s">
        <v>2228</v>
      </c>
      <c r="Y68" s="2331">
        <f>ROUND(Y64*Y67,0)</f>
        <v>0</v>
      </c>
      <c r="Z68" s="2386"/>
      <c r="AA68" s="2386"/>
      <c r="AB68" s="2386"/>
      <c r="AC68" s="2386"/>
      <c r="AD68" s="2331">
        <f>ROUND(AD64*AD67,0)</f>
        <v>0</v>
      </c>
      <c r="AE68" s="2386"/>
      <c r="AF68" s="2386"/>
      <c r="AG68" s="2386"/>
      <c r="AH68" s="2386"/>
    </row>
    <row r="69" spans="1:36" ht="12.95" customHeight="1">
      <c r="C69" s="404"/>
      <c r="D69" s="205" t="s">
        <v>2229</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1252</v>
      </c>
      <c r="AB72" s="2374"/>
      <c r="AC72" s="2375"/>
      <c r="AD72" s="2375"/>
      <c r="AE72" s="2375"/>
      <c r="AF72" s="2376"/>
    </row>
    <row r="73" spans="1:36" ht="12.95" customHeight="1">
      <c r="A73" s="404"/>
      <c r="C73" s="404"/>
      <c r="D73" s="404"/>
      <c r="E73" s="2387" t="s">
        <v>1253</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2.95"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2.95"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1254</v>
      </c>
      <c r="AB77" s="2380">
        <f>ROUND(IF(ISERROR((AB59/AB72)),0,(AB59/AB72)),0)</f>
        <v>0</v>
      </c>
      <c r="AC77" s="2380"/>
      <c r="AD77" s="2380"/>
      <c r="AE77" s="2380"/>
      <c r="AF77" s="2380"/>
    </row>
    <row r="78" spans="1:36" ht="12.95" customHeight="1">
      <c r="C78" s="404"/>
      <c r="D78" s="205" t="s">
        <v>1255</v>
      </c>
      <c r="AB78" s="2381">
        <f>ROUNDUP(MIN(Y69,AB77),0)</f>
        <v>0</v>
      </c>
      <c r="AC78" s="2382"/>
      <c r="AD78" s="2382"/>
      <c r="AE78" s="2382"/>
      <c r="AF78" s="2383"/>
    </row>
    <row r="79" spans="1:36" ht="12.95" customHeight="1">
      <c r="C79" s="404"/>
      <c r="D79" s="205" t="s">
        <v>1256</v>
      </c>
      <c r="AB79" s="2384">
        <f>AB78*AB72</f>
        <v>0</v>
      </c>
      <c r="AC79" s="2384"/>
      <c r="AD79" s="2384"/>
      <c r="AE79" s="2384"/>
      <c r="AF79" s="2384"/>
    </row>
    <row r="80" spans="1:36" ht="12.95" customHeight="1">
      <c r="C80" s="404"/>
      <c r="D80" s="404"/>
      <c r="AB80" s="425"/>
      <c r="AC80" s="425"/>
      <c r="AD80" s="425"/>
      <c r="AE80" s="425"/>
      <c r="AF80" s="425"/>
    </row>
    <row r="81" spans="1:78" ht="12.95" customHeight="1">
      <c r="D81" s="404" t="s">
        <v>755</v>
      </c>
      <c r="AB81" s="2370">
        <f>AB49-(AB57+AB79)</f>
        <v>232874</v>
      </c>
      <c r="AC81" s="2370"/>
      <c r="AD81" s="2370"/>
      <c r="AE81" s="2370"/>
      <c r="AF81" s="2370"/>
    </row>
    <row r="82" spans="1:78" ht="12.95" customHeight="1">
      <c r="F82" s="522"/>
      <c r="J82" s="522" t="str">
        <f>IF(AB81&gt;0,"FUNDING GAP MUST NOT EXCEED ZERO","")</f>
        <v>FUNDING GAP MUST NOT EXCEED ZERO</v>
      </c>
    </row>
    <row r="83" spans="1:78" ht="12.95" customHeight="1">
      <c r="D83" s="523"/>
    </row>
    <row r="84" spans="1:78" ht="12.95"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2.95" customHeight="1" thickTop="1"/>
    <row r="86" spans="1:78" ht="12.95" customHeight="1">
      <c r="A86" s="404"/>
      <c r="C86" s="205"/>
    </row>
    <row r="87" spans="1:78" ht="12.95" customHeight="1">
      <c r="D87" s="205"/>
      <c r="AB87" s="2336"/>
      <c r="AC87" s="2336"/>
      <c r="AD87" s="2336"/>
      <c r="AE87" s="2336"/>
      <c r="AF87" s="2336"/>
    </row>
    <row r="88" spans="1:78" ht="12.95"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96" workbookViewId="0">
      <selection activeCell="B391" sqref="B391:AL42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8" t="s">
        <v>1302</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1303</v>
      </c>
      <c r="B4" s="539" t="s">
        <v>1304</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1305</v>
      </c>
      <c r="B7" s="539" t="s">
        <v>1306</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1307</v>
      </c>
      <c r="AF7" s="2459"/>
      <c r="AG7" s="2459"/>
      <c r="AH7" s="2459"/>
      <c r="AI7" s="2459"/>
      <c r="AJ7" s="2459"/>
      <c r="AK7" s="2459"/>
      <c r="AL7" s="540"/>
      <c r="AM7" s="540"/>
      <c r="AN7" s="535"/>
    </row>
    <row r="8" spans="1:42" s="536" customFormat="1" ht="12.75" customHeight="1">
      <c r="A8" s="538"/>
      <c r="B8" s="539" t="s">
        <v>1731</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2013</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2009</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592</v>
      </c>
      <c r="C13" s="2612"/>
      <c r="D13" s="547"/>
      <c r="E13" s="548" t="s">
        <v>1308</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592</v>
      </c>
      <c r="C16" s="2612"/>
      <c r="D16" s="547"/>
      <c r="E16" s="2604" t="s">
        <v>1309</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1310</v>
      </c>
    </row>
    <row r="19" spans="1:42" s="536" customFormat="1" ht="12.75" customHeight="1">
      <c r="A19" s="540"/>
      <c r="B19" s="540"/>
      <c r="C19" s="540"/>
      <c r="D19" s="551"/>
      <c r="E19" s="552" t="s">
        <v>1311</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592</v>
      </c>
      <c r="C22" s="2612"/>
      <c r="D22" s="547"/>
      <c r="E22" s="2622" t="s">
        <v>1312</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1310</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592</v>
      </c>
      <c r="C25" s="2612"/>
      <c r="D25" s="547"/>
      <c r="E25" s="2539" t="s">
        <v>2036</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1310</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592</v>
      </c>
      <c r="C28" s="2612"/>
      <c r="D28" s="547"/>
      <c r="E28" s="2641" t="s">
        <v>2252</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2010</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1310</v>
      </c>
    </row>
    <row r="33" spans="1:41" s="536" customFormat="1" ht="12.75" customHeight="1">
      <c r="A33" s="540"/>
      <c r="B33" s="2612" t="s">
        <v>592</v>
      </c>
      <c r="C33" s="2612"/>
      <c r="D33" s="547"/>
      <c r="E33" s="2622" t="s">
        <v>2254</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592</v>
      </c>
      <c r="C36" s="2612"/>
      <c r="D36" s="547"/>
      <c r="E36" s="2539" t="s">
        <v>2255</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592</v>
      </c>
      <c r="C40" s="2612"/>
      <c r="D40" s="547"/>
      <c r="E40" s="2539" t="s">
        <v>2253</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2012</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592</v>
      </c>
      <c r="C45" s="2612"/>
      <c r="D45" s="1142"/>
      <c r="E45" s="2539" t="s">
        <v>2011</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2014</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2015</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592</v>
      </c>
      <c r="C52" s="2612"/>
      <c r="D52" s="540"/>
      <c r="E52" s="2539" t="s">
        <v>2016</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592</v>
      </c>
      <c r="C56" s="2612"/>
      <c r="D56" s="540"/>
      <c r="E56" s="2638" t="s">
        <v>2017</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592</v>
      </c>
      <c r="C58" s="2612"/>
      <c r="D58" s="540"/>
      <c r="E58" s="2539" t="s">
        <v>2018</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1313</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1314</v>
      </c>
      <c r="B65" s="539" t="s">
        <v>1315</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1316</v>
      </c>
      <c r="AF65" s="2459"/>
      <c r="AG65" s="2459"/>
      <c r="AH65" s="2459"/>
      <c r="AI65" s="2459"/>
      <c r="AJ65" s="2459"/>
      <c r="AK65" s="2459"/>
      <c r="AL65" s="540"/>
      <c r="AM65" s="540"/>
      <c r="AN65" s="535"/>
    </row>
    <row r="66" spans="1:42" s="536" customFormat="1" ht="12.75" customHeight="1">
      <c r="A66" s="538"/>
      <c r="B66" s="539" t="s">
        <v>1730</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592</v>
      </c>
      <c r="C68" s="2612"/>
      <c r="D68" s="547" t="s">
        <v>1317</v>
      </c>
      <c r="E68" s="2604" t="s">
        <v>2019</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10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1318</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592</v>
      </c>
      <c r="C74" s="2612"/>
      <c r="D74" s="547" t="s">
        <v>1319</v>
      </c>
      <c r="E74" s="971" t="s">
        <v>1726</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592</v>
      </c>
      <c r="F75" s="2612"/>
      <c r="G75" s="575"/>
      <c r="H75" s="558" t="s">
        <v>1320</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592</v>
      </c>
      <c r="F76" s="2633"/>
      <c r="G76" s="575"/>
      <c r="H76" s="558" t="s">
        <v>1321</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592</v>
      </c>
      <c r="F77" s="2633"/>
      <c r="G77" s="575"/>
      <c r="H77" s="558" t="s">
        <v>1741</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592</v>
      </c>
      <c r="F79" s="2612"/>
      <c r="G79" s="906"/>
      <c r="H79" s="976" t="s">
        <v>1740</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546</v>
      </c>
      <c r="C81" s="2612"/>
      <c r="D81" s="547" t="s">
        <v>1322</v>
      </c>
      <c r="E81" s="2539" t="s">
        <v>1742</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1323</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1324</v>
      </c>
      <c r="B87" s="539" t="s">
        <v>1325</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1307</v>
      </c>
      <c r="AF87" s="2459"/>
      <c r="AG87" s="2459"/>
      <c r="AH87" s="2459"/>
      <c r="AI87" s="2459"/>
      <c r="AJ87" s="2459"/>
      <c r="AK87" s="2459"/>
      <c r="AL87" s="540"/>
      <c r="AM87" s="540"/>
      <c r="AN87" s="535"/>
    </row>
    <row r="88" spans="1:43" s="536" customFormat="1" ht="12.75" customHeight="1">
      <c r="A88" s="538"/>
      <c r="B88" s="539" t="s">
        <v>1326</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592</v>
      </c>
      <c r="C90" s="2612"/>
      <c r="D90" s="547" t="s">
        <v>1317</v>
      </c>
      <c r="E90" s="2604" t="s">
        <v>1327</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0.59648241206030139</v>
      </c>
      <c r="F93" s="2601"/>
      <c r="G93" s="2601"/>
      <c r="H93" s="2601"/>
      <c r="I93" s="577"/>
      <c r="J93" s="580" t="s">
        <v>1328</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0</v>
      </c>
      <c r="F94" s="2406"/>
      <c r="G94" s="2406"/>
      <c r="H94" s="2406"/>
      <c r="I94" s="577"/>
      <c r="J94" s="580" t="s">
        <v>1329</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0</v>
      </c>
      <c r="F95" s="2617"/>
      <c r="G95" s="2617"/>
      <c r="H95" s="2617"/>
      <c r="I95" s="577"/>
      <c r="J95" s="580" t="s">
        <v>1330</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1310</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546</v>
      </c>
      <c r="C98" s="2612"/>
      <c r="D98" s="547" t="s">
        <v>1319</v>
      </c>
      <c r="E98" s="2604" t="s">
        <v>1727</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0.59648241206030139</v>
      </c>
      <c r="F103" s="2601"/>
      <c r="G103" s="2601"/>
      <c r="H103" s="2601"/>
      <c r="I103" s="577"/>
      <c r="J103" s="580" t="s">
        <v>1328</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0.10552763819095477</v>
      </c>
      <c r="F104" s="2601"/>
      <c r="G104" s="2601"/>
      <c r="H104" s="2601"/>
      <c r="I104" s="577"/>
      <c r="J104" s="580" t="s">
        <v>1331</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0.10552763819095477</v>
      </c>
      <c r="F105" s="2601"/>
      <c r="G105" s="2601"/>
      <c r="H105" s="2601"/>
      <c r="I105" s="577"/>
      <c r="J105" s="580" t="s">
        <v>1332</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1330</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1310</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1333</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1334</v>
      </c>
      <c r="B112" s="539" t="s">
        <v>1335</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1316</v>
      </c>
      <c r="AF112" s="2459"/>
      <c r="AG112" s="2459"/>
      <c r="AH112" s="2459"/>
      <c r="AI112" s="2459"/>
      <c r="AJ112" s="2459"/>
      <c r="AK112" s="2459"/>
      <c r="AL112" s="540"/>
      <c r="AM112" s="540"/>
      <c r="AN112" s="535"/>
      <c r="AO112" s="536" t="str">
        <f>Application!B718</f>
        <v>1 Bedroom</v>
      </c>
      <c r="AQ112" s="536">
        <f>Application!O718</f>
        <v>628</v>
      </c>
    </row>
    <row r="113" spans="1:52" s="536" customFormat="1" ht="12.75" customHeight="1">
      <c r="A113" s="540"/>
      <c r="B113" s="539" t="s">
        <v>1326</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1111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1352</v>
      </c>
    </row>
    <row r="115" spans="1:52" s="536" customFormat="1" ht="12.75" customHeight="1">
      <c r="A115" s="540"/>
      <c r="B115" s="2612" t="s">
        <v>546</v>
      </c>
      <c r="C115" s="2612"/>
      <c r="D115" s="547" t="s">
        <v>1317</v>
      </c>
      <c r="E115" s="2604" t="s">
        <v>1860</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1 Bedroom</v>
      </c>
      <c r="AQ115" s="536">
        <f>Application!O721</f>
        <v>1593</v>
      </c>
      <c r="AU115" s="536" t="s">
        <v>1842</v>
      </c>
      <c r="AV115" s="595" t="s">
        <v>1843</v>
      </c>
      <c r="AW115" s="536" t="s">
        <v>1844</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1 Bedroom</v>
      </c>
      <c r="AQ116" s="536">
        <f>Application!O722</f>
        <v>628</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1 Bedroom</v>
      </c>
      <c r="AQ117" s="536">
        <f>Application!O723</f>
        <v>1111</v>
      </c>
      <c r="AU117" s="856" t="str">
        <f>J124</f>
        <v>1-bedroom</v>
      </c>
      <c r="AV117" s="536">
        <f t="array" ref="AV117">SUM(IF(Application!B718:F752="1 Bedroom",Application!G718:J752))</f>
        <v>99</v>
      </c>
      <c r="AW117" s="1011">
        <f>AV117/AV122</f>
        <v>0.49748743718592964</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1 Bedroom</v>
      </c>
      <c r="AQ118" s="536">
        <f>Application!O724</f>
        <v>1352</v>
      </c>
      <c r="AU118" s="856" t="str">
        <f>O124</f>
        <v>2-bedroom</v>
      </c>
      <c r="AV118" s="536">
        <f t="array" ref="AV118">SUM(IF(Application!B718:F752="2 Bedrooms",Application!G718:J752))</f>
        <v>50</v>
      </c>
      <c r="AW118" s="1011">
        <f>AV118/AV122</f>
        <v>0.25125628140703515</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t="str">
        <f>Application!B725</f>
        <v>1 Bedroom</v>
      </c>
      <c r="AQ119" s="536">
        <f>Application!O725</f>
        <v>1593</v>
      </c>
      <c r="AU119" s="856" t="str">
        <f>T124</f>
        <v>3-bedroom</v>
      </c>
      <c r="AV119" s="536">
        <f t="array" ref="AV119">SUM(IF(Application!B718:F752="3 Bedrooms",Application!G718:J752))</f>
        <v>50</v>
      </c>
      <c r="AW119" s="1011">
        <f>AV119/AV122</f>
        <v>0.25125628140703515</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t="str">
        <f>Application!B726</f>
        <v>2 Bedrooms</v>
      </c>
      <c r="AQ120" s="536">
        <f>Application!O726</f>
        <v>737</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t="str">
        <f>Application!B727</f>
        <v>2 Bedrooms</v>
      </c>
      <c r="AQ121" s="536">
        <f>Application!O727</f>
        <v>1316</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t="str">
        <f>Application!B728</f>
        <v>2 Bedrooms</v>
      </c>
      <c r="AQ122" s="536">
        <f>Application!O728</f>
        <v>1606</v>
      </c>
      <c r="AV122" s="536">
        <f>SUM(AV116:AV121)</f>
        <v>199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1895</v>
      </c>
    </row>
    <row r="124" spans="1:52" s="536" customFormat="1" ht="12.75" customHeight="1">
      <c r="A124" s="540"/>
      <c r="B124" s="539"/>
      <c r="C124" s="540"/>
      <c r="D124" s="540"/>
      <c r="E124" s="2600" t="s">
        <v>1590</v>
      </c>
      <c r="F124" s="2601"/>
      <c r="G124" s="2601"/>
      <c r="H124" s="2601"/>
      <c r="I124" s="577"/>
      <c r="J124" s="2601" t="s">
        <v>1633</v>
      </c>
      <c r="K124" s="2601"/>
      <c r="L124" s="2601"/>
      <c r="M124" s="2601"/>
      <c r="N124" s="577"/>
      <c r="O124" s="2601" t="s">
        <v>1634</v>
      </c>
      <c r="P124" s="2601"/>
      <c r="Q124" s="2601"/>
      <c r="R124" s="2601"/>
      <c r="S124" s="577"/>
      <c r="T124" s="2601" t="s">
        <v>1336</v>
      </c>
      <c r="U124" s="2601"/>
      <c r="V124" s="2601"/>
      <c r="W124" s="2601"/>
      <c r="X124" s="577"/>
      <c r="Y124" s="2601" t="s">
        <v>1635</v>
      </c>
      <c r="Z124" s="2601"/>
      <c r="AA124" s="2601"/>
      <c r="AB124" s="2601"/>
      <c r="AC124" s="577"/>
      <c r="AD124" s="2601" t="s">
        <v>1636</v>
      </c>
      <c r="AE124" s="2601"/>
      <c r="AF124" s="2601"/>
      <c r="AG124" s="2601"/>
      <c r="AH124" s="577"/>
      <c r="AI124" s="577"/>
      <c r="AJ124" s="579"/>
      <c r="AK124" s="540"/>
      <c r="AL124" s="540"/>
      <c r="AM124" s="540"/>
      <c r="AN124" s="535"/>
      <c r="AO124" s="536" t="str">
        <f>Application!B730</f>
        <v>3 Bedrooms</v>
      </c>
      <c r="AQ124" s="536">
        <f>Application!O730</f>
        <v>836</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1504</v>
      </c>
    </row>
    <row r="126" spans="1:52" s="536" customFormat="1" ht="12.75" customHeight="1">
      <c r="A126" s="540"/>
      <c r="B126" s="539"/>
      <c r="C126" s="540"/>
      <c r="D126" s="540"/>
      <c r="E126" s="866" t="s">
        <v>1637</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1839</v>
      </c>
    </row>
    <row r="127" spans="1:52" s="536" customFormat="1" ht="12.75" customHeight="1">
      <c r="A127" s="540"/>
      <c r="B127" s="539"/>
      <c r="C127" s="540"/>
      <c r="D127" s="540"/>
      <c r="E127" s="2602"/>
      <c r="F127" s="2603"/>
      <c r="G127" s="2603"/>
      <c r="H127" s="2603"/>
      <c r="I127" s="864"/>
      <c r="J127" s="2603">
        <v>2066</v>
      </c>
      <c r="K127" s="2603"/>
      <c r="L127" s="2603"/>
      <c r="M127" s="2603"/>
      <c r="N127" s="864"/>
      <c r="O127" s="2603">
        <v>2395</v>
      </c>
      <c r="P127" s="2603"/>
      <c r="Q127" s="2603"/>
      <c r="R127" s="2603"/>
      <c r="S127" s="864"/>
      <c r="T127" s="2603">
        <v>2707</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t="str">
        <f>Application!B733</f>
        <v>3 Bedrooms</v>
      </c>
      <c r="AQ127" s="536">
        <f>Application!O733</f>
        <v>2173</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1846</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1334.8484848484848</v>
      </c>
      <c r="K130" s="2611"/>
      <c r="L130" s="2611"/>
      <c r="M130" s="2611"/>
      <c r="N130" s="864"/>
      <c r="O130" s="2611">
        <f>Application!EH670</f>
        <v>1605.7</v>
      </c>
      <c r="P130" s="2611"/>
      <c r="Q130" s="2611"/>
      <c r="R130" s="2611"/>
      <c r="S130" s="868"/>
      <c r="T130" s="2611">
        <f>Application!EM670</f>
        <v>1838.8000000000002</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1847</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0.35389715157382151</v>
      </c>
      <c r="K133" s="2406"/>
      <c r="L133" s="2406"/>
      <c r="M133" s="2407"/>
      <c r="N133" s="577"/>
      <c r="O133" s="2405">
        <f>(O127-O130)/O127</f>
        <v>0.32956158663883089</v>
      </c>
      <c r="P133" s="2406"/>
      <c r="Q133" s="2406"/>
      <c r="R133" s="2407"/>
      <c r="S133" s="577"/>
      <c r="T133" s="2405">
        <f>(T127-T130)/T127</f>
        <v>0.32072404876246763</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1848</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0.126310643245268</v>
      </c>
      <c r="K136" s="2614"/>
      <c r="L136" s="2614"/>
      <c r="M136" s="2615"/>
      <c r="N136" s="577"/>
      <c r="O136" s="2613">
        <f>IF(((O133-0.1)*AW118)&gt;0,((O133-0.1)*AW118),0)</f>
        <v>5.7678790612771577E-2</v>
      </c>
      <c r="P136" s="2614"/>
      <c r="Q136" s="2614"/>
      <c r="R136" s="2615"/>
      <c r="S136" s="577"/>
      <c r="T136" s="2613">
        <f>IF(((T133-0.1)*AW119)&gt;0,((T133-0.1)*AW119),0)</f>
        <v>5.5458303709162715E-2</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0.23</v>
      </c>
      <c r="F138" s="2406"/>
      <c r="G138" s="2406"/>
      <c r="H138" s="2407"/>
      <c r="I138" s="577"/>
      <c r="J138" s="580" t="s">
        <v>1849</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1330</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1337</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1338</v>
      </c>
      <c r="AE146" s="2459" t="s">
        <v>1316</v>
      </c>
      <c r="AF146" s="2459"/>
      <c r="AG146" s="2459"/>
      <c r="AH146" s="2459"/>
      <c r="AI146" s="2459"/>
      <c r="AJ146" s="2459"/>
      <c r="AK146" s="2459"/>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1339</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1340</v>
      </c>
      <c r="AG148" s="2519"/>
      <c r="AH148" s="2519"/>
      <c r="AI148" s="2519"/>
      <c r="AJ148" s="2519"/>
      <c r="AK148" s="2519"/>
      <c r="AL148" s="251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2631</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1341</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1342</v>
      </c>
      <c r="AP152" s="489">
        <v>5</v>
      </c>
    </row>
    <row r="153" spans="1:42" s="536" customFormat="1" ht="12.75" customHeight="1">
      <c r="A153" s="538"/>
      <c r="B153" s="2590" t="s">
        <v>1343</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1343</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2256</v>
      </c>
      <c r="AP154" s="489">
        <v>7</v>
      </c>
    </row>
    <row r="155" spans="1:42" s="536" customFormat="1" ht="12.75" customHeight="1">
      <c r="A155" s="538"/>
      <c r="B155" s="539" t="s">
        <v>1344</v>
      </c>
      <c r="AB155" s="2391" t="s">
        <v>592</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1345</v>
      </c>
      <c r="AP156" s="489"/>
    </row>
    <row r="157" spans="1:42" s="536" customFormat="1" ht="12.75" customHeight="1">
      <c r="A157" s="538"/>
      <c r="B157" s="538" t="s">
        <v>1346</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1347</v>
      </c>
      <c r="AP157" s="489">
        <v>5</v>
      </c>
    </row>
    <row r="158" spans="1:42" s="536" customFormat="1" ht="12.75" customHeight="1">
      <c r="A158" s="538"/>
      <c r="B158" s="2590" t="s">
        <v>1345</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1348</v>
      </c>
      <c r="AP158" s="489">
        <v>7</v>
      </c>
    </row>
    <row r="159" spans="1:42" s="536" customFormat="1" ht="12.75" customHeight="1">
      <c r="B159" s="539" t="s">
        <v>1349</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2479</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2480</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2478</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592</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1351</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1353</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1354</v>
      </c>
      <c r="AG168" s="2519"/>
      <c r="AH168" s="2519"/>
      <c r="AI168" s="2519"/>
      <c r="AJ168" s="2519"/>
      <c r="AK168" s="2519"/>
      <c r="AL168" s="2519"/>
      <c r="AM168" s="603"/>
      <c r="AN168" s="598"/>
    </row>
    <row r="169" spans="1:42" s="550" customFormat="1" ht="12.75" customHeight="1">
      <c r="A169" s="536"/>
      <c r="B169" s="539" t="s">
        <v>1355</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1352</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1350</v>
      </c>
      <c r="AP171" s="599">
        <v>2</v>
      </c>
    </row>
    <row r="172" spans="1:42" s="550" customFormat="1" ht="12.75" customHeight="1">
      <c r="A172" s="536"/>
      <c r="B172" s="536"/>
      <c r="C172" s="539" t="s">
        <v>1357</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592</v>
      </c>
      <c r="AG172" s="2391"/>
      <c r="AH172" s="536"/>
      <c r="AI172" s="536"/>
      <c r="AJ172" s="536"/>
      <c r="AK172" s="536"/>
      <c r="AL172" s="536"/>
      <c r="AM172" s="603"/>
      <c r="AN172" s="597"/>
      <c r="AO172" s="476" t="s">
        <v>1352</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2171</v>
      </c>
      <c r="AP173" s="599">
        <v>3</v>
      </c>
    </row>
    <row r="174" spans="1:42" s="550" customFormat="1" ht="12.75" customHeight="1">
      <c r="A174" s="536"/>
      <c r="B174" s="536"/>
      <c r="C174" s="2590" t="s">
        <v>1345</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1349</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1359</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1345</v>
      </c>
      <c r="AP177" s="476"/>
    </row>
    <row r="178" spans="1:73" s="550" customFormat="1" ht="12.75" customHeight="1">
      <c r="A178" s="536"/>
      <c r="B178" s="536"/>
      <c r="C178" s="2591" t="str">
        <f>Application!AA335</f>
        <v>St. Anton Multifamily, Inc</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1356</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1358</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1360</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1361</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1362</v>
      </c>
      <c r="AQ185" s="612">
        <v>0</v>
      </c>
    </row>
    <row r="186" spans="1:73" s="550" customFormat="1" ht="12.75" customHeight="1">
      <c r="A186" s="538" t="s">
        <v>1363</v>
      </c>
      <c r="B186" s="538" t="s">
        <v>1729</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1316</v>
      </c>
      <c r="AF186" s="2459"/>
      <c r="AG186" s="2459"/>
      <c r="AH186" s="2459"/>
      <c r="AI186" s="2459"/>
      <c r="AJ186" s="2459"/>
      <c r="AK186" s="2459"/>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1364</v>
      </c>
      <c r="AQ187" s="550">
        <v>10</v>
      </c>
    </row>
    <row r="188" spans="1:73" s="550" customFormat="1" ht="12.75" customHeight="1">
      <c r="A188" s="536"/>
      <c r="B188" s="2588" t="s">
        <v>1042</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1365</v>
      </c>
      <c r="AG188" s="2519"/>
      <c r="AH188" s="2519"/>
      <c r="AI188" s="2519"/>
      <c r="AJ188" s="2519"/>
      <c r="AK188" s="2519"/>
      <c r="AL188" s="2519"/>
      <c r="AN188" s="597"/>
      <c r="AP188" s="550" t="s">
        <v>1044</v>
      </c>
      <c r="AQ188" s="550">
        <v>10</v>
      </c>
    </row>
    <row r="189" spans="1:73" s="550" customFormat="1" ht="12.75" customHeight="1">
      <c r="A189" s="536"/>
      <c r="B189" s="2390" t="s">
        <v>1728</v>
      </c>
      <c r="C189" s="2390"/>
      <c r="D189" s="2390"/>
      <c r="E189" s="2390"/>
      <c r="F189" s="2390"/>
      <c r="G189" s="2390"/>
      <c r="H189" s="2390"/>
      <c r="I189" s="2390"/>
      <c r="J189" s="2390"/>
      <c r="K189" s="2390"/>
      <c r="L189" s="2390"/>
      <c r="M189" s="2390"/>
      <c r="N189" s="2390"/>
      <c r="O189" s="2390"/>
      <c r="P189" s="2390"/>
      <c r="Q189" s="2390"/>
      <c r="R189" s="2390"/>
      <c r="S189" s="2390"/>
      <c r="T189" s="2589" t="s">
        <v>592</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1366</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1369</v>
      </c>
      <c r="AQ190" s="550">
        <v>10</v>
      </c>
      <c r="AS190" s="550" t="s">
        <v>1367</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1368</v>
      </c>
      <c r="AK191" s="2426">
        <f>IF(AK84&gt;0,VLOOKUP($B$188,AP185:AQ191,2,FALSE),0)</f>
        <v>10</v>
      </c>
      <c r="AL191" s="2427"/>
      <c r="AM191" s="2428"/>
      <c r="AN191" s="535"/>
      <c r="AP191" s="550" t="s">
        <v>1371</v>
      </c>
      <c r="AQ191" s="550">
        <v>10</v>
      </c>
      <c r="AS191" s="550" t="s">
        <v>1370</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1372</v>
      </c>
      <c r="B194" s="538" t="s">
        <v>1373</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1374</v>
      </c>
      <c r="AF194" s="2459"/>
      <c r="AG194" s="2459"/>
      <c r="AH194" s="2459"/>
      <c r="AI194" s="2459"/>
      <c r="AJ194" s="2459"/>
      <c r="AK194" s="245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1591</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1627</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2713</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3000000</v>
      </c>
      <c r="AE199" s="2572"/>
      <c r="AF199" s="2572"/>
      <c r="AG199" s="2572"/>
      <c r="AH199" s="2572"/>
      <c r="AI199" s="2572"/>
      <c r="AJ199" s="2572"/>
      <c r="AK199" s="610"/>
    </row>
    <row r="200" spans="1:40">
      <c r="A200" s="605"/>
      <c r="B200" s="2582"/>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1629</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0</v>
      </c>
      <c r="AE209" s="2570"/>
      <c r="AF209" s="2570"/>
      <c r="AG209" s="2570"/>
      <c r="AH209" s="2570"/>
      <c r="AI209" s="2570"/>
      <c r="AJ209" s="2570"/>
      <c r="AK209" s="610"/>
    </row>
    <row r="210" spans="1:37">
      <c r="A210" s="605"/>
      <c r="B210" s="2444" t="s">
        <v>1592</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6">
        <f>SUM(AD199:AJ209)-AD210</f>
        <v>3000000</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1597</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1628</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1599</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1600</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2026</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1601</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1602</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1638</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1609</v>
      </c>
      <c r="J222" s="2595"/>
      <c r="K222" s="2595"/>
      <c r="L222" s="536"/>
      <c r="M222" s="536"/>
      <c r="N222" s="536"/>
      <c r="O222" s="536"/>
      <c r="P222" s="536"/>
      <c r="Q222" s="536"/>
      <c r="R222" s="536"/>
      <c r="S222" s="536"/>
      <c r="T222" s="2410" t="s">
        <v>1603</v>
      </c>
      <c r="U222" s="2410"/>
      <c r="V222" s="2410"/>
      <c r="W222" s="2410"/>
      <c r="X222" s="2410"/>
      <c r="Y222" s="2410"/>
      <c r="Z222" s="849"/>
      <c r="AA222" s="489"/>
      <c r="AB222" s="2592" t="s">
        <v>1604</v>
      </c>
      <c r="AC222" s="2592"/>
      <c r="AD222" s="2592"/>
      <c r="AE222" s="2592"/>
      <c r="AF222" s="2592"/>
      <c r="AG222" s="2592"/>
      <c r="AH222" s="827"/>
      <c r="AI222" s="827"/>
      <c r="AJ222" s="827"/>
      <c r="AK222" s="610"/>
    </row>
    <row r="223" spans="1:37">
      <c r="A223" s="605"/>
      <c r="B223" s="2593" t="s">
        <v>1589</v>
      </c>
      <c r="C223" s="2593"/>
      <c r="D223" s="2593"/>
      <c r="E223" s="2593"/>
      <c r="F223" s="2593"/>
      <c r="G223" s="2593"/>
      <c r="I223" s="2594" t="s">
        <v>1610</v>
      </c>
      <c r="J223" s="2594"/>
      <c r="K223" s="2594"/>
      <c r="L223" s="1008"/>
      <c r="N223" s="2445" t="s">
        <v>1605</v>
      </c>
      <c r="O223" s="2445"/>
      <c r="P223" s="2445"/>
      <c r="Q223" s="2445"/>
      <c r="R223" s="2445"/>
      <c r="T223" s="2445" t="s">
        <v>1606</v>
      </c>
      <c r="U223" s="2445"/>
      <c r="V223" s="2445"/>
      <c r="W223" s="2445"/>
      <c r="X223" s="2445"/>
      <c r="Y223" s="2445"/>
      <c r="Z223" s="850"/>
      <c r="AA223" s="489"/>
      <c r="AB223" s="2460" t="s">
        <v>1607</v>
      </c>
      <c r="AC223" s="2460"/>
      <c r="AD223" s="2460"/>
      <c r="AE223" s="2460"/>
      <c r="AF223" s="2460"/>
      <c r="AG223" s="2460"/>
      <c r="AH223" s="827"/>
      <c r="AI223" s="827"/>
      <c r="AJ223" s="827"/>
      <c r="AK223" s="610"/>
    </row>
    <row r="224" spans="1:37">
      <c r="A224" s="605"/>
      <c r="B224" s="2461" t="s">
        <v>1185</v>
      </c>
      <c r="C224" s="2461"/>
      <c r="D224" s="2461"/>
      <c r="E224" s="2461"/>
      <c r="F224" s="2461"/>
      <c r="G224" s="2461"/>
      <c r="H224" s="852"/>
      <c r="I224" s="2414"/>
      <c r="J224" s="2414"/>
      <c r="K224" s="2414"/>
      <c r="L224" s="1008"/>
      <c r="N224" s="2412"/>
      <c r="O224" s="2412"/>
      <c r="P224" s="2412"/>
      <c r="Q224" s="2412"/>
      <c r="R224" s="2412"/>
      <c r="T224" s="2411"/>
      <c r="U224" s="2411"/>
      <c r="V224" s="2411"/>
      <c r="W224" s="2411"/>
      <c r="X224" s="2411"/>
      <c r="Y224" s="2411"/>
      <c r="Z224" s="851"/>
      <c r="AA224" s="851"/>
      <c r="AB224" s="2409">
        <f t="shared" ref="AB224:AB233" si="0">MAX(($T224-$N224)*$I224*12,0)</f>
        <v>0</v>
      </c>
      <c r="AC224" s="2409"/>
      <c r="AD224" s="2409"/>
      <c r="AE224" s="2409"/>
      <c r="AF224" s="2409"/>
      <c r="AG224" s="2409"/>
      <c r="AH224" s="827"/>
      <c r="AI224" s="827"/>
      <c r="AJ224" s="827"/>
      <c r="AK224" s="610"/>
    </row>
    <row r="225" spans="1:37">
      <c r="A225" s="605"/>
      <c r="B225" s="2461" t="s">
        <v>1185</v>
      </c>
      <c r="C225" s="2461"/>
      <c r="D225" s="2461"/>
      <c r="E225" s="2461"/>
      <c r="F225" s="2461"/>
      <c r="G225" s="2461"/>
      <c r="I225" s="2414"/>
      <c r="J225" s="2414"/>
      <c r="K225" s="2414"/>
      <c r="L225" s="1008"/>
      <c r="N225" s="2412"/>
      <c r="O225" s="2412"/>
      <c r="P225" s="2412"/>
      <c r="Q225" s="2412"/>
      <c r="R225" s="2412"/>
      <c r="T225" s="2411"/>
      <c r="U225" s="2411"/>
      <c r="V225" s="2411"/>
      <c r="W225" s="2411"/>
      <c r="X225" s="2411"/>
      <c r="Y225" s="2411"/>
      <c r="Z225" s="851"/>
      <c r="AA225" s="851"/>
      <c r="AB225" s="2409">
        <f t="shared" si="0"/>
        <v>0</v>
      </c>
      <c r="AC225" s="2409"/>
      <c r="AD225" s="2409"/>
      <c r="AE225" s="2409"/>
      <c r="AF225" s="2409"/>
      <c r="AG225" s="2409"/>
      <c r="AH225" s="827"/>
      <c r="AI225" s="827"/>
      <c r="AJ225" s="827"/>
      <c r="AK225" s="610"/>
    </row>
    <row r="226" spans="1:37">
      <c r="A226" s="605"/>
      <c r="B226" s="2461" t="s">
        <v>1185</v>
      </c>
      <c r="C226" s="2461"/>
      <c r="D226" s="2461"/>
      <c r="E226" s="2461"/>
      <c r="F226" s="2461"/>
      <c r="G226" s="2461"/>
      <c r="I226" s="2414"/>
      <c r="J226" s="2414"/>
      <c r="K226" s="2414"/>
      <c r="L226" s="1008"/>
      <c r="N226" s="2412"/>
      <c r="O226" s="2412"/>
      <c r="P226" s="2412"/>
      <c r="Q226" s="2412"/>
      <c r="R226" s="2412"/>
      <c r="T226" s="2411"/>
      <c r="U226" s="2411"/>
      <c r="V226" s="2411"/>
      <c r="W226" s="2411"/>
      <c r="X226" s="2411"/>
      <c r="Y226" s="2411"/>
      <c r="Z226" s="851"/>
      <c r="AA226" s="851"/>
      <c r="AB226" s="2409">
        <f t="shared" si="0"/>
        <v>0</v>
      </c>
      <c r="AC226" s="2409"/>
      <c r="AD226" s="2409"/>
      <c r="AE226" s="2409"/>
      <c r="AF226" s="2409"/>
      <c r="AG226" s="2409"/>
      <c r="AH226" s="827"/>
      <c r="AI226" s="827"/>
      <c r="AJ226" s="827"/>
      <c r="AK226" s="610"/>
    </row>
    <row r="227" spans="1:37">
      <c r="A227" s="605"/>
      <c r="B227" s="2461" t="s">
        <v>1185</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1185</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1185</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1185</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1185</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1185</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1185</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1608</v>
      </c>
      <c r="AA234" s="853"/>
      <c r="AB234" s="2409">
        <f>SUM(AB224:AB233)</f>
        <v>0</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1598</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1626</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1624</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1618</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c r="AC240" s="2446"/>
      <c r="AD240" s="2446"/>
      <c r="AE240" s="2446"/>
      <c r="AF240" s="2446"/>
      <c r="AG240" s="2446"/>
      <c r="AH240" s="610"/>
      <c r="AI240" s="610"/>
      <c r="AJ240" s="610"/>
      <c r="AK240" s="610"/>
    </row>
    <row r="241" spans="1:37">
      <c r="A241" s="605"/>
      <c r="B241" s="837" t="s">
        <v>1623</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1625</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1619</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1620</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1621</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1622</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1611</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0</v>
      </c>
      <c r="AC250" s="2409"/>
      <c r="AD250" s="2409"/>
      <c r="AE250" s="2409"/>
      <c r="AF250" s="2409"/>
      <c r="AG250" s="240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1612</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0</v>
      </c>
      <c r="AC252" s="2581"/>
      <c r="AD252" s="2581"/>
      <c r="AE252" s="2581"/>
      <c r="AF252" s="2581"/>
      <c r="AG252" s="2581"/>
      <c r="AH252" s="610"/>
      <c r="AI252" s="610"/>
      <c r="AJ252" s="610"/>
      <c r="AK252" s="610"/>
    </row>
    <row r="253" spans="1:37">
      <c r="A253" s="605"/>
      <c r="B253" s="476" t="s">
        <v>1613</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1614</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0</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1615</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1616</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1617</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0</v>
      </c>
      <c r="AC260" s="2574"/>
      <c r="AD260" s="2574"/>
      <c r="AE260" s="2574"/>
      <c r="AF260" s="2574"/>
      <c r="AG260" s="257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1593</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1596</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1595</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1594</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1375</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3000000</v>
      </c>
      <c r="AH268" s="2423"/>
      <c r="AI268" s="2423"/>
      <c r="AJ268" s="2423"/>
      <c r="AK268" s="2423"/>
    </row>
    <row r="269" spans="1:37">
      <c r="A269" s="622"/>
      <c r="B269" s="625" t="s">
        <v>1376</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73080751</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0.08</v>
      </c>
      <c r="AH270" s="2569"/>
      <c r="AI270" s="2569"/>
      <c r="AJ270" s="2569"/>
      <c r="AK270" s="2569"/>
    </row>
    <row r="271" spans="1:37">
      <c r="A271" s="622"/>
      <c r="B271" s="978" t="s">
        <v>1743</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1377</v>
      </c>
      <c r="AK273" s="2558">
        <f>IFERROR(IF(AG270=0,0,IF((AG270*100)&gt;8,8,(AG270*100))),0)</f>
        <v>8</v>
      </c>
      <c r="AL273" s="2558"/>
      <c r="AM273" s="255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1378</v>
      </c>
      <c r="B276" s="538" t="s">
        <v>1379</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1316</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0" t="s">
        <v>546</v>
      </c>
      <c r="D278" s="2440"/>
      <c r="E278" s="547"/>
      <c r="F278" s="2392" t="s">
        <v>2027</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1365</v>
      </c>
      <c r="AH278" s="2567"/>
      <c r="AI278" s="2567"/>
      <c r="AJ278" s="2567"/>
      <c r="AK278" s="550"/>
      <c r="AL278" s="550"/>
      <c r="AM278" s="550"/>
      <c r="AO278" s="550"/>
    </row>
    <row r="279" spans="1:52" ht="13.7"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7"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1381</v>
      </c>
      <c r="AK285" s="2558">
        <f>IF($C$278="yes",10,0)</f>
        <v>10</v>
      </c>
      <c r="AL285" s="2558"/>
      <c r="AM285" s="255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1382</v>
      </c>
      <c r="B288" s="538" t="s">
        <v>1856</v>
      </c>
      <c r="AH288" s="591" t="s">
        <v>1316</v>
      </c>
    </row>
    <row r="289" spans="1:49" ht="15" customHeight="1">
      <c r="B289" s="539"/>
    </row>
    <row r="290" spans="1:49" ht="15" customHeight="1">
      <c r="B290" s="539" t="s">
        <v>1730</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3" t="s">
        <v>1384</v>
      </c>
      <c r="B292" s="1633"/>
      <c r="C292" s="2391" t="s">
        <v>546</v>
      </c>
      <c r="D292" s="2440"/>
      <c r="E292" s="547"/>
      <c r="F292" s="2560" t="s">
        <v>1385</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2020</v>
      </c>
      <c r="AH292" s="2563"/>
      <c r="AI292" s="2563"/>
      <c r="AJ292" s="2563"/>
      <c r="AK292" s="2563"/>
      <c r="AL292" s="550"/>
      <c r="AM292" s="550"/>
      <c r="AN292" s="73"/>
      <c r="AO292" s="14"/>
      <c r="AP292" s="30"/>
      <c r="AS292" s="570"/>
      <c r="AT292" s="570"/>
      <c r="AU292" s="570"/>
      <c r="AV292" s="32"/>
      <c r="AW292" s="32"/>
    </row>
    <row r="293" spans="1:49">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8" t="s">
        <v>2028</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10</v>
      </c>
      <c r="AQ295" s="574" t="s">
        <v>1318</v>
      </c>
      <c r="AS295" s="570"/>
      <c r="AT295" s="570"/>
      <c r="AU295" s="570"/>
      <c r="AV295" s="32"/>
      <c r="AW295" s="32"/>
    </row>
    <row r="296" spans="1:49">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1386</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1387</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3" t="s">
        <v>1388</v>
      </c>
      <c r="B302" s="1633"/>
      <c r="C302" s="2440" t="s">
        <v>592</v>
      </c>
      <c r="D302" s="2440"/>
      <c r="E302" s="547"/>
      <c r="F302" s="644" t="s">
        <v>2021</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1390</v>
      </c>
      <c r="AH302" s="551"/>
      <c r="AI302" s="551"/>
      <c r="AJ302" s="550"/>
      <c r="AK302" s="550"/>
      <c r="AL302" s="550"/>
      <c r="AM302" s="550"/>
      <c r="AN302" s="647"/>
      <c r="AO302" s="14"/>
    </row>
    <row r="303" spans="1:49">
      <c r="A303" s="550"/>
      <c r="B303" s="551"/>
      <c r="C303" s="550"/>
      <c r="D303" s="551"/>
      <c r="E303" s="550"/>
      <c r="F303" s="2542" t="s">
        <v>2022</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3" t="s">
        <v>1391</v>
      </c>
      <c r="B310" s="1633"/>
      <c r="C310" s="2440" t="s">
        <v>592</v>
      </c>
      <c r="D310" s="2440"/>
      <c r="E310" s="547"/>
      <c r="F310" s="644" t="s">
        <v>1389</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1390</v>
      </c>
      <c r="AH310" s="551"/>
      <c r="AI310" s="551"/>
      <c r="AJ310" s="550"/>
      <c r="AK310" s="550"/>
      <c r="AL310" s="550"/>
      <c r="AM310" s="550"/>
      <c r="AN310" s="73"/>
      <c r="AO310" s="14"/>
    </row>
    <row r="311" spans="1:44" hidden="1">
      <c r="A311" s="89"/>
      <c r="B311" s="89"/>
      <c r="C311" s="730"/>
      <c r="D311" s="730"/>
      <c r="E311" s="547"/>
      <c r="F311" s="2418" t="s">
        <v>2029</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1185</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1732</v>
      </c>
    </row>
    <row r="313" spans="1:44" hidden="1">
      <c r="A313" s="550"/>
      <c r="B313" s="551"/>
      <c r="C313" s="730"/>
      <c r="D313" s="730"/>
      <c r="E313" s="547"/>
      <c r="F313" s="652" t="s">
        <v>1392</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1734</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1858</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1185</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1733</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1" t="s">
        <v>1185</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1639</v>
      </c>
    </row>
    <row r="325" spans="1:42"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1735</v>
      </c>
    </row>
    <row r="326" spans="1:42"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1737</v>
      </c>
    </row>
    <row r="327" spans="1:42"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1736</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1" t="s">
        <v>1185</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1393</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1640</v>
      </c>
    </row>
    <row r="333" spans="1:42" ht="12.75" hidden="1" customHeight="1">
      <c r="A333" s="1633" t="s">
        <v>1394</v>
      </c>
      <c r="B333" s="1633"/>
      <c r="C333" s="2440" t="s">
        <v>592</v>
      </c>
      <c r="D333" s="2440"/>
      <c r="E333" s="547"/>
      <c r="F333" s="2539" t="s">
        <v>2030</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1390</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1395</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1454</v>
      </c>
      <c r="AK338" s="2426">
        <f>IF(NOT(OR(Application!M355="Yes",Application!M356="Yes")),0,AP295)</f>
        <v>10</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1455</v>
      </c>
      <c r="B341" s="539" t="s">
        <v>846</v>
      </c>
      <c r="C341" s="536"/>
      <c r="AC341" s="539"/>
      <c r="AE341" s="2459" t="s">
        <v>1316</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1456</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2095</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2210</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1457</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15"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85"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1458</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7</v>
      </c>
      <c r="AS359" s="539" t="s">
        <v>1459</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0</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582</v>
      </c>
      <c r="AP361" s="696">
        <f>IF(C407="Yes",5,0)</f>
        <v>0</v>
      </c>
      <c r="AS361" s="539" t="s">
        <v>1881</v>
      </c>
    </row>
    <row r="362" spans="1:46" s="550" customFormat="1" ht="12.75" customHeight="1">
      <c r="A362" s="603"/>
      <c r="B362" s="611"/>
      <c r="C362" s="2529" t="s">
        <v>2235</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0</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764</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585</v>
      </c>
      <c r="AP364" s="696">
        <f>IF(C421="Yes",5,0)</f>
        <v>0</v>
      </c>
    </row>
    <row r="365" spans="1:46" s="550" customFormat="1" ht="11.85"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3</v>
      </c>
    </row>
    <row r="366" spans="1:46" s="550" customFormat="1" ht="12.4"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227</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5" t="s">
        <v>1460</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457</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462</v>
      </c>
      <c r="AP370" s="696">
        <f>IF(C449="Yes",5,0)</f>
        <v>0</v>
      </c>
    </row>
    <row r="371" spans="1:81" s="550" customFormat="1" ht="68.099999999999994"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647</v>
      </c>
      <c r="AP371" s="701">
        <f>IF(C453="Yes",5,0)</f>
        <v>0</v>
      </c>
    </row>
    <row r="372" spans="1:81" s="550" customFormat="1" ht="12.4" customHeight="1">
      <c r="A372" s="603"/>
      <c r="B372" s="611"/>
      <c r="C372" s="550" t="s">
        <v>1461</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2213</v>
      </c>
      <c r="D373" s="703"/>
      <c r="E373" s="703"/>
      <c r="F373" s="703"/>
      <c r="G373" s="703"/>
      <c r="H373" s="703"/>
      <c r="I373" s="703"/>
      <c r="J373" s="703"/>
      <c r="K373" s="703"/>
      <c r="L373" s="703"/>
      <c r="M373" s="667"/>
      <c r="N373" s="667"/>
      <c r="O373" s="704"/>
      <c r="P373" s="703"/>
      <c r="Q373" s="703"/>
      <c r="R373" s="667"/>
      <c r="S373" s="667"/>
      <c r="T373" s="703"/>
      <c r="U373" s="2436">
        <f>Application!DU802-U374</f>
        <v>349</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2214</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8">
        <f>IF(AP375&gt;0,AP375,0)</f>
        <v>0</v>
      </c>
      <c r="AR375" s="2438"/>
    </row>
    <row r="376" spans="1:81" s="550" customFormat="1" ht="12.75" customHeight="1">
      <c r="A376" s="603"/>
      <c r="B376" s="14"/>
      <c r="C376" s="712" t="s">
        <v>2211</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1317</v>
      </c>
      <c r="F377" s="2429" t="s">
        <v>1462</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592</v>
      </c>
      <c r="D381" s="2440"/>
      <c r="E381" s="719"/>
      <c r="F381" s="721" t="s">
        <v>1463</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1464</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1319</v>
      </c>
      <c r="F384" s="2429" t="s">
        <v>1465</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592</v>
      </c>
      <c r="D389" s="2440"/>
      <c r="E389" s="691"/>
      <c r="F389" s="721" t="s">
        <v>1466</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1464</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1322</v>
      </c>
      <c r="F392" s="2429" t="s">
        <v>1467</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546</v>
      </c>
      <c r="D397" s="2440"/>
      <c r="E397" s="691"/>
      <c r="F397" s="721" t="s">
        <v>1468</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1469</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592</v>
      </c>
      <c r="D399" s="2440"/>
      <c r="E399" s="691"/>
      <c r="F399" s="738" t="s">
        <v>1470</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1464</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1471</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1472</v>
      </c>
      <c r="F403" s="2429" t="s">
        <v>1473</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592</v>
      </c>
      <c r="D407" s="2440"/>
      <c r="E407" s="691"/>
      <c r="F407" s="721" t="s">
        <v>1474</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1464</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592</v>
      </c>
      <c r="D409" s="2440"/>
      <c r="E409" s="719"/>
      <c r="F409" s="721" t="s">
        <v>1475</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1476</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592</v>
      </c>
      <c r="D412" s="2440"/>
      <c r="E412" s="715" t="s">
        <v>1477</v>
      </c>
      <c r="F412" s="2429" t="s">
        <v>1478</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1464</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1479</v>
      </c>
      <c r="F417" s="2429" t="s">
        <v>1480</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592</v>
      </c>
      <c r="D421" s="2440"/>
      <c r="E421" s="691"/>
      <c r="F421" s="721" t="s">
        <v>1481</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1464</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546</v>
      </c>
      <c r="D423" s="2440"/>
      <c r="E423" s="719"/>
      <c r="F423" s="721" t="s">
        <v>1482</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1476</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2212</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1483</v>
      </c>
      <c r="F427" s="2429" t="s">
        <v>1484</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592</v>
      </c>
      <c r="D430" s="2440"/>
      <c r="E430" s="691"/>
      <c r="F430" s="721" t="s">
        <v>1485</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1464</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1486</v>
      </c>
      <c r="F433" s="2429" t="s">
        <v>1487</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592</v>
      </c>
      <c r="D442" s="2440"/>
      <c r="E442" s="719"/>
      <c r="F442" s="596" t="s">
        <v>1488</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1464</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1489</v>
      </c>
      <c r="F445" s="2429" t="s">
        <v>1490</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592</v>
      </c>
      <c r="D449" s="2440"/>
      <c r="E449" s="719"/>
      <c r="F449" s="721" t="s">
        <v>1494</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1464</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1471</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592</v>
      </c>
      <c r="D453" s="2556"/>
      <c r="E453" s="715" t="s">
        <v>1499</v>
      </c>
      <c r="F453" s="2429" t="s">
        <v>1500</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1464</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649999999999999"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592</v>
      </c>
      <c r="D457" s="2440"/>
      <c r="E457" s="715" t="s">
        <v>1505</v>
      </c>
      <c r="F457" s="2429" t="s">
        <v>1506</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1464</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1508</v>
      </c>
      <c r="F462" s="2429" t="s">
        <v>1509</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592</v>
      </c>
      <c r="D466" s="2440"/>
      <c r="E466" s="719"/>
      <c r="F466" s="721" t="s">
        <v>1481</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1464</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1510</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1511</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1512</v>
      </c>
      <c r="C472" s="539"/>
      <c r="E472" s="596"/>
      <c r="AE472" s="2441" t="s">
        <v>1513</v>
      </c>
      <c r="AF472" s="2441"/>
      <c r="AG472" s="2441"/>
      <c r="AH472" s="2441"/>
      <c r="AI472" s="2441"/>
      <c r="AJ472" s="2441"/>
      <c r="AK472" s="2441"/>
      <c r="AL472" s="591"/>
      <c r="AN472" s="597"/>
      <c r="AO472" s="550" t="s">
        <v>1491</v>
      </c>
      <c r="AP472" s="550">
        <v>5</v>
      </c>
      <c r="AT472" s="550" t="s">
        <v>1491</v>
      </c>
      <c r="AU472" s="550">
        <v>5</v>
      </c>
      <c r="AV472" s="752"/>
    </row>
    <row r="473" spans="1:58" s="550" customFormat="1" ht="12.75" hidden="1" customHeight="1">
      <c r="A473" s="539"/>
      <c r="B473" s="536" t="s">
        <v>1514</v>
      </c>
      <c r="C473" s="539"/>
      <c r="E473" s="596"/>
      <c r="AE473" s="591"/>
      <c r="AF473" s="591"/>
      <c r="AG473" s="591"/>
      <c r="AH473" s="591"/>
      <c r="AI473" s="591"/>
      <c r="AJ473" s="591"/>
      <c r="AK473" s="591"/>
      <c r="AL473" s="591"/>
      <c r="AN473" s="597"/>
      <c r="AO473" s="550" t="s">
        <v>1515</v>
      </c>
      <c r="AP473" s="550">
        <v>5</v>
      </c>
      <c r="AT473" s="550" t="s">
        <v>1492</v>
      </c>
      <c r="AU473" s="550">
        <v>5</v>
      </c>
      <c r="AV473" s="752"/>
    </row>
    <row r="474" spans="1:58" s="550" customFormat="1" ht="12.75" hidden="1" customHeight="1">
      <c r="A474" s="539"/>
      <c r="B474" s="539" t="s">
        <v>1516</v>
      </c>
      <c r="C474" s="539"/>
      <c r="E474" s="596"/>
      <c r="AE474" s="591"/>
      <c r="AF474" s="591"/>
      <c r="AG474" s="591"/>
      <c r="AH474" s="591"/>
      <c r="AI474" s="591"/>
      <c r="AJ474" s="591"/>
      <c r="AK474" s="591"/>
      <c r="AL474" s="591"/>
      <c r="AN474" s="597"/>
      <c r="AO474" s="550" t="s">
        <v>1493</v>
      </c>
      <c r="AP474" s="550">
        <v>5</v>
      </c>
      <c r="AQ474" s="539"/>
      <c r="AR474" s="539"/>
      <c r="AS474" s="755"/>
      <c r="AT474" s="550" t="s">
        <v>1493</v>
      </c>
      <c r="AU474" s="550">
        <v>5</v>
      </c>
      <c r="AV474" s="536"/>
    </row>
    <row r="475" spans="1:58" s="550" customFormat="1" ht="12.75" hidden="1" customHeight="1">
      <c r="A475" s="539"/>
      <c r="B475" s="539" t="s">
        <v>1517</v>
      </c>
      <c r="C475" s="539"/>
      <c r="E475" s="596"/>
      <c r="AE475" s="591"/>
      <c r="AF475" s="591"/>
      <c r="AG475" s="591"/>
      <c r="AH475" s="591"/>
      <c r="AI475" s="591"/>
      <c r="AJ475" s="591"/>
      <c r="AK475" s="591"/>
      <c r="AL475" s="591"/>
      <c r="AN475" s="597"/>
      <c r="AO475" s="550" t="s">
        <v>1495</v>
      </c>
      <c r="AP475" s="550">
        <v>5</v>
      </c>
      <c r="AQ475" s="539"/>
      <c r="AR475" s="539"/>
      <c r="AT475" s="550" t="s">
        <v>1495</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1496</v>
      </c>
      <c r="AP476" s="550">
        <v>5</v>
      </c>
      <c r="AQ476" s="539"/>
      <c r="AR476" s="539"/>
      <c r="AT476" s="550" t="s">
        <v>1496</v>
      </c>
      <c r="AU476" s="550">
        <v>5</v>
      </c>
    </row>
    <row r="477" spans="1:58" s="550" customFormat="1" ht="12.75" hidden="1" customHeight="1">
      <c r="A477" s="539"/>
      <c r="C477" s="712" t="s">
        <v>1518</v>
      </c>
      <c r="D477" s="570"/>
      <c r="AE477" s="591"/>
      <c r="AF477" s="591"/>
      <c r="AG477" s="596"/>
      <c r="AH477" s="596"/>
      <c r="AI477" s="596"/>
      <c r="AJ477" s="596"/>
      <c r="AK477" s="596"/>
      <c r="AL477" s="596"/>
      <c r="AN477" s="597"/>
      <c r="AO477" s="550" t="s">
        <v>1497</v>
      </c>
      <c r="AP477" s="550">
        <v>5</v>
      </c>
      <c r="AT477" s="550" t="s">
        <v>1497</v>
      </c>
      <c r="AU477" s="550">
        <v>5</v>
      </c>
    </row>
    <row r="478" spans="1:58" s="550" customFormat="1" ht="12.75" hidden="1" customHeight="1">
      <c r="A478" s="539"/>
      <c r="C478" s="2448" t="s">
        <v>592</v>
      </c>
      <c r="D478" s="2449"/>
      <c r="E478" s="761" t="s">
        <v>508</v>
      </c>
      <c r="F478" s="2526" t="s">
        <v>1519</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1520</v>
      </c>
      <c r="AP478" s="550">
        <v>5</v>
      </c>
      <c r="AS478" s="758"/>
      <c r="AT478" s="550" t="s">
        <v>1498</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1501</v>
      </c>
      <c r="AP479" s="550">
        <v>1</v>
      </c>
      <c r="AT479" s="550" t="s">
        <v>1501</v>
      </c>
      <c r="AU479" s="550">
        <v>1</v>
      </c>
    </row>
    <row r="480" spans="1:58" s="550" customFormat="1" ht="12.75" hidden="1" customHeight="1">
      <c r="C480" s="764"/>
      <c r="D480" s="727"/>
      <c r="E480" s="765"/>
      <c r="F480" s="2454" t="s">
        <v>592</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1330</v>
      </c>
      <c r="AI480" s="767"/>
      <c r="AJ480" s="767"/>
      <c r="AK480" s="742"/>
      <c r="AN480" s="597"/>
      <c r="AS480" s="755"/>
      <c r="AX480" s="755"/>
      <c r="BB480" s="755" t="s">
        <v>1502</v>
      </c>
      <c r="BF480" s="755" t="s">
        <v>1503</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5" t="s">
        <v>546</v>
      </c>
      <c r="D482" s="2456"/>
      <c r="E482" s="761" t="s">
        <v>758</v>
      </c>
      <c r="F482" s="769" t="s">
        <v>1521</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1504</v>
      </c>
      <c r="AX482" s="637">
        <v>3</v>
      </c>
      <c r="AY482" s="593"/>
      <c r="BB482" s="758">
        <v>0.4</v>
      </c>
      <c r="BC482" s="593">
        <v>3</v>
      </c>
      <c r="BF482" s="758">
        <v>0.4</v>
      </c>
      <c r="BG482" s="593">
        <v>4</v>
      </c>
    </row>
    <row r="483" spans="1:81" s="550" customFormat="1" ht="12.75" hidden="1" customHeight="1">
      <c r="C483" s="770" t="s">
        <v>1522</v>
      </c>
      <c r="F483" s="771" t="s">
        <v>1523</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1507</v>
      </c>
      <c r="AX483" s="637">
        <v>5</v>
      </c>
      <c r="AY483" s="593"/>
      <c r="BB483" s="758">
        <v>0.6</v>
      </c>
      <c r="BC483" s="593">
        <v>4</v>
      </c>
      <c r="BF483" s="758">
        <v>0.6</v>
      </c>
      <c r="BG483" s="593">
        <v>5</v>
      </c>
    </row>
    <row r="484" spans="1:81" s="550" customFormat="1" ht="12.75" hidden="1" customHeight="1">
      <c r="C484" s="751"/>
      <c r="D484" s="730"/>
      <c r="E484" s="772"/>
      <c r="F484" s="771" t="s">
        <v>1524</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1525</v>
      </c>
      <c r="G485" s="550"/>
      <c r="H485" s="550"/>
      <c r="I485" s="771"/>
      <c r="J485" s="771"/>
      <c r="K485" s="771"/>
      <c r="L485" s="771"/>
      <c r="M485" s="771"/>
      <c r="N485" s="771"/>
      <c r="O485" s="771"/>
      <c r="P485" s="771"/>
      <c r="Q485" s="771"/>
      <c r="R485" s="771"/>
      <c r="S485" s="771"/>
      <c r="T485" s="771"/>
      <c r="U485" s="771"/>
      <c r="V485" s="2434" t="s">
        <v>592</v>
      </c>
      <c r="W485" s="2434"/>
      <c r="X485" s="2434"/>
      <c r="Y485" s="771"/>
      <c r="Z485" s="771"/>
      <c r="AA485" s="771"/>
      <c r="AB485" s="771"/>
      <c r="AC485" s="771"/>
      <c r="AD485" s="609"/>
      <c r="AE485" s="609"/>
      <c r="AF485" s="609"/>
      <c r="AG485" s="613">
        <f>IF(AND($C$482="Yes",$V$487="N/A",$V$492="N/A",$V$496="N/A",$V$498="N/A"),(VLOOKUP(V485,$AW$481:$AX$483,2,FALSE)),0)</f>
        <v>0</v>
      </c>
      <c r="AH485" s="640" t="s">
        <v>1330</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1526</v>
      </c>
      <c r="G487" s="550"/>
      <c r="H487" s="550"/>
      <c r="I487" s="771"/>
      <c r="J487" s="771"/>
      <c r="K487" s="771"/>
      <c r="L487" s="771"/>
      <c r="M487" s="771"/>
      <c r="N487" s="771"/>
      <c r="O487" s="771"/>
      <c r="P487" s="771"/>
      <c r="Q487" s="771"/>
      <c r="R487" s="771"/>
      <c r="S487" s="771"/>
      <c r="T487" s="771"/>
      <c r="U487" s="771"/>
      <c r="V487" s="2434" t="s">
        <v>592</v>
      </c>
      <c r="W487" s="2434"/>
      <c r="X487" s="2434"/>
      <c r="Y487" s="771"/>
      <c r="Z487" s="771"/>
      <c r="AA487" s="771"/>
      <c r="AB487" s="771"/>
      <c r="AC487" s="771"/>
      <c r="AD487" s="609"/>
      <c r="AE487" s="609"/>
      <c r="AF487" s="609"/>
      <c r="AG487" s="613">
        <f>IF(AND($C$482="Yes",$V$485="N/A", $V$492="N/A",$V$496="N/A",$V$498="N/A"),(VLOOKUP(V487,$AT$481:$AU$483,2,FALSE)),0)</f>
        <v>0</v>
      </c>
      <c r="AH487" s="640" t="s">
        <v>1330</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1527</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1528</v>
      </c>
      <c r="AP489" s="637">
        <v>2</v>
      </c>
    </row>
    <row r="490" spans="1:81" s="550" customFormat="1" ht="12.75" hidden="1" customHeight="1">
      <c r="C490" s="762"/>
      <c r="F490" s="609" t="s">
        <v>1529</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1530</v>
      </c>
      <c r="AP490" s="550">
        <v>2</v>
      </c>
    </row>
    <row r="491" spans="1:81" s="596" customFormat="1" ht="12.75" hidden="1" customHeight="1">
      <c r="A491" s="550"/>
      <c r="B491" s="550"/>
      <c r="C491" s="739"/>
      <c r="D491" s="570"/>
      <c r="E491" s="570"/>
      <c r="F491" s="609" t="s">
        <v>1531</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1532</v>
      </c>
      <c r="AP491" s="550">
        <v>2</v>
      </c>
    </row>
    <row r="492" spans="1:81" s="550" customFormat="1" ht="12.75" hidden="1" customHeight="1">
      <c r="C492" s="777"/>
      <c r="F492" s="775" t="s">
        <v>1533</v>
      </c>
      <c r="M492" s="763"/>
      <c r="N492" s="763"/>
      <c r="O492" s="763"/>
      <c r="P492" s="763"/>
      <c r="Q492" s="551"/>
      <c r="R492" s="551"/>
      <c r="S492" s="551"/>
      <c r="T492" s="551"/>
      <c r="U492" s="551"/>
      <c r="V492" s="2434" t="s">
        <v>592</v>
      </c>
      <c r="W492" s="2434"/>
      <c r="X492" s="2434"/>
      <c r="Y492" s="551"/>
      <c r="Z492" s="551"/>
      <c r="AA492" s="551"/>
      <c r="AB492" s="551"/>
      <c r="AC492" s="551"/>
      <c r="AG492" s="613">
        <f>IF(AND($C$482="Yes",$V$485="N/A",$V$487="N/A", $V$496="N/A",$V$498="N/A"),(VLOOKUP($V$492,$AT$485:$AU$487,2,FALSE)),0)</f>
        <v>0</v>
      </c>
      <c r="AH492" s="640" t="s">
        <v>1330</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1534</v>
      </c>
      <c r="D494" s="714"/>
      <c r="E494" s="714"/>
      <c r="F494" s="780" t="s">
        <v>1535</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3"/>
      <c r="E495" s="2453"/>
      <c r="F495" s="771" t="s">
        <v>1536</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1537</v>
      </c>
      <c r="AP495" s="637">
        <v>5</v>
      </c>
      <c r="AQ495" s="539"/>
    </row>
    <row r="496" spans="1:81" s="570" customFormat="1" ht="12.75" hidden="1" customHeight="1">
      <c r="A496" s="679"/>
      <c r="B496" s="550"/>
      <c r="C496" s="762"/>
      <c r="D496" s="550"/>
      <c r="E496" s="550"/>
      <c r="F496" s="782" t="s">
        <v>1525</v>
      </c>
      <c r="G496" s="550"/>
      <c r="H496" s="550"/>
      <c r="I496" s="550"/>
      <c r="J496" s="550"/>
      <c r="K496" s="550"/>
      <c r="L496" s="550"/>
      <c r="M496" s="550"/>
      <c r="N496" s="550"/>
      <c r="O496" s="550"/>
      <c r="P496" s="550"/>
      <c r="Q496" s="550"/>
      <c r="R496" s="550"/>
      <c r="S496" s="550"/>
      <c r="T496" s="550"/>
      <c r="U496" s="550"/>
      <c r="V496" s="2434" t="s">
        <v>592</v>
      </c>
      <c r="W496" s="2434"/>
      <c r="X496" s="2434"/>
      <c r="Y496" s="550"/>
      <c r="Z496" s="550"/>
      <c r="AA496" s="550"/>
      <c r="AB496" s="550"/>
      <c r="AC496" s="550"/>
      <c r="AD496" s="550"/>
      <c r="AE496" s="550"/>
      <c r="AF496" s="550"/>
      <c r="AG496" s="613">
        <f>IF(AND($C$482="Yes",$V$485="N/A",V487="N/A",$V$492="N/A",$V$498="N/A"),(VLOOKUP($V$496,$BB$481:$BC$484,2,FALSE)),0)</f>
        <v>0</v>
      </c>
      <c r="AH496" s="640" t="s">
        <v>1330</v>
      </c>
      <c r="AI496" s="551"/>
      <c r="AJ496" s="550"/>
      <c r="AK496" s="732"/>
      <c r="AL496" s="550"/>
      <c r="AM496" s="550"/>
      <c r="AN496" s="684"/>
      <c r="AO496" s="550" t="s">
        <v>1538</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1539</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1526</v>
      </c>
      <c r="G498" s="766"/>
      <c r="H498" s="766"/>
      <c r="I498" s="727"/>
      <c r="J498" s="727"/>
      <c r="K498" s="727"/>
      <c r="L498" s="727"/>
      <c r="M498" s="727"/>
      <c r="N498" s="727"/>
      <c r="O498" s="727"/>
      <c r="P498" s="727"/>
      <c r="Q498" s="727"/>
      <c r="R498" s="727"/>
      <c r="S498" s="727"/>
      <c r="T498" s="727"/>
      <c r="U498" s="727"/>
      <c r="V498" s="2434" t="s">
        <v>592</v>
      </c>
      <c r="W498" s="2434"/>
      <c r="X498" s="2434"/>
      <c r="Y498" s="727"/>
      <c r="Z498" s="727"/>
      <c r="AA498" s="727"/>
      <c r="AB498" s="727"/>
      <c r="AC498" s="727"/>
      <c r="AD498" s="727"/>
      <c r="AE498" s="727"/>
      <c r="AF498" s="727"/>
      <c r="AG498" s="783">
        <f>IF(AND($C$482="Yes",$V$485="N/A",$V$487="N/A",$V$492="N/A",$V$496="N/A"),(VLOOKUP($V$498,$BF$481:$BG$483,2,FALSE)),0)</f>
        <v>0</v>
      </c>
      <c r="AH498" s="768" t="s">
        <v>1330</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1540</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592</v>
      </c>
      <c r="D501" s="2449"/>
      <c r="E501" s="761" t="s">
        <v>508</v>
      </c>
      <c r="F501" s="2526" t="s">
        <v>1519</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592</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1330</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592</v>
      </c>
      <c r="D505" s="2449"/>
      <c r="E505" s="761" t="s">
        <v>758</v>
      </c>
      <c r="F505" s="2450" t="s">
        <v>1541</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1542</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2" t="s">
        <v>592</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1330</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8" t="s">
        <v>592</v>
      </c>
      <c r="D510" s="2449"/>
      <c r="E510" s="761" t="s">
        <v>1543</v>
      </c>
      <c r="F510" s="780" t="s">
        <v>1544</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8"/>
      <c r="D512" s="2453"/>
      <c r="E512" s="772"/>
      <c r="F512" s="551" t="s">
        <v>1545</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1330</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592</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592</v>
      </c>
      <c r="D515" s="2521"/>
      <c r="F515" s="551" t="s">
        <v>1546</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1330</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1547</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1548</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592</v>
      </c>
      <c r="D519" s="2521"/>
      <c r="F519" s="795" t="s">
        <v>1549</v>
      </c>
      <c r="G519" s="2430" t="s">
        <v>1550</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1330</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1551</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592</v>
      </c>
      <c r="D523" s="2523"/>
      <c r="E523" s="802" t="s">
        <v>1552</v>
      </c>
      <c r="F523" s="771" t="s">
        <v>1553</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1330</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592</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1554</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1555</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2031</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1556</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2032</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1557</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1558</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1559</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1560</v>
      </c>
      <c r="B538" s="539" t="s">
        <v>1561</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1562</v>
      </c>
      <c r="AF538" s="2459"/>
      <c r="AG538" s="2459"/>
      <c r="AH538" s="2459"/>
      <c r="AI538" s="2459"/>
      <c r="AJ538" s="2459"/>
      <c r="AK538" s="2459"/>
      <c r="AL538" s="595"/>
      <c r="AM538" s="595"/>
      <c r="AN538" s="597"/>
    </row>
    <row r="539" spans="1:81" s="550" customFormat="1" ht="12.75" customHeight="1">
      <c r="A539" s="539"/>
      <c r="B539" s="539" t="s">
        <v>1326</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592</v>
      </c>
      <c r="D541" s="2440"/>
      <c r="E541" s="551"/>
      <c r="F541" s="2462" t="s">
        <v>1563</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546</v>
      </c>
      <c r="D544" s="2440"/>
      <c r="E544" s="806"/>
      <c r="F544" s="644" t="s">
        <v>1564</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1565</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2033</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1566</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90889000</v>
      </c>
      <c r="AQ550" s="2417"/>
      <c r="AR550" s="2417"/>
      <c r="AS550" s="550" t="s">
        <v>2172</v>
      </c>
    </row>
    <row r="551" spans="1:49" s="550" customFormat="1" ht="12.75" customHeight="1">
      <c r="A551" s="498"/>
      <c r="B551" s="447" t="s">
        <v>1567</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70059626</v>
      </c>
      <c r="AG551" s="2423"/>
      <c r="AH551" s="2423"/>
      <c r="AI551" s="2423"/>
      <c r="AJ551" s="2423"/>
      <c r="AK551" s="595"/>
      <c r="AL551" s="595"/>
      <c r="AM551" s="595"/>
      <c r="AN551" s="597"/>
    </row>
    <row r="552" spans="1:49" s="550" customFormat="1" ht="12.75" customHeight="1">
      <c r="A552" s="625"/>
      <c r="B552" s="625" t="s">
        <v>1568</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139644600</v>
      </c>
      <c r="AG552" s="2424"/>
      <c r="AH552" s="2424"/>
      <c r="AI552" s="2424"/>
      <c r="AJ552" s="2424"/>
      <c r="AK552" s="595"/>
      <c r="AL552" s="595"/>
      <c r="AM552" s="595"/>
      <c r="AN552" s="597"/>
      <c r="AP552" s="2417">
        <f>Application!AJ1045</f>
        <v>9088900</v>
      </c>
      <c r="AQ552" s="2417"/>
      <c r="AR552" s="2417"/>
      <c r="AS552" s="550" t="s">
        <v>1867</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0.99</v>
      </c>
      <c r="AG553" s="2425"/>
      <c r="AH553" s="2425"/>
      <c r="AI553" s="2425"/>
      <c r="AJ553" s="2425"/>
      <c r="AK553" s="595"/>
      <c r="AL553" s="595"/>
      <c r="AM553" s="595"/>
      <c r="AN553" s="597"/>
      <c r="AP553" s="2413">
        <f>Application!AJ1049</f>
        <v>18177800</v>
      </c>
      <c r="AQ553" s="2413"/>
      <c r="AR553" s="2413"/>
      <c r="AS553" s="550" t="s">
        <v>2173</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0.3</v>
      </c>
      <c r="AQ554" s="2432"/>
      <c r="AR554" s="2432"/>
      <c r="AS554" s="550" t="s">
        <v>2174</v>
      </c>
    </row>
    <row r="555" spans="1:49" s="550" customFormat="1" ht="12.75" customHeight="1">
      <c r="A555" s="624"/>
      <c r="B555" s="2499" t="s">
        <v>2034</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112377900</v>
      </c>
      <c r="AQ556" s="2433"/>
      <c r="AR556" s="2433"/>
      <c r="AS556" s="550" t="s">
        <v>2176</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139644600</v>
      </c>
      <c r="AQ557" s="2417"/>
      <c r="AR557" s="2417"/>
      <c r="AS557" s="550" t="s">
        <v>2175</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1569</v>
      </c>
      <c r="AK559" s="2508">
        <f>IFERROR(IF(AND(C541="N/A",C544="N/A"),0,IF(AF553=0,0,IF((AF553*100)&gt;12,12,(AF553*100)))),0)</f>
        <v>12</v>
      </c>
      <c r="AL559" s="2508"/>
      <c r="AM559" s="2509"/>
      <c r="AN559" s="597"/>
      <c r="AP559" s="2402">
        <f>AP556+(AP550*AP554)</f>
        <v>139644600</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2024</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1316</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2025</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1396</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1397</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1700</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1340</v>
      </c>
      <c r="AG578" s="2519"/>
      <c r="AH578" s="2519"/>
      <c r="AI578" s="2519"/>
      <c r="AJ578" s="2519"/>
      <c r="AK578" s="2519"/>
      <c r="AL578" s="2519"/>
      <c r="AN578" s="597"/>
    </row>
    <row r="579" spans="1:42" s="550" customFormat="1" ht="12.75" customHeight="1">
      <c r="B579" s="536"/>
      <c r="C579" s="616"/>
      <c r="D579" s="663"/>
      <c r="E579" s="838" t="s">
        <v>1701</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1702</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1703</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1704</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2177</v>
      </c>
      <c r="AP582" s="550" t="b">
        <f>IF(Application!AF418&gt;=25,TRUE,FALSE)</f>
        <v>1</v>
      </c>
    </row>
    <row r="583" spans="1:42" s="550" customFormat="1" ht="12.75" customHeight="1">
      <c r="B583" s="536"/>
      <c r="C583" s="616"/>
      <c r="D583" s="663"/>
      <c r="E583" s="838" t="s">
        <v>1705</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2178</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1706</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1398</v>
      </c>
      <c r="AG585" s="2519"/>
      <c r="AH585" s="2519"/>
      <c r="AI585" s="2519"/>
      <c r="AJ585" s="2519"/>
      <c r="AK585" s="2519"/>
      <c r="AL585" s="2519"/>
      <c r="AN585" s="597"/>
    </row>
    <row r="586" spans="1:42" s="550" customFormat="1" ht="12.75" customHeight="1">
      <c r="B586" s="536"/>
      <c r="C586" s="933"/>
      <c r="D586" s="663"/>
      <c r="E586" s="838" t="s">
        <v>1707</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1708</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1710</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1709</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1399</v>
      </c>
      <c r="AP590" s="550">
        <v>4</v>
      </c>
    </row>
    <row r="591" spans="1:42" s="550" customFormat="1" ht="12.75" customHeight="1">
      <c r="B591" s="536"/>
      <c r="C591" s="931"/>
      <c r="D591" s="663" t="s">
        <v>278</v>
      </c>
      <c r="E591" s="838" t="s">
        <v>1711</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1380</v>
      </c>
      <c r="AG591" s="2519"/>
      <c r="AH591" s="2519"/>
      <c r="AI591" s="2519"/>
      <c r="AJ591" s="2519"/>
      <c r="AK591" s="2519"/>
      <c r="AL591" s="2519"/>
      <c r="AN591" s="597"/>
      <c r="AO591" s="611" t="s">
        <v>1400</v>
      </c>
      <c r="AP591" s="550">
        <v>3</v>
      </c>
    </row>
    <row r="592" spans="1:42" s="550" customFormat="1" ht="12.75" customHeight="1">
      <c r="B592" s="536"/>
      <c r="C592" s="933"/>
      <c r="D592" s="663"/>
      <c r="E592" s="838" t="s">
        <v>1707</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1708</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2180</v>
      </c>
    </row>
    <row r="594" spans="1:53" s="550" customFormat="1" ht="12.75" customHeight="1">
      <c r="B594" s="536"/>
      <c r="C594" s="933"/>
      <c r="D594" s="663"/>
      <c r="E594" s="838" t="s">
        <v>1710</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2181</v>
      </c>
    </row>
    <row r="595" spans="1:53" s="550" customFormat="1" ht="12.75" customHeight="1">
      <c r="B595" s="536"/>
      <c r="C595" s="933"/>
      <c r="D595" s="663"/>
      <c r="E595" s="838" t="s">
        <v>1709</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2182</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1399</v>
      </c>
      <c r="E597" s="838" t="s">
        <v>1712</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1401</v>
      </c>
      <c r="AG597" s="2519"/>
      <c r="AH597" s="2519"/>
      <c r="AI597" s="2519"/>
      <c r="AJ597" s="2519"/>
      <c r="AK597" s="2519"/>
      <c r="AL597" s="2519"/>
      <c r="AN597" s="597"/>
      <c r="AO597" s="550" t="str">
        <f>X634</f>
        <v>N/A</v>
      </c>
    </row>
    <row r="598" spans="1:53" s="550" customFormat="1" ht="12.75" customHeight="1">
      <c r="B598" s="536"/>
      <c r="C598" s="933"/>
      <c r="D598" s="663"/>
      <c r="E598" s="838" t="s">
        <v>1713</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1714</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2183</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2184</v>
      </c>
    </row>
    <row r="601" spans="1:53" s="550" customFormat="1" ht="12.75" customHeight="1">
      <c r="B601" s="610"/>
      <c r="C601" s="931"/>
      <c r="D601" s="663"/>
      <c r="E601" s="536" t="s">
        <v>1868</v>
      </c>
      <c r="O601" s="2535" t="s">
        <v>1185</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1400</v>
      </c>
      <c r="E603" s="838" t="s">
        <v>1716</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1354</v>
      </c>
      <c r="AG603" s="2519"/>
      <c r="AH603" s="2519"/>
      <c r="AI603" s="2519"/>
      <c r="AJ603" s="2519"/>
      <c r="AK603" s="2519"/>
      <c r="AL603" s="2519"/>
      <c r="AN603" s="597"/>
    </row>
    <row r="604" spans="1:53" s="550" customFormat="1" ht="12.75" customHeight="1">
      <c r="B604" s="536"/>
      <c r="C604" s="931"/>
      <c r="D604" s="663"/>
      <c r="E604" s="838" t="s">
        <v>1715</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1402</v>
      </c>
      <c r="E606" s="936"/>
      <c r="F606" s="936"/>
      <c r="G606" s="936"/>
      <c r="H606" s="2443" t="s">
        <v>592</v>
      </c>
      <c r="I606" s="2443"/>
      <c r="J606" s="936"/>
      <c r="K606" s="936"/>
      <c r="L606" s="936"/>
      <c r="N606" s="22"/>
      <c r="O606" s="22"/>
      <c r="P606" s="22"/>
      <c r="Q606" s="1151" t="s">
        <v>2179</v>
      </c>
      <c r="R606" s="2536"/>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1717</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1718</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1719</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1720</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1402</v>
      </c>
      <c r="F614" s="936"/>
      <c r="G614" s="936"/>
      <c r="I614" s="2534" t="s">
        <v>592</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1403</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1404</v>
      </c>
      <c r="AP615" s="550">
        <v>2</v>
      </c>
    </row>
    <row r="616" spans="1:42" s="550" customFormat="1" ht="12.75" customHeight="1">
      <c r="B616" s="2391" t="s">
        <v>592</v>
      </c>
      <c r="C616" s="2391"/>
      <c r="D616" s="642"/>
      <c r="E616" s="2419" t="s">
        <v>1405</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1406</v>
      </c>
      <c r="AJ621" s="2426">
        <f>VLOOKUP($H$606,$AO$586:$AP$591,2,FALSE)+IF(R606=AO594,0,VLOOKUP($I$614,$AO$613:$AP$615,2,FALSE))</f>
        <v>0</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1407</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3" t="s">
        <v>1696</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1354</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1408</v>
      </c>
      <c r="F634" s="941"/>
      <c r="G634" s="941"/>
      <c r="H634" s="941"/>
      <c r="I634" s="941"/>
      <c r="J634" s="941"/>
      <c r="K634" s="941"/>
      <c r="L634" s="941"/>
      <c r="M634" s="941"/>
      <c r="N634" s="941"/>
      <c r="O634" s="941"/>
      <c r="P634" s="941"/>
      <c r="Q634" s="941"/>
      <c r="R634" s="941"/>
      <c r="U634" s="941"/>
      <c r="V634" s="941"/>
      <c r="W634" s="941"/>
      <c r="X634" s="2391" t="s">
        <v>592</v>
      </c>
      <c r="Y634" s="239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1409</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1410</v>
      </c>
      <c r="AG636" s="2519"/>
      <c r="AH636" s="2519"/>
      <c r="AI636" s="2519"/>
      <c r="AJ636" s="2519"/>
      <c r="AK636" s="2519"/>
      <c r="AL636" s="251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1399</v>
      </c>
      <c r="AP637" s="680">
        <v>4</v>
      </c>
    </row>
    <row r="638" spans="1:42" s="550" customFormat="1" ht="12.75" customHeight="1">
      <c r="B638" s="536"/>
      <c r="C638" s="931"/>
      <c r="D638" s="536" t="s">
        <v>1402</v>
      </c>
      <c r="E638" s="936"/>
      <c r="F638" s="936"/>
      <c r="G638" s="936"/>
      <c r="H638" s="2443" t="s">
        <v>688</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1400</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1411</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1412</v>
      </c>
      <c r="AJ640" s="2426">
        <f>VLOOKUP($H$638,$AO$605:$AP$607,2,FALSE)</f>
        <v>3</v>
      </c>
      <c r="AK640" s="2428"/>
      <c r="AL640" s="595"/>
      <c r="AN640" s="597"/>
      <c r="AO640" s="611" t="s">
        <v>1413</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1414</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19" t="s">
        <v>2100</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1354</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1415</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1410</v>
      </c>
      <c r="AG647" s="2519"/>
      <c r="AH647" s="2519"/>
      <c r="AI647" s="2519"/>
      <c r="AJ647" s="2519"/>
      <c r="AK647" s="2519"/>
      <c r="AL647" s="2519"/>
      <c r="AN647" s="597"/>
    </row>
    <row r="648" spans="1:42" s="550" customFormat="1" ht="12.75" customHeight="1">
      <c r="B648" s="536"/>
      <c r="C648" s="931"/>
      <c r="D648" s="663"/>
      <c r="E648" s="616" t="s">
        <v>1416</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1402</v>
      </c>
      <c r="E650" s="936"/>
      <c r="F650" s="936"/>
      <c r="G650" s="936"/>
      <c r="H650" s="2443" t="s">
        <v>592</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1417</v>
      </c>
      <c r="AJ652" s="2426">
        <f>VLOOKUP(H650,AT605:AU607,2,FALSE)</f>
        <v>0</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1418</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1419</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19" t="s">
        <v>1420</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1380</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19" t="s">
        <v>1421</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1401</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19" t="s">
        <v>1422</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1354</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592</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1399</v>
      </c>
      <c r="E669" s="2419" t="s">
        <v>1423</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1401</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1400</v>
      </c>
      <c r="E673" s="2419" t="s">
        <v>1424</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1354</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1411</v>
      </c>
      <c r="E677" s="2419" t="s">
        <v>1425</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1410</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1413</v>
      </c>
      <c r="E681" s="2419" t="s">
        <v>1426</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1427</v>
      </c>
      <c r="AG681" s="2519"/>
      <c r="AH681" s="2519"/>
      <c r="AI681" s="2519"/>
      <c r="AJ681" s="2519"/>
      <c r="AK681" s="2519"/>
      <c r="AL681" s="2519"/>
      <c r="AM681" s="596"/>
      <c r="AN681" s="597"/>
      <c r="AO681" s="611" t="s">
        <v>688</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1402</v>
      </c>
      <c r="E685" s="936"/>
      <c r="F685" s="936"/>
      <c r="G685" s="936"/>
      <c r="H685" s="2443" t="s">
        <v>278</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1428</v>
      </c>
      <c r="AJ687" s="2426">
        <f>VLOOKUP($H$685,$AO$633:$AP$640,2,FALSE)</f>
        <v>3</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2138</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2185</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2186</v>
      </c>
      <c r="AX690" s="1152">
        <f>Application!G753</f>
        <v>199</v>
      </c>
    </row>
    <row r="691" spans="1:51" s="550" customFormat="1" ht="12.75" customHeight="1">
      <c r="A691" s="679"/>
      <c r="B691" s="536"/>
      <c r="C691" s="948"/>
      <c r="D691" s="663" t="s">
        <v>688</v>
      </c>
      <c r="E691" s="2389" t="s">
        <v>2192</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1354</v>
      </c>
      <c r="AG691" s="2519"/>
      <c r="AH691" s="2519"/>
      <c r="AI691" s="2519"/>
      <c r="AJ691" s="2519"/>
      <c r="AK691" s="2519"/>
      <c r="AL691" s="2519"/>
      <c r="AN691" s="597"/>
      <c r="AW691" s="22" t="s">
        <v>2187</v>
      </c>
      <c r="AX691" s="550">
        <f>Application!DE753</f>
        <v>50</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2188</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2189</v>
      </c>
      <c r="AX693" s="550">
        <f>Application!DO753</f>
        <v>0</v>
      </c>
    </row>
    <row r="694" spans="1:51" s="550" customFormat="1" ht="12.75" customHeight="1">
      <c r="B694" s="536"/>
      <c r="C694" s="931"/>
      <c r="D694" s="663" t="s">
        <v>510</v>
      </c>
      <c r="E694" s="2419" t="s">
        <v>2136</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1354</v>
      </c>
      <c r="AG694" s="2519"/>
      <c r="AH694" s="2519"/>
      <c r="AI694" s="2519"/>
      <c r="AJ694" s="2519"/>
      <c r="AK694" s="2519"/>
      <c r="AL694" s="2519"/>
      <c r="AN694" s="597"/>
      <c r="AW694" s="22" t="s">
        <v>2190</v>
      </c>
      <c r="AX694" s="550">
        <f>AX691+AX692+AX693</f>
        <v>50</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2191</v>
      </c>
      <c r="AX695" s="550">
        <f>IFERROR(AX694/AX690,0)</f>
        <v>0.25125628140703515</v>
      </c>
      <c r="AY695" s="550">
        <f>IFERROR(AX694/(AX690-AX689),0)</f>
        <v>0.25125628140703515</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19" t="s">
        <v>2137</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1410</v>
      </c>
      <c r="AG699" s="2519"/>
      <c r="AH699" s="2519"/>
      <c r="AI699" s="2519"/>
      <c r="AJ699" s="2519"/>
      <c r="AK699" s="2519"/>
      <c r="AL699" s="2519"/>
      <c r="AN699" s="597"/>
      <c r="AO699" s="611" t="s">
        <v>510</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19" t="s">
        <v>1695</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1402</v>
      </c>
      <c r="E709" s="936"/>
      <c r="F709" s="936"/>
      <c r="G709" s="936"/>
      <c r="H709" s="2443" t="s">
        <v>510</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1429</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1407</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2139</v>
      </c>
      <c r="AJ711" s="2426">
        <f>VLOOKUP($H$709,$AO$703:$AP$706,2,FALSE)</f>
        <v>3</v>
      </c>
      <c r="AK711" s="2428"/>
      <c r="AL711" s="595"/>
      <c r="AM711" s="550"/>
      <c r="AN711" s="684"/>
      <c r="AP711" s="570" t="s">
        <v>1414</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1430</v>
      </c>
    </row>
    <row r="713" spans="1:43" s="570" customFormat="1" ht="12.75" customHeight="1">
      <c r="A713" s="550"/>
      <c r="B713" s="536"/>
      <c r="C713" s="539" t="s">
        <v>1431</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1432</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1433</v>
      </c>
    </row>
    <row r="715" spans="1:43" s="570" customFormat="1" ht="12.75" customHeight="1">
      <c r="A715" s="637"/>
      <c r="B715" s="536"/>
      <c r="C715" s="931"/>
      <c r="D715" s="663" t="s">
        <v>688</v>
      </c>
      <c r="E715" s="2531" t="s">
        <v>1697</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1354</v>
      </c>
      <c r="AG715" s="2519"/>
      <c r="AH715" s="2519"/>
      <c r="AI715" s="2519"/>
      <c r="AJ715" s="2519"/>
      <c r="AK715" s="2519"/>
      <c r="AL715" s="2519"/>
      <c r="AM715" s="550"/>
      <c r="AN715" s="684"/>
      <c r="AP715" s="570" t="s">
        <v>1434</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1435</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1436</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1438</v>
      </c>
    </row>
    <row r="719" spans="1:43" s="570" customFormat="1" ht="13.9" customHeight="1">
      <c r="A719" s="550"/>
      <c r="B719" s="536"/>
      <c r="C719" s="931"/>
      <c r="D719" s="663" t="s">
        <v>510</v>
      </c>
      <c r="E719" s="2532" t="s">
        <v>1437</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1410</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1402</v>
      </c>
      <c r="E723" s="936"/>
      <c r="F723" s="936"/>
      <c r="G723" s="936"/>
      <c r="H723" s="2443" t="s">
        <v>592</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1439</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1440</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19" t="s">
        <v>1698</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1354</v>
      </c>
      <c r="AG729" s="2519"/>
      <c r="AH729" s="2519"/>
      <c r="AI729" s="2519"/>
      <c r="AJ729" s="2519"/>
      <c r="AK729" s="2519"/>
      <c r="AL729" s="2519"/>
      <c r="AM729" s="550"/>
      <c r="AN729" s="684"/>
      <c r="AT729" s="14"/>
      <c r="AU729" s="14"/>
      <c r="AV729" s="14"/>
      <c r="AW729" s="14"/>
      <c r="AX729" s="14"/>
      <c r="AY729" s="14"/>
      <c r="AZ729" s="14"/>
    </row>
    <row r="730" spans="1:81" s="570" customFormat="1">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19" t="s">
        <v>1441</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1410</v>
      </c>
      <c r="AG732" s="2519"/>
      <c r="AH732" s="2519"/>
      <c r="AI732" s="2519"/>
      <c r="AJ732" s="2519"/>
      <c r="AK732" s="2519"/>
      <c r="AL732" s="2519"/>
      <c r="AM732" s="550"/>
      <c r="AN732" s="684"/>
      <c r="AT732" s="14"/>
      <c r="AU732" s="14"/>
      <c r="AV732" s="14"/>
      <c r="AW732" s="14"/>
      <c r="AX732" s="14"/>
      <c r="AY732" s="14"/>
      <c r="AZ732" s="14"/>
    </row>
    <row r="733" spans="1:81" s="570" customFormat="1">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1402</v>
      </c>
      <c r="E735" s="936"/>
      <c r="F735" s="936"/>
      <c r="G735" s="936"/>
      <c r="H735" s="2443" t="s">
        <v>592</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1442</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1443</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19" t="s">
        <v>1444</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1354</v>
      </c>
      <c r="AG741" s="2519"/>
      <c r="AH741" s="2519"/>
      <c r="AI741" s="2519"/>
      <c r="AJ741" s="2519"/>
      <c r="AK741" s="2519"/>
      <c r="AL741" s="2519"/>
      <c r="AM741" s="550"/>
      <c r="AN741" s="684"/>
      <c r="AT741" s="14"/>
      <c r="AU741" s="14"/>
      <c r="AV741" s="14"/>
      <c r="AW741" s="14"/>
      <c r="AX741" s="14"/>
      <c r="AY741" s="14"/>
      <c r="AZ741" s="14"/>
    </row>
    <row r="742" spans="1:81" s="570" customFormat="1">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19" t="s">
        <v>1445</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1410</v>
      </c>
      <c r="AG746" s="2519"/>
      <c r="AH746" s="2519"/>
      <c r="AI746" s="2519"/>
      <c r="AJ746" s="2519"/>
      <c r="AK746" s="2519"/>
      <c r="AL746" s="2519"/>
      <c r="AM746" s="550"/>
      <c r="AN746" s="684"/>
      <c r="AO746" s="30"/>
      <c r="AP746" s="14"/>
    </row>
    <row r="747" spans="1:81" s="570" customFormat="1">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1402</v>
      </c>
      <c r="E751" s="936"/>
      <c r="F751" s="936"/>
      <c r="G751" s="936"/>
      <c r="H751" s="2443" t="s">
        <v>592</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1446</v>
      </c>
      <c r="AJ753" s="2426">
        <f>VLOOKUP($H$751,$AO$680:$AP$682,2,FALSE)</f>
        <v>0</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1436</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19" t="s">
        <v>1447</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1410</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19" t="s">
        <v>1448</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1427</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1402</v>
      </c>
      <c r="E763" s="936"/>
      <c r="F763" s="936"/>
      <c r="G763" s="936"/>
      <c r="H763" s="2443" t="s">
        <v>592</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1449</v>
      </c>
      <c r="AJ765" s="2426">
        <f>VLOOKUP($H$763,$AO$697:$AP$699,2,FALSE)</f>
        <v>0</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1438</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19" t="s">
        <v>1694</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1410</v>
      </c>
      <c r="AG769" s="2519"/>
      <c r="AH769" s="2519"/>
      <c r="AI769" s="2519"/>
      <c r="AJ769" s="2519"/>
      <c r="AK769" s="2519"/>
      <c r="AL769" s="2519"/>
      <c r="AM769" s="613"/>
      <c r="AN769" s="684"/>
      <c r="AO769" s="550" t="s">
        <v>592</v>
      </c>
      <c r="AP769" s="673">
        <v>0</v>
      </c>
    </row>
    <row r="770" spans="1:81" s="570" customFormat="1" ht="13.7"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0" t="s">
        <v>1699</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1354</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1402</v>
      </c>
      <c r="E779" s="936"/>
      <c r="F779" s="936"/>
      <c r="G779" s="936"/>
      <c r="H779" s="2443" t="s">
        <v>592</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1450</v>
      </c>
      <c r="AJ781" s="2426">
        <f>VLOOKUP($H$779,$AO$769:$AP$771,2,FALSE)</f>
        <v>0</v>
      </c>
      <c r="AK781" s="242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1451</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19" t="s">
        <v>2035</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1354</v>
      </c>
      <c r="AG785" s="2519"/>
      <c r="AH785" s="2519"/>
      <c r="AI785" s="2519"/>
      <c r="AJ785" s="2519"/>
      <c r="AK785" s="2519"/>
      <c r="AL785" s="2519"/>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1402</v>
      </c>
      <c r="E790" s="936"/>
      <c r="F790" s="936"/>
      <c r="G790" s="936"/>
      <c r="H790" s="2443" t="s">
        <v>546</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1452</v>
      </c>
      <c r="AJ792" s="2426">
        <f>VLOOKUP($H$790,$AO$784:$AP$785,2,FALSE)</f>
        <v>3</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1453</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1570</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3" t="s">
        <v>1571</v>
      </c>
      <c r="U802" s="2514"/>
      <c r="V802" s="2514"/>
      <c r="W802" s="2514"/>
      <c r="X802" s="2514"/>
      <c r="Y802" s="2515"/>
      <c r="Z802" s="2513" t="s">
        <v>1572</v>
      </c>
      <c r="AA802" s="2514"/>
      <c r="AB802" s="2514"/>
      <c r="AC802" s="2514"/>
      <c r="AD802" s="2514"/>
      <c r="AE802" s="2515"/>
      <c r="AF802" s="2513" t="s">
        <v>1573</v>
      </c>
      <c r="AG802" s="2514"/>
      <c r="AH802" s="2514"/>
      <c r="AI802" s="2514"/>
      <c r="AJ802" s="2514"/>
      <c r="AK802" s="251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c r="A804" s="819" t="s">
        <v>758</v>
      </c>
      <c r="B804" s="2470" t="s">
        <v>1306</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c r="A805" s="819" t="s">
        <v>1543</v>
      </c>
      <c r="B805" s="2470" t="s">
        <v>1315</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c r="A806" s="819" t="s">
        <v>1552</v>
      </c>
      <c r="B806" s="2470" t="s">
        <v>1325</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c r="A807" s="819" t="s">
        <v>1574</v>
      </c>
      <c r="B807" s="2470" t="s">
        <v>1335</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c r="A808" s="820" t="s">
        <v>1575</v>
      </c>
      <c r="B808" s="2470" t="s">
        <v>1576</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c r="A809" s="535"/>
      <c r="B809" s="601"/>
      <c r="C809" s="2476" t="s">
        <v>1577</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c r="A810" s="600"/>
      <c r="B810" s="601"/>
      <c r="C810" s="2476" t="s">
        <v>1578</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c r="A811" s="820" t="s">
        <v>1363</v>
      </c>
      <c r="B811" s="2470" t="s">
        <v>1579</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c r="A812" s="819" t="s">
        <v>1372</v>
      </c>
      <c r="B812" s="2470" t="s">
        <v>1373</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idden="1">
      <c r="A813" s="820" t="s">
        <v>590</v>
      </c>
      <c r="B813" s="2470" t="s">
        <v>1580</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1378</v>
      </c>
      <c r="B814" s="2470" t="s">
        <v>1581</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1382</v>
      </c>
      <c r="B815" s="2470" t="s">
        <v>1383</v>
      </c>
      <c r="C815" s="2470"/>
      <c r="D815" s="2470"/>
      <c r="E815" s="2470"/>
      <c r="F815" s="2470"/>
      <c r="G815" s="2470"/>
      <c r="H815" s="2470"/>
      <c r="I815" s="2470"/>
      <c r="J815" s="2470"/>
      <c r="K815" s="2470"/>
      <c r="L815" s="2470"/>
      <c r="M815" s="2470"/>
      <c r="N815" s="2470"/>
      <c r="O815" s="2470"/>
      <c r="P815" s="2470"/>
      <c r="Q815" s="2470"/>
      <c r="R815" s="2470"/>
      <c r="S815" s="2471"/>
      <c r="T815" s="2472">
        <f>AK338</f>
        <v>10</v>
      </c>
      <c r="U815" s="2472"/>
      <c r="V815" s="2472"/>
      <c r="W815" s="2472"/>
      <c r="X815" s="2472"/>
      <c r="Y815" s="2472"/>
      <c r="Z815" s="2481">
        <v>10</v>
      </c>
      <c r="AA815" s="2482"/>
      <c r="AB815" s="2482"/>
      <c r="AC815" s="2482"/>
      <c r="AD815" s="2482"/>
      <c r="AE815" s="2483"/>
      <c r="AF815" s="2481">
        <f>IF(T815&gt;Z815,Z815,T815)</f>
        <v>10</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1582</v>
      </c>
      <c r="D816" s="823"/>
      <c r="E816" s="823"/>
      <c r="F816" s="823"/>
      <c r="G816" s="823"/>
      <c r="H816" s="823"/>
      <c r="I816" s="823"/>
      <c r="J816" s="823"/>
      <c r="K816" s="823"/>
      <c r="L816" s="823"/>
      <c r="M816" s="823"/>
      <c r="N816" s="823"/>
      <c r="O816" s="823"/>
      <c r="P816" s="823"/>
      <c r="Q816" s="823"/>
      <c r="R816" s="821"/>
      <c r="S816" s="824"/>
      <c r="T816" s="2478">
        <f>AK338</f>
        <v>10</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1455</v>
      </c>
      <c r="B817" s="2470" t="s">
        <v>846</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1560</v>
      </c>
      <c r="B818" s="2470" t="s">
        <v>1561</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2023</v>
      </c>
      <c r="B819" s="2470" t="s">
        <v>1583</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4" t="s">
        <v>1584</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1585</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6" t="s">
        <v>1586</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120</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Post-award Instructions</vt:lpstr>
      <vt:lpstr>15 Year Pro Forma</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2025-05-20T22:12:32Z</cp:lastPrinted>
  <dcterms:created xsi:type="dcterms:W3CDTF">2007-12-27T18:26:28Z</dcterms:created>
  <dcterms:modified xsi:type="dcterms:W3CDTF">2025-06-05T17:54:25Z</dcterms:modified>
</cp:coreProperties>
</file>