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4% Financing" sheetId="1" r:id="rId1"/>
  </sheets>
  <definedNames>
    <definedName name="_xlnm.Print_Area" localSheetId="0">'4% Financing'!$A$1:$N$103</definedName>
    <definedName name="_xlnm.Print_Titles" localSheetId="0">'4% Financing'!$1:$1</definedName>
    <definedName name="TOTALTDC">'4% Financing'!$C$97</definedName>
    <definedName name="TOTAverage">'4% Financing'!$C$98</definedName>
  </definedNames>
  <calcPr calcId="145621"/>
</workbook>
</file>

<file path=xl/calcChain.xml><?xml version="1.0" encoding="utf-8"?>
<calcChain xmlns="http://schemas.openxmlformats.org/spreadsheetml/2006/main">
  <c r="F96" i="1" l="1"/>
  <c r="J95" i="1"/>
  <c r="D95" i="1"/>
  <c r="J94" i="1"/>
  <c r="J93" i="1"/>
  <c r="D93" i="1"/>
  <c r="D94" i="1"/>
  <c r="J92" i="1" l="1"/>
  <c r="D92" i="1"/>
  <c r="J91" i="1"/>
  <c r="D91" i="1"/>
  <c r="D88" i="1"/>
  <c r="F87" i="1"/>
  <c r="J86" i="1"/>
  <c r="D86" i="1"/>
  <c r="J85" i="1"/>
  <c r="F85" i="1"/>
  <c r="J84" i="1"/>
  <c r="F84" i="1"/>
  <c r="J83" i="1"/>
  <c r="D83" i="1"/>
  <c r="J82" i="1"/>
  <c r="J81" i="1"/>
  <c r="J80" i="1"/>
  <c r="F80" i="1"/>
  <c r="J79" i="1"/>
  <c r="D79" i="1"/>
  <c r="J78" i="1"/>
  <c r="F78" i="1"/>
  <c r="F77" i="1"/>
  <c r="J76" i="1"/>
  <c r="J75" i="1"/>
  <c r="F75" i="1"/>
  <c r="J74" i="1"/>
  <c r="J72" i="1"/>
  <c r="F69" i="1"/>
  <c r="J66" i="1" l="1"/>
  <c r="F64" i="1"/>
  <c r="F63" i="1" l="1"/>
  <c r="J62" i="1"/>
  <c r="F62" i="1"/>
  <c r="J61" i="1" l="1"/>
  <c r="F61" i="1"/>
  <c r="J67" i="1"/>
  <c r="F65" i="1"/>
  <c r="J60" i="1"/>
  <c r="J59" i="1"/>
  <c r="J58" i="1"/>
  <c r="J57" i="1"/>
  <c r="F57" i="1"/>
  <c r="J54" i="1"/>
  <c r="J53" i="1"/>
  <c r="D53" i="1"/>
  <c r="J50" i="1"/>
  <c r="J47" i="1"/>
  <c r="J52" i="1"/>
  <c r="F52" i="1"/>
  <c r="J51" i="1"/>
  <c r="J49" i="1"/>
  <c r="F49" i="1"/>
  <c r="J48" i="1" l="1"/>
  <c r="F48" i="1"/>
  <c r="J46" i="1" l="1"/>
  <c r="F45" i="1"/>
  <c r="J44" i="1"/>
  <c r="J33" i="1"/>
  <c r="F33" i="1"/>
  <c r="J31" i="1"/>
  <c r="F31" i="1"/>
  <c r="F30" i="1"/>
  <c r="J30" i="1"/>
  <c r="J29" i="1"/>
  <c r="F29" i="1"/>
  <c r="D43" i="1"/>
  <c r="F42" i="1"/>
  <c r="J42" i="1"/>
  <c r="J41" i="1"/>
  <c r="J37" i="1"/>
  <c r="J36" i="1"/>
  <c r="J35" i="1"/>
  <c r="J34" i="1"/>
  <c r="J28" i="1"/>
  <c r="F27" i="1"/>
  <c r="J24" i="1"/>
  <c r="J22" i="1"/>
  <c r="F20" i="1"/>
  <c r="J26" i="1"/>
  <c r="J25" i="1"/>
  <c r="J23" i="1"/>
  <c r="J21" i="1"/>
  <c r="D21" i="1"/>
  <c r="J19" i="1"/>
  <c r="J17" i="1"/>
  <c r="J16" i="1"/>
  <c r="J14" i="1"/>
  <c r="F14" i="1"/>
  <c r="J13" i="1"/>
  <c r="F13" i="1"/>
  <c r="J12" i="1"/>
  <c r="F11" i="1"/>
  <c r="J10" i="1"/>
  <c r="F9" i="1"/>
  <c r="J9" i="1"/>
  <c r="F8" i="1"/>
  <c r="J7" i="1"/>
  <c r="J6" i="1"/>
  <c r="F4" i="1"/>
  <c r="J5" i="1"/>
  <c r="F5" i="1"/>
  <c r="J3" i="1"/>
  <c r="E72" i="1"/>
  <c r="G72" i="1"/>
  <c r="I72" i="1"/>
  <c r="K72" i="1"/>
  <c r="N72" i="1"/>
  <c r="E73" i="1"/>
  <c r="G73" i="1"/>
  <c r="I73" i="1"/>
  <c r="K73" i="1"/>
  <c r="N73" i="1"/>
  <c r="E74" i="1"/>
  <c r="G74" i="1"/>
  <c r="I74" i="1"/>
  <c r="K74" i="1"/>
  <c r="N74" i="1"/>
  <c r="E75" i="1"/>
  <c r="G75" i="1"/>
  <c r="I75" i="1"/>
  <c r="K75" i="1"/>
  <c r="N75" i="1"/>
  <c r="E76" i="1"/>
  <c r="G76" i="1"/>
  <c r="I76" i="1"/>
  <c r="K76" i="1"/>
  <c r="N76" i="1"/>
  <c r="E77" i="1"/>
  <c r="G77" i="1"/>
  <c r="I77" i="1"/>
  <c r="K77" i="1"/>
  <c r="N77" i="1"/>
  <c r="E78" i="1"/>
  <c r="G78" i="1"/>
  <c r="I78" i="1"/>
  <c r="K78" i="1"/>
  <c r="N78" i="1"/>
  <c r="E79" i="1"/>
  <c r="G79" i="1"/>
  <c r="I79" i="1"/>
  <c r="K79" i="1"/>
  <c r="N79" i="1"/>
  <c r="E80" i="1"/>
  <c r="G80" i="1"/>
  <c r="I80" i="1"/>
  <c r="K80" i="1"/>
  <c r="N80" i="1"/>
  <c r="E81" i="1"/>
  <c r="G81" i="1"/>
  <c r="I81" i="1"/>
  <c r="K81" i="1"/>
  <c r="N81" i="1"/>
  <c r="E82" i="1"/>
  <c r="G82" i="1"/>
  <c r="I82" i="1"/>
  <c r="K82" i="1"/>
  <c r="N82" i="1"/>
  <c r="E83" i="1"/>
  <c r="G83" i="1"/>
  <c r="I83" i="1"/>
  <c r="K83" i="1"/>
  <c r="N83" i="1"/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8" i="1"/>
  <c r="I69" i="1"/>
  <c r="I70" i="1"/>
  <c r="I71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29" i="1"/>
  <c r="I30" i="1"/>
  <c r="I31" i="1"/>
  <c r="I32" i="1"/>
  <c r="I33" i="1"/>
  <c r="I65" i="1"/>
  <c r="I67" i="1"/>
  <c r="D97" i="1" l="1"/>
  <c r="L98" i="1" l="1"/>
  <c r="M98" i="1"/>
  <c r="J98" i="1"/>
  <c r="H98" i="1"/>
  <c r="F98" i="1"/>
  <c r="D98" i="1"/>
  <c r="C98" i="1"/>
  <c r="C97" i="1"/>
  <c r="M97" i="1"/>
  <c r="J97" i="1"/>
  <c r="H97" i="1"/>
  <c r="F97" i="1"/>
  <c r="K62" i="1"/>
  <c r="G70" i="1"/>
  <c r="G69" i="1"/>
  <c r="N66" i="1"/>
  <c r="N68" i="1"/>
  <c r="N69" i="1"/>
  <c r="N70" i="1"/>
  <c r="N71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29" i="1"/>
  <c r="N30" i="1"/>
  <c r="N31" i="1"/>
  <c r="N32" i="1"/>
  <c r="N33" i="1"/>
  <c r="N65" i="1"/>
  <c r="N67" i="1"/>
  <c r="N64" i="1"/>
  <c r="K64" i="1"/>
  <c r="N63" i="1"/>
  <c r="G6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6" i="1"/>
  <c r="K68" i="1"/>
  <c r="K69" i="1"/>
  <c r="K70" i="1"/>
  <c r="K71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29" i="1"/>
  <c r="K30" i="1"/>
  <c r="K31" i="1"/>
  <c r="K32" i="1"/>
  <c r="K33" i="1"/>
  <c r="K65" i="1"/>
  <c r="K67" i="1"/>
  <c r="K2" i="1"/>
  <c r="I2" i="1"/>
  <c r="I98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4" i="1"/>
  <c r="G66" i="1"/>
  <c r="G68" i="1"/>
  <c r="G71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29" i="1"/>
  <c r="G30" i="1"/>
  <c r="G31" i="1"/>
  <c r="G32" i="1"/>
  <c r="G33" i="1"/>
  <c r="G65" i="1"/>
  <c r="G67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8" i="1"/>
  <c r="E69" i="1"/>
  <c r="E70" i="1"/>
  <c r="E71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29" i="1"/>
  <c r="E30" i="1"/>
  <c r="E31" i="1"/>
  <c r="E32" i="1"/>
  <c r="E33" i="1"/>
  <c r="E65" i="1"/>
  <c r="E67" i="1"/>
  <c r="E2" i="1"/>
  <c r="N98" i="1" l="1"/>
  <c r="K99" i="1"/>
  <c r="E98" i="1"/>
  <c r="I99" i="1"/>
  <c r="K98" i="1"/>
  <c r="G99" i="1"/>
  <c r="N99" i="1"/>
  <c r="E99" i="1"/>
  <c r="G62" i="1"/>
  <c r="G98" i="1" l="1"/>
</calcChain>
</file>

<file path=xl/sharedStrings.xml><?xml version="1.0" encoding="utf-8"?>
<sst xmlns="http://schemas.openxmlformats.org/spreadsheetml/2006/main" count="208" uniqueCount="208">
  <si>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</si>
  <si>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</si>
  <si>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</si>
  <si>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</si>
  <si>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</si>
  <si>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</si>
  <si>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</si>
  <si>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</si>
  <si>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Tax Credit Factor</t>
  </si>
  <si>
    <t>Investor Equity as % of TDC</t>
  </si>
  <si>
    <t>Total</t>
  </si>
  <si>
    <t>Average</t>
  </si>
  <si>
    <t>Weighted Average</t>
  </si>
  <si>
    <t>Alpha Square</t>
  </si>
  <si>
    <t>Total Development Cost (TDC)*</t>
  </si>
  <si>
    <t>Tax Credit Investor Equity</t>
  </si>
  <si>
    <t>CA-2013-800</t>
  </si>
  <si>
    <t>CA-2013-801</t>
  </si>
  <si>
    <t>CA-2013-803</t>
  </si>
  <si>
    <t>CA-2013-805</t>
  </si>
  <si>
    <t>CA-2013-806</t>
  </si>
  <si>
    <t>CA-2013-809</t>
  </si>
  <si>
    <t>CA-2013-810</t>
  </si>
  <si>
    <t>CA-2013-811</t>
  </si>
  <si>
    <t>CA-2013-812</t>
  </si>
  <si>
    <t>CA-2013-813</t>
  </si>
  <si>
    <t>CA-2013-814</t>
  </si>
  <si>
    <t>CA-2013-815</t>
  </si>
  <si>
    <t>CA-2013-816</t>
  </si>
  <si>
    <t>CA-2013-817</t>
  </si>
  <si>
    <t>CA-2013-818</t>
  </si>
  <si>
    <t>CA-2013-819</t>
  </si>
  <si>
    <t>CA-2013-820</t>
  </si>
  <si>
    <t>CA-2013-821</t>
  </si>
  <si>
    <t>CA-2013-822</t>
  </si>
  <si>
    <t>CA-2013-823</t>
  </si>
  <si>
    <t>CA-2013-824</t>
  </si>
  <si>
    <t>CA-2013-825</t>
  </si>
  <si>
    <t>CA-2013-826</t>
  </si>
  <si>
    <t>CA-2013-827</t>
  </si>
  <si>
    <t>CA-2013-828</t>
  </si>
  <si>
    <t>CA-2013-829</t>
  </si>
  <si>
    <t>CA-2013-830</t>
  </si>
  <si>
    <t>CA-2013-836</t>
  </si>
  <si>
    <t>CA-2013-837</t>
  </si>
  <si>
    <t>CA-2013-838</t>
  </si>
  <si>
    <t>CA-2013-839</t>
  </si>
  <si>
    <t>CA-2013-840</t>
  </si>
  <si>
    <t>CA-2013-841</t>
  </si>
  <si>
    <t>CA-2013-843</t>
  </si>
  <si>
    <t>CA-2013-844</t>
  </si>
  <si>
    <t>CA-2013-845</t>
  </si>
  <si>
    <t>CA-2013-846</t>
  </si>
  <si>
    <t>CA-2013-847</t>
  </si>
  <si>
    <t>CA-2013-848</t>
  </si>
  <si>
    <t>CA-2013-849</t>
  </si>
  <si>
    <t>CA-2013-850</t>
  </si>
  <si>
    <t>CA-2013-851</t>
  </si>
  <si>
    <t>CA-2013-852</t>
  </si>
  <si>
    <t>CA-2013-853</t>
  </si>
  <si>
    <t>CA-2013-854</t>
  </si>
  <si>
    <t>CA-2013-855</t>
  </si>
  <si>
    <t>CA-2013-856</t>
  </si>
  <si>
    <t>CA-2013-857</t>
  </si>
  <si>
    <t>CA-2013-858</t>
  </si>
  <si>
    <t>CA-2013-859</t>
  </si>
  <si>
    <t>CA-2013-861</t>
  </si>
  <si>
    <t>CA-2013-862</t>
  </si>
  <si>
    <t>CA-2013-863</t>
  </si>
  <si>
    <t>CA-2013-864</t>
  </si>
  <si>
    <t>CA-2013-865</t>
  </si>
  <si>
    <t>CA-2013-866</t>
  </si>
  <si>
    <t>CA-2013-867</t>
  </si>
  <si>
    <t>CA-2013-868</t>
  </si>
  <si>
    <t>CA-2013-870</t>
  </si>
  <si>
    <t>CA-2013-872</t>
  </si>
  <si>
    <t>CA-2013-873</t>
  </si>
  <si>
    <t>CA-2013-874</t>
  </si>
  <si>
    <t>CA-2013-875</t>
  </si>
  <si>
    <t>CA-2013-876</t>
  </si>
  <si>
    <t>CA-2013-877</t>
  </si>
  <si>
    <t>CA-2013-878</t>
  </si>
  <si>
    <t>CA-2013-879</t>
  </si>
  <si>
    <t>CA-2013-886</t>
  </si>
  <si>
    <t>CA-2013-888</t>
  </si>
  <si>
    <t>CA-2013-889</t>
  </si>
  <si>
    <t>CA-2013-890</t>
  </si>
  <si>
    <t>CA-2013-891</t>
  </si>
  <si>
    <t>CA-2013-893</t>
  </si>
  <si>
    <t>CA-2013-894</t>
  </si>
  <si>
    <t>CA-2013-895</t>
  </si>
  <si>
    <t>CA-2013-896</t>
  </si>
  <si>
    <t>CA-2013-897</t>
  </si>
  <si>
    <t>CA-2013-898</t>
  </si>
  <si>
    <t>CA-2013-899</t>
  </si>
  <si>
    <t>CA-2013-900</t>
  </si>
  <si>
    <t>CA-2013-901</t>
  </si>
  <si>
    <t>CA-2013-902</t>
  </si>
  <si>
    <t>CA-2013-903</t>
  </si>
  <si>
    <t>CA-2013-904</t>
  </si>
  <si>
    <t>CA-2013-905</t>
  </si>
  <si>
    <t>CA-2013-906</t>
  </si>
  <si>
    <t>CA-2013-907</t>
  </si>
  <si>
    <t>CA-2013-908</t>
  </si>
  <si>
    <t>CA-2013-831</t>
  </si>
  <si>
    <t>CA-2013-832</t>
  </si>
  <si>
    <t>CA-2013-833</t>
  </si>
  <si>
    <t>CA-2013-834</t>
  </si>
  <si>
    <t>CA-2013-835</t>
  </si>
  <si>
    <t>CA-2013-869</t>
  </si>
  <si>
    <t>CA-2013-871</t>
  </si>
  <si>
    <t>Tower on Nineteenth AKA Bethel Towers</t>
  </si>
  <si>
    <t>Bethlehem Tower</t>
  </si>
  <si>
    <t>Moonlight Villas</t>
  </si>
  <si>
    <t>MacArthur Apartments</t>
  </si>
  <si>
    <t>Grand Plaza Senior Apartments</t>
  </si>
  <si>
    <t>Orvieto B</t>
  </si>
  <si>
    <t>Sylmar Court</t>
  </si>
  <si>
    <t>Eagle Vista</t>
  </si>
  <si>
    <t>Voorhis Village Apartments</t>
  </si>
  <si>
    <t>Orange Tree Senior Apartments</t>
  </si>
  <si>
    <t>San Tomas Gardens</t>
  </si>
  <si>
    <t>Sierra Vista I Apartments</t>
  </si>
  <si>
    <t>Eldridge Gonaway Commons</t>
  </si>
  <si>
    <t>Lion Creek Crossings Phase V</t>
  </si>
  <si>
    <t>Rancho California</t>
  </si>
  <si>
    <t>1401-1415 Mission Street</t>
  </si>
  <si>
    <t>Belwood Arms</t>
  </si>
  <si>
    <t>Chestnut Apartments</t>
  </si>
  <si>
    <t>MacArthur Transit Village Apartments</t>
  </si>
  <si>
    <t>Anton Legacy Apartments</t>
  </si>
  <si>
    <t>Coral Wood Court Apartments</t>
  </si>
  <si>
    <t>Banning Villa Apartments</t>
  </si>
  <si>
    <t>Orangewood Court Apartments</t>
  </si>
  <si>
    <t>Huntington Plaza Apartments</t>
  </si>
  <si>
    <t>St. John's Apartments</t>
  </si>
  <si>
    <t>Cedar Ridge Apartments</t>
  </si>
  <si>
    <t>Hazeltime &amp; Wyandotte Apartments</t>
  </si>
  <si>
    <t>Casa de Cortez</t>
  </si>
  <si>
    <t>West Valley Towers</t>
  </si>
  <si>
    <t>Vistas</t>
  </si>
  <si>
    <t>Silverlake Apartments</t>
  </si>
  <si>
    <t>Jasmine Heights Apartments</t>
  </si>
  <si>
    <t>Auburn Heights Apartments</t>
  </si>
  <si>
    <t>Harbor Village Apartments</t>
  </si>
  <si>
    <t>Plaza Mendoza</t>
  </si>
  <si>
    <t>1100 Ocean Avenue Apartments</t>
  </si>
  <si>
    <t>Calden Court Apartments</t>
  </si>
  <si>
    <t>Woodlands Newell</t>
  </si>
  <si>
    <t>Andres Duarte Terrace II</t>
  </si>
  <si>
    <t>Charlotte Drive Apartments</t>
  </si>
  <si>
    <t>Hollywoodland Apartments</t>
  </si>
  <si>
    <t>Droge Apartments</t>
  </si>
  <si>
    <t>COMM22 Senior Housing</t>
  </si>
  <si>
    <t>Western Park Apartments</t>
  </si>
  <si>
    <t>Anton Hacienda Apartments</t>
  </si>
  <si>
    <t>Tulare Arms Apartments</t>
  </si>
  <si>
    <t>Westside Village</t>
  </si>
  <si>
    <t>Tyler Park Townhomes</t>
  </si>
  <si>
    <t>Gabilan Plaza</t>
  </si>
  <si>
    <t>Meadowbrook Apartments</t>
  </si>
  <si>
    <t>Harden Ranch Apartments</t>
  </si>
  <si>
    <t>Campina Court Apartments</t>
  </si>
  <si>
    <t>Peppertree Senior Apartments</t>
  </si>
  <si>
    <t>700 Block</t>
  </si>
  <si>
    <t>Rio Vista</t>
  </si>
  <si>
    <t>Rancho Algodon</t>
  </si>
  <si>
    <t>Montgomery Plaza</t>
  </si>
  <si>
    <t>Eden House Apartments</t>
  </si>
  <si>
    <t>Rocky Hill Apartments &amp; Bennett Hill Apartments</t>
  </si>
  <si>
    <t>Villa San Pedro</t>
  </si>
  <si>
    <t>Naomi Gardens</t>
  </si>
  <si>
    <t>Arbor Terrace Apartments</t>
  </si>
  <si>
    <t>Ramona Estates</t>
  </si>
  <si>
    <t>Covenant Manor</t>
  </si>
  <si>
    <t>Sonoma Court Apartments</t>
  </si>
  <si>
    <t>Holly Courts Apartments</t>
  </si>
  <si>
    <t>Bayview Senior Housing</t>
  </si>
  <si>
    <t>Washington Plaza Apartments</t>
  </si>
  <si>
    <t>Fairbanks Square</t>
  </si>
  <si>
    <t>Park 20th</t>
  </si>
  <si>
    <t>City Heights Ten (Scattered Site)</t>
  </si>
  <si>
    <t>Lutheran Villages</t>
  </si>
  <si>
    <t>Los Feliz Apartments Phase 2</t>
  </si>
  <si>
    <t>Mountain Breeze Villas</t>
  </si>
  <si>
    <t>Laurel Village</t>
  </si>
  <si>
    <t>Terraza De Las Cortes</t>
  </si>
  <si>
    <t>Baker Ranch Affordable</t>
  </si>
  <si>
    <t>Willows Senior Apartments</t>
  </si>
  <si>
    <t>Minerva Manor</t>
  </si>
  <si>
    <t>Sierra Villa East</t>
  </si>
  <si>
    <t>Sherwood Villa</t>
  </si>
  <si>
    <t>Willow Village</t>
  </si>
  <si>
    <t>College Park Apartments</t>
  </si>
  <si>
    <t>Fernwood Senior Apartments</t>
  </si>
  <si>
    <t>Avenida Serra Apartments</t>
  </si>
  <si>
    <t>Cochrane Village</t>
  </si>
  <si>
    <t>460 Grand Avenue Apartments</t>
  </si>
  <si>
    <t>Hayward Senior Housing II</t>
  </si>
  <si>
    <t>Crosswood Apartments</t>
  </si>
  <si>
    <t>Oak Ridge Family Apartments</t>
  </si>
  <si>
    <t>Berkeley Scattered Site Housing</t>
  </si>
  <si>
    <t>Strawberry Creek Lodge</t>
  </si>
  <si>
    <t>Current Payment Financing/Tax-Exempt Bond Financing</t>
  </si>
  <si>
    <t>*For some projects, Total Development Cost and Funding Sources may reflect minor adjustments made after the application was received.</t>
  </si>
  <si>
    <t>Deferred Govt Financing</t>
  </si>
  <si>
    <t xml:space="preserve">South Sacramento Mutual Housing </t>
  </si>
  <si>
    <t xml:space="preserve">Villa Solimar &amp; Cypress Court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</si>
</sst>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76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14" fontId="5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</cellStyleXfs>
  <cellXfs count="80">
    <xf numFmtId="0" fontId="0" fillId="0" borderId="0" xfId="0"/>
    <xf numFmtId="0" fontId="34" fillId="0" borderId="1" xfId="0" applyNumberFormat="1" applyFont="1" applyFill="1" applyBorder="1" applyAlignment="1">
      <alignment horizontal="center" wrapText="1"/>
    </xf>
    <xf numFmtId="0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164" fontId="34" fillId="0" borderId="1" xfId="0" applyNumberFormat="1" applyFont="1" applyFill="1" applyBorder="1" applyAlignment="1">
      <alignment horizontal="center" wrapText="1"/>
    </xf>
    <xf numFmtId="166" fontId="34" fillId="0" borderId="1" xfId="0" applyNumberFormat="1" applyFont="1" applyFill="1" applyBorder="1" applyAlignment="1">
      <alignment horizontal="center" wrapText="1"/>
    </xf>
    <xf numFmtId="164" fontId="34" fillId="0" borderId="0" xfId="0" applyNumberFormat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165" fontId="34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/>
    <xf numFmtId="0" fontId="35" fillId="0" borderId="0" xfId="0" applyFont="1"/>
    <xf numFmtId="0" fontId="2" fillId="0" borderId="0" xfId="31" applyFont="1" applyFill="1" applyBorder="1" applyAlignment="1">
      <alignment horizontal="left" vertical="top"/>
    </xf>
    <xf numFmtId="0" fontId="36" fillId="0" borderId="0" xfId="14359" applyFont="1" applyBorder="1" applyAlignment="1">
      <alignment horizontal="left" vertical="top"/>
    </xf>
    <xf numFmtId="3" fontId="36" fillId="0" borderId="0" xfId="14359" applyNumberFormat="1" applyFont="1" applyAlignment="1">
      <alignment horizontal="right" vertical="top"/>
    </xf>
    <xf numFmtId="165" fontId="2" fillId="0" borderId="0" xfId="31" applyNumberFormat="1" applyFont="1" applyFill="1" applyAlignment="1">
      <alignment horizontal="right" vertical="top"/>
    </xf>
    <xf numFmtId="164" fontId="2" fillId="0" borderId="0" xfId="0" applyNumberFormat="1" applyFont="1"/>
    <xf numFmtId="165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Alignment="1">
      <alignment horizontal="right"/>
    </xf>
    <xf numFmtId="166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6" fontId="2" fillId="0" borderId="0" xfId="0" applyNumberFormat="1" applyFont="1" applyFill="1" applyBorder="1" applyAlignment="1">
      <alignment horizontal="right"/>
    </xf>
    <xf numFmtId="6" fontId="2" fillId="0" borderId="0" xfId="0" applyNumberFormat="1" applyFont="1" applyFill="1" applyBorder="1"/>
    <xf numFmtId="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5" fontId="35" fillId="0" borderId="0" xfId="0" applyNumberFormat="1" applyFont="1" applyFill="1" applyBorder="1"/>
    <xf numFmtId="165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/>
    <xf numFmtId="164" fontId="2" fillId="0" borderId="0" xfId="0" applyNumberFormat="1" applyFont="1" applyFill="1"/>
    <xf numFmtId="6" fontId="2" fillId="0" borderId="0" xfId="0" applyNumberFormat="1" applyFont="1" applyAlignment="1">
      <alignment horizontal="right"/>
    </xf>
    <xf numFmtId="165" fontId="35" fillId="0" borderId="0" xfId="0" applyNumberFormat="1" applyFont="1" applyBorder="1" applyAlignment="1"/>
    <xf numFmtId="0" fontId="2" fillId="0" borderId="0" xfId="14365" applyNumberFormat="1" applyFont="1" applyFill="1" applyBorder="1" applyAlignment="1">
      <alignment horizontal="left" vertical="top"/>
    </xf>
    <xf numFmtId="0" fontId="36" fillId="0" borderId="0" xfId="14310" applyFont="1" applyBorder="1">
      <alignment vertical="top"/>
    </xf>
    <xf numFmtId="0" fontId="36" fillId="0" borderId="0" xfId="14310" applyFont="1" applyBorder="1" applyAlignment="1">
      <alignment horizontal="left" vertical="top"/>
    </xf>
    <xf numFmtId="0" fontId="36" fillId="0" borderId="0" xfId="14310" applyFont="1" applyFill="1" applyBorder="1">
      <alignment vertical="top"/>
    </xf>
    <xf numFmtId="0" fontId="36" fillId="0" borderId="0" xfId="14359" applyFont="1" applyFill="1" applyAlignment="1">
      <alignment horizontal="left" vertical="top"/>
    </xf>
    <xf numFmtId="0" fontId="36" fillId="0" borderId="0" xfId="14359" applyFont="1" applyAlignment="1">
      <alignment horizontal="left" vertical="top"/>
    </xf>
    <xf numFmtId="0" fontId="35" fillId="0" borderId="0" xfId="0" applyFont="1" applyFill="1"/>
    <xf numFmtId="166" fontId="2" fillId="0" borderId="0" xfId="0" applyNumberFormat="1" applyFont="1" applyFill="1" applyBorder="1" applyAlignment="1">
      <alignment horizontal="right" vertical="center"/>
    </xf>
    <xf numFmtId="3" fontId="36" fillId="0" borderId="0" xfId="14359" applyNumberFormat="1" applyFont="1" applyBorder="1" applyAlignment="1">
      <alignment horizontal="right" vertical="top"/>
    </xf>
    <xf numFmtId="165" fontId="2" fillId="0" borderId="0" xfId="31" applyNumberFormat="1" applyFont="1" applyFill="1" applyBorder="1" applyAlignment="1">
      <alignment horizontal="right" vertical="top"/>
    </xf>
    <xf numFmtId="164" fontId="2" fillId="0" borderId="0" xfId="0" applyNumberFormat="1" applyFont="1" applyBorder="1"/>
    <xf numFmtId="164" fontId="2" fillId="0" borderId="0" xfId="0" applyNumberFormat="1" applyFont="1" applyFill="1" applyBorder="1" applyAlignment="1">
      <alignment horizontal="right"/>
    </xf>
    <xf numFmtId="6" fontId="2" fillId="0" borderId="0" xfId="0" applyNumberFormat="1" applyFont="1" applyAlignment="1"/>
    <xf numFmtId="3" fontId="36" fillId="0" borderId="1" xfId="14359" applyNumberFormat="1" applyFont="1" applyBorder="1" applyAlignment="1">
      <alignment horizontal="right" vertical="top"/>
    </xf>
    <xf numFmtId="165" fontId="2" fillId="0" borderId="1" xfId="31" applyNumberFormat="1" applyFont="1" applyFill="1" applyBorder="1" applyAlignment="1">
      <alignment horizontal="right" vertical="top"/>
    </xf>
    <xf numFmtId="164" fontId="2" fillId="0" borderId="1" xfId="0" applyNumberFormat="1" applyFont="1" applyBorder="1"/>
    <xf numFmtId="165" fontId="2" fillId="0" borderId="1" xfId="0" applyNumberFormat="1" applyFont="1" applyFill="1" applyBorder="1" applyAlignment="1">
      <alignment horizontal="right" vertical="center"/>
    </xf>
    <xf numFmtId="6" fontId="2" fillId="0" borderId="1" xfId="0" applyNumberFormat="1" applyFont="1" applyBorder="1" applyAlignment="1"/>
    <xf numFmtId="6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5" fillId="0" borderId="0" xfId="0" applyNumberFormat="1" applyFont="1" applyFill="1" applyBorder="1"/>
    <xf numFmtId="6" fontId="35" fillId="0" borderId="0" xfId="0" applyNumberFormat="1" applyFont="1" applyFill="1" applyBorder="1" applyAlignment="1">
      <alignment horizontal="center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35" fillId="0" borderId="0" xfId="0" applyFont="1" applyFill="1" applyAlignment="1">
      <alignment horizontal="center"/>
    </xf>
    <xf numFmtId="6" fontId="37" fillId="0" borderId="0" xfId="0" applyNumberFormat="1" applyFont="1" applyAlignment="1">
      <alignment horizontal="center"/>
    </xf>
    <xf numFmtId="165" fontId="35" fillId="0" borderId="0" xfId="0" applyNumberFormat="1" applyFont="1"/>
    <xf numFmtId="0" fontId="35" fillId="0" borderId="0" xfId="0" applyFont="1" applyAlignment="1">
      <alignment horizontal="center"/>
    </xf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164" fontId="34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/>
    <xf numFmtId="6" fontId="35" fillId="0" borderId="0" xfId="0" applyNumberFormat="1" applyFont="1" applyAlignment="1">
      <alignment horizontal="center"/>
    </xf>
    <xf numFmtId="0" fontId="35" fillId="0" borderId="0" xfId="0" applyFont="1" applyFill="1" applyAlignment="1">
      <alignment horizontal="left" wrapText="1"/>
    </xf>
    <xf numFmtId="6" fontId="35" fillId="0" borderId="0" xfId="0" applyNumberFormat="1" applyFont="1"/>
    <xf numFmtId="6" fontId="35" fillId="0" borderId="0" xfId="0" applyNumberFormat="1" applyFont="1" applyFill="1"/>
    <xf numFmtId="0" fontId="35" fillId="0" borderId="0" xfId="0" applyFont="1" applyFill="1" applyAlignment="1">
      <alignment horizontal="left" wrapText="1"/>
    </xf>
    <xf numFmtId="6" fontId="35" fillId="0" borderId="0" xfId="0" applyNumberFormat="1" applyFont="1" applyFill="1" applyAlignment="1">
      <alignment horizontal="left" wrapText="1"/>
    </xf>
  </cellXfs>
  <cellStyles count="14376">
    <cellStyle name="20% - Accent1" xfId="14335" builtinId="30" customBuiltin="1"/>
    <cellStyle name="20% - Accent2" xfId="14339" builtinId="34" customBuiltin="1"/>
    <cellStyle name="20% - Accent3" xfId="14343" builtinId="38" customBuiltin="1"/>
    <cellStyle name="20% - Accent4" xfId="14347" builtinId="42" customBuiltin="1"/>
    <cellStyle name="20% - Accent5" xfId="14351" builtinId="46" customBuiltin="1"/>
    <cellStyle name="20% - Accent6" xfId="14355" builtinId="50" customBuiltin="1"/>
    <cellStyle name="40% - Accent1" xfId="14336" builtinId="31" customBuiltin="1"/>
    <cellStyle name="40% - Accent2" xfId="14340" builtinId="35" customBuiltin="1"/>
    <cellStyle name="40% - Accent3" xfId="14344" builtinId="39" customBuiltin="1"/>
    <cellStyle name="40% - Accent4" xfId="14348" builtinId="43" customBuiltin="1"/>
    <cellStyle name="40% - Accent5" xfId="14352" builtinId="47" customBuiltin="1"/>
    <cellStyle name="40% - Accent6" xfId="14356" builtinId="51" customBuiltin="1"/>
    <cellStyle name="60% - Accent1" xfId="14337" builtinId="32" customBuiltin="1"/>
    <cellStyle name="60% - Accent2" xfId="14341" builtinId="36" customBuiltin="1"/>
    <cellStyle name="60% - Accent3" xfId="14345" builtinId="40" customBuiltin="1"/>
    <cellStyle name="60% - Accent4" xfId="14349" builtinId="44" customBuiltin="1"/>
    <cellStyle name="60% - Accent5" xfId="14353" builtinId="48" customBuiltin="1"/>
    <cellStyle name="60% - Accent6" xfId="14357" builtinId="52" customBuiltin="1"/>
    <cellStyle name="Accent1" xfId="14334" builtinId="29" customBuiltin="1"/>
    <cellStyle name="Accent2" xfId="14338" builtinId="33" customBuiltin="1"/>
    <cellStyle name="Accent3" xfId="14342" builtinId="37" customBuiltin="1"/>
    <cellStyle name="Accent4" xfId="14346" builtinId="41" customBuiltin="1"/>
    <cellStyle name="Accent5" xfId="14350" builtinId="45" customBuiltin="1"/>
    <cellStyle name="Accent6" xfId="14354" builtinId="49" customBuiltin="1"/>
    <cellStyle name="Bad" xfId="14324" builtinId="27" customBuiltin="1"/>
    <cellStyle name="Calculation" xfId="14328" builtinId="22" customBuiltin="1"/>
    <cellStyle name="Check Cell" xfId="14330" builtinId="23" customBuiltin="1"/>
    <cellStyle name="Comma 2" xfId="11"/>
    <cellStyle name="Comma 2 2" xfId="12"/>
    <cellStyle name="Comma 2 2 2" xfId="589"/>
    <cellStyle name="Comma 2 3" xfId="21"/>
    <cellStyle name="Comma 2 3 2" xfId="1949"/>
    <cellStyle name="Comma 3" xfId="20"/>
    <cellStyle name="Comma 3 2" xfId="14366"/>
    <cellStyle name="Currency 2" xfId="23"/>
    <cellStyle name="Currency 3" xfId="24"/>
    <cellStyle name="Currency 3 2" xfId="14358"/>
    <cellStyle name="Currency 4" xfId="25"/>
    <cellStyle name="Currency 4 2" xfId="26"/>
    <cellStyle name="Currency 4 3" xfId="27"/>
    <cellStyle name="Currency 5" xfId="22"/>
    <cellStyle name="Currency 6" xfId="41"/>
    <cellStyle name="Currency 6 2" xfId="273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2" xfId="14320" builtinId="17" customBuiltin="1"/>
    <cellStyle name="Heading 3" xfId="14321" builtinId="18" customBuiltin="1"/>
    <cellStyle name="Heading 4" xfId="14322" builtinId="19" customBuiltin="1"/>
    <cellStyle name="Hyperlink 2" xfId="3"/>
    <cellStyle name="Hyperlink 3" xfId="4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Neutral" xfId="14325" builtinId="28" customBuiltin="1"/>
    <cellStyle name="Normal" xfId="0" builtinId="0"/>
    <cellStyle name="Normal 2" xfId="5"/>
    <cellStyle name="Normal 2 2" xfId="13"/>
    <cellStyle name="Normal 2 2 2" xfId="31"/>
    <cellStyle name="Normal 2 2 2 2" xfId="14317"/>
    <cellStyle name="Normal 2 2 3" xfId="14318"/>
    <cellStyle name="Normal 2 3" xfId="15"/>
    <cellStyle name="Normal 2 3 2" xfId="32"/>
    <cellStyle name="Normal 2 3 2 2" xfId="14308"/>
    <cellStyle name="Normal 2 4" xfId="9"/>
    <cellStyle name="Normal 2 4 2" xfId="33"/>
    <cellStyle name="Normal 2 4 2 2" xfId="14312"/>
    <cellStyle name="Normal 2 4 2 3" xfId="14368"/>
    <cellStyle name="Normal 2 4 3" xfId="14359"/>
    <cellStyle name="Normal 2 4 3 2" xfId="14369"/>
    <cellStyle name="Normal 2 5" xfId="8"/>
    <cellStyle name="Normal 2 5 2" xfId="14315"/>
    <cellStyle name="Normal 2 5 2 2" xfId="14371"/>
    <cellStyle name="Normal 2 5 3" xfId="14360"/>
    <cellStyle name="Normal 2 5 3 2" xfId="14370"/>
    <cellStyle name="Normal 2 6" xfId="14311"/>
    <cellStyle name="Normal 3" xfId="6"/>
    <cellStyle name="Normal 3 2" xfId="16"/>
    <cellStyle name="Normal 3 2 2" xfId="1952"/>
    <cellStyle name="Normal 3 2 3" xfId="14309"/>
    <cellStyle name="Normal 3 3" xfId="14"/>
    <cellStyle name="Normal 3 3 2" xfId="14310"/>
    <cellStyle name="Normal 3 4" xfId="19"/>
    <cellStyle name="Normal 3 4 2" xfId="14313"/>
    <cellStyle name="Normal 4" xfId="7"/>
    <cellStyle name="Normal 4 2" xfId="35"/>
    <cellStyle name="Normal 4 2 2" xfId="14314"/>
    <cellStyle name="Normal 4 2 2 2" xfId="14373"/>
    <cellStyle name="Normal 4 2 3" xfId="14361"/>
    <cellStyle name="Normal 4 2 3 2" xfId="14372"/>
    <cellStyle name="Normal 4 3" xfId="36"/>
    <cellStyle name="Normal 4 3 2" xfId="1956"/>
    <cellStyle name="Normal 4 3 2 2" xfId="14374"/>
    <cellStyle name="Normal 4 3 3" xfId="14367"/>
    <cellStyle name="Normal 4 4" xfId="34"/>
    <cellStyle name="Normal 4 4 2" xfId="350"/>
    <cellStyle name="Normal 5" xfId="2"/>
    <cellStyle name="Normal 5 2" xfId="18"/>
    <cellStyle name="Normal 5 2 2" xfId="349"/>
    <cellStyle name="Normal 5 2 2 2" xfId="1957"/>
    <cellStyle name="Normal 5 2 2 3" xfId="14316"/>
    <cellStyle name="Normal 5 2 3" xfId="573"/>
    <cellStyle name="Normal 5 2 4" xfId="1645"/>
    <cellStyle name="Normal 5 3" xfId="10"/>
    <cellStyle name="Normal 5 3 2" xfId="14375"/>
    <cellStyle name="Normal 5 4" xfId="37"/>
    <cellStyle name="Normal 6" xfId="17"/>
    <cellStyle name="Normal 6 2" xfId="38"/>
    <cellStyle name="Normal 6 2 2" xfId="351"/>
    <cellStyle name="Normal 6 2 3" xfId="574"/>
    <cellStyle name="Normal 7" xfId="40"/>
    <cellStyle name="Normal 7 2" xfId="272"/>
    <cellStyle name="Normal 8" xfId="822"/>
    <cellStyle name="Normal 8 2" xfId="1953"/>
    <cellStyle name="Normal 8 3" xfId="14307"/>
    <cellStyle name="Normal_MAINLST 2" xfId="14365"/>
    <cellStyle name="Note" xfId="14364" builtinId="10" customBuiltin="1"/>
    <cellStyle name="Note 2" xfId="14362"/>
    <cellStyle name="Output" xfId="14327" builtinId="21" customBuiltin="1"/>
    <cellStyle name="Percent 2" xfId="117"/>
    <cellStyle name="Text Entry" xfId="39"/>
    <cellStyle name="Title 2" xfId="14363"/>
    <cellStyle name="Total" xfId="14333" builtinId="25" customBuiltin="1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37" customWidth="1"/>
    <col min="2" max="2" width="45.28515625" style="37" bestFit="1" customWidth="1"/>
    <col min="3" max="3" width="16.140625" style="37" bestFit="1" customWidth="1"/>
    <col min="4" max="5" width="14.7109375" style="10" customWidth="1"/>
    <col min="6" max="6" width="15.7109375" style="10" customWidth="1"/>
    <col min="7" max="7" width="9.140625" style="10" customWidth="1"/>
    <col min="8" max="8" width="14.140625" style="37" customWidth="1"/>
    <col min="9" max="9" width="9.140625" style="10" customWidth="1"/>
    <col min="10" max="10" width="14.42578125" style="10" bestFit="1" customWidth="1"/>
    <col min="11" max="11" width="9.140625" style="10" customWidth="1"/>
    <col min="12" max="12" width="11.42578125" style="10" customWidth="1"/>
    <col min="13" max="13" width="15.85546875" style="10" customWidth="1"/>
    <col min="14" max="15" width="9.140625" style="10" customWidth="1"/>
    <col min="16" max="16" width="14.140625" style="61" bestFit="1" customWidth="1"/>
    <col min="17" max="17" width="19.42578125" style="10" customWidth="1"/>
    <col min="18" max="18" width="14.5703125" style="64" customWidth="1"/>
    <col min="19" max="19" width="40.140625" style="10" bestFit="1" customWidth="1"/>
    <col min="20" max="20" width="11.7109375" style="63" customWidth="1"/>
    <col min="21" max="21" width="45.7109375" style="10" customWidth="1"/>
    <col min="22" max="22" width="11.7109375" style="63" customWidth="1"/>
    <col min="23" max="23" width="39.140625" style="10" customWidth="1"/>
    <col min="24" max="24" width="11.7109375" style="63" customWidth="1"/>
    <col min="25" max="25" width="37.42578125" style="10" bestFit="1" customWidth="1"/>
    <col min="26" max="26" width="11.7109375" style="63" customWidth="1"/>
    <col min="27" max="27" width="35.85546875" style="10" bestFit="1" customWidth="1"/>
    <col min="28" max="28" width="11.7109375" style="63" customWidth="1"/>
    <col min="29" max="29" width="28.85546875" style="10" bestFit="1" customWidth="1"/>
    <col min="30" max="30" width="11.140625" style="63" bestFit="1" customWidth="1"/>
    <col min="31" max="31" width="33" style="10" bestFit="1" customWidth="1"/>
    <col min="32" max="32" width="11.140625" style="63" bestFit="1" customWidth="1"/>
    <col min="33" max="33" width="33" style="10" bestFit="1" customWidth="1"/>
    <col min="34" max="34" width="11.140625" style="63" bestFit="1" customWidth="1"/>
    <col min="35" max="35" width="15.42578125" style="10" bestFit="1" customWidth="1"/>
    <col min="36" max="36" width="10.140625" style="63" bestFit="1" customWidth="1"/>
    <col min="37" max="37" width="9.140625" style="10"/>
    <col min="38" max="38" width="11.140625" style="63" bestFit="1" customWidth="1"/>
    <col min="39" max="39" width="9.140625" style="10"/>
    <col min="40" max="40" width="11.140625" style="63" bestFit="1" customWidth="1"/>
    <col min="41" max="41" width="9.140625" style="10"/>
    <col min="42" max="42" width="9.140625" style="63"/>
    <col min="43" max="16384" width="9.140625" style="10"/>
  </cols>
  <sheetData>
    <row r="1" spans="1:43" ht="72" x14ac:dyDescent="0.25">
      <c r="A1" s="1" t="s">
        <v>0</v>
      </c>
      <c r="B1" s="2" t="s">
        <v>1</v>
      </c>
      <c r="C1" s="3" t="s">
        <v>14</v>
      </c>
      <c r="D1" s="3" t="s">
        <v>203</v>
      </c>
      <c r="E1" s="4" t="s">
        <v>2</v>
      </c>
      <c r="F1" s="3" t="s">
        <v>205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5" t="s">
        <v>8</v>
      </c>
      <c r="M1" s="3" t="s">
        <v>15</v>
      </c>
      <c r="N1" s="4" t="s">
        <v>9</v>
      </c>
      <c r="O1" s="6"/>
      <c r="P1" s="7"/>
      <c r="Q1" s="7"/>
      <c r="R1" s="7"/>
      <c r="S1" s="7"/>
      <c r="T1" s="8"/>
      <c r="U1" s="7"/>
      <c r="V1" s="8"/>
      <c r="W1" s="7"/>
      <c r="X1" s="8"/>
      <c r="Y1" s="7"/>
      <c r="Z1" s="8"/>
      <c r="AA1" s="7"/>
      <c r="AB1" s="8"/>
      <c r="AC1" s="7"/>
      <c r="AD1" s="8"/>
      <c r="AE1" s="7"/>
      <c r="AF1" s="8"/>
      <c r="AG1" s="7"/>
      <c r="AH1" s="8"/>
      <c r="AI1" s="7"/>
      <c r="AJ1" s="8"/>
      <c r="AK1" s="7"/>
      <c r="AL1" s="8"/>
      <c r="AM1" s="7"/>
      <c r="AN1" s="8"/>
      <c r="AO1" s="7"/>
      <c r="AP1" s="8"/>
      <c r="AQ1" s="9"/>
    </row>
    <row r="2" spans="1:43" x14ac:dyDescent="0.25">
      <c r="A2" s="11" t="s">
        <v>16</v>
      </c>
      <c r="B2" s="12" t="s">
        <v>111</v>
      </c>
      <c r="C2" s="13">
        <v>53854905</v>
      </c>
      <c r="D2" s="14">
        <v>35650000</v>
      </c>
      <c r="E2" s="15">
        <f t="shared" ref="E2:E33" si="0">D2/C2</f>
        <v>0.66196384526163399</v>
      </c>
      <c r="F2" s="16">
        <v>0</v>
      </c>
      <c r="G2" s="15">
        <f t="shared" ref="G2:G33" si="1">F2/C2</f>
        <v>0</v>
      </c>
      <c r="H2" s="16"/>
      <c r="I2" s="15">
        <f t="shared" ref="I2:I33" si="2">H2/C2</f>
        <v>0</v>
      </c>
      <c r="J2" s="17">
        <v>6602</v>
      </c>
      <c r="K2" s="15">
        <f t="shared" ref="K2:K33" si="3">J2/C2</f>
        <v>1.2258864814634803E-4</v>
      </c>
      <c r="L2" s="18">
        <v>1.0349999999999999</v>
      </c>
      <c r="M2" s="17">
        <v>18198303</v>
      </c>
      <c r="N2" s="19">
        <f t="shared" ref="N2:N33" si="4">M2/C2</f>
        <v>0.33791356609021966</v>
      </c>
      <c r="O2" s="20"/>
      <c r="P2" s="21"/>
      <c r="Q2" s="22"/>
      <c r="R2" s="23"/>
      <c r="S2" s="24"/>
      <c r="T2" s="25"/>
      <c r="U2" s="24"/>
      <c r="V2" s="25"/>
      <c r="W2" s="9"/>
      <c r="X2" s="25"/>
      <c r="Y2" s="9"/>
      <c r="Z2" s="25"/>
      <c r="AA2" s="9"/>
      <c r="AB2" s="25"/>
      <c r="AC2" s="9"/>
      <c r="AD2" s="25"/>
      <c r="AE2" s="9"/>
      <c r="AF2" s="25"/>
      <c r="AG2" s="9"/>
      <c r="AH2" s="25"/>
      <c r="AI2" s="9"/>
      <c r="AJ2" s="25"/>
      <c r="AK2" s="9"/>
      <c r="AL2" s="25"/>
      <c r="AM2" s="9"/>
      <c r="AN2" s="25"/>
      <c r="AO2" s="9"/>
      <c r="AP2" s="25"/>
      <c r="AQ2" s="9"/>
    </row>
    <row r="3" spans="1:43" x14ac:dyDescent="0.25">
      <c r="A3" s="11" t="s">
        <v>17</v>
      </c>
      <c r="B3" s="12" t="s">
        <v>112</v>
      </c>
      <c r="C3" s="13">
        <v>25234980</v>
      </c>
      <c r="D3" s="14">
        <v>15000000</v>
      </c>
      <c r="E3" s="15">
        <f t="shared" si="0"/>
        <v>0.5944129933925052</v>
      </c>
      <c r="F3" s="16">
        <v>0</v>
      </c>
      <c r="G3" s="15">
        <f t="shared" si="1"/>
        <v>0</v>
      </c>
      <c r="H3" s="26"/>
      <c r="I3" s="15">
        <f t="shared" si="2"/>
        <v>0</v>
      </c>
      <c r="J3" s="17">
        <f>1200000+1454538</f>
        <v>2654538</v>
      </c>
      <c r="K3" s="15">
        <f t="shared" si="3"/>
        <v>0.10519279191027693</v>
      </c>
      <c r="L3" s="18">
        <v>1.05</v>
      </c>
      <c r="M3" s="17">
        <v>7580442</v>
      </c>
      <c r="N3" s="19">
        <f t="shared" si="4"/>
        <v>0.30039421469721789</v>
      </c>
      <c r="O3" s="20"/>
      <c r="P3" s="21"/>
      <c r="Q3" s="22"/>
      <c r="R3" s="23"/>
      <c r="S3" s="24"/>
      <c r="T3" s="27"/>
      <c r="U3" s="24"/>
      <c r="V3" s="25"/>
      <c r="W3" s="9"/>
      <c r="X3" s="25"/>
      <c r="Y3" s="9"/>
      <c r="Z3" s="25"/>
      <c r="AA3" s="9"/>
      <c r="AB3" s="25"/>
      <c r="AC3" s="9"/>
      <c r="AD3" s="25"/>
      <c r="AE3" s="9"/>
      <c r="AF3" s="25"/>
      <c r="AG3" s="9"/>
      <c r="AH3" s="25"/>
      <c r="AI3" s="9"/>
      <c r="AJ3" s="25"/>
      <c r="AK3" s="9"/>
      <c r="AL3" s="25"/>
      <c r="AM3" s="9"/>
      <c r="AN3" s="25"/>
      <c r="AO3" s="9"/>
      <c r="AP3" s="25"/>
      <c r="AQ3" s="9"/>
    </row>
    <row r="4" spans="1:43" x14ac:dyDescent="0.25">
      <c r="A4" s="11" t="s">
        <v>18</v>
      </c>
      <c r="B4" s="12" t="s">
        <v>113</v>
      </c>
      <c r="C4" s="13">
        <v>11530684</v>
      </c>
      <c r="D4" s="14">
        <v>1800000</v>
      </c>
      <c r="E4" s="15">
        <f t="shared" si="0"/>
        <v>0.15610522324607976</v>
      </c>
      <c r="F4" s="16">
        <f>2800489+2044211</f>
        <v>4844700</v>
      </c>
      <c r="G4" s="15">
        <f t="shared" si="1"/>
        <v>0.42015720836682369</v>
      </c>
      <c r="H4" s="26"/>
      <c r="I4" s="15">
        <f t="shared" si="2"/>
        <v>0</v>
      </c>
      <c r="J4" s="17">
        <v>504000</v>
      </c>
      <c r="K4" s="15">
        <f t="shared" si="3"/>
        <v>4.3709462508902334E-2</v>
      </c>
      <c r="L4" s="18">
        <v>1</v>
      </c>
      <c r="M4" s="17">
        <v>4381984</v>
      </c>
      <c r="N4" s="19">
        <f t="shared" si="4"/>
        <v>0.38002810587819419</v>
      </c>
      <c r="O4" s="20"/>
      <c r="P4" s="21"/>
      <c r="Q4" s="22"/>
      <c r="R4" s="23"/>
      <c r="S4" s="24"/>
      <c r="T4" s="27"/>
      <c r="U4" s="22"/>
      <c r="V4" s="25"/>
      <c r="W4" s="9"/>
      <c r="X4" s="25"/>
      <c r="Y4" s="9"/>
      <c r="Z4" s="25"/>
      <c r="AA4" s="9"/>
      <c r="AB4" s="25"/>
      <c r="AC4" s="9"/>
      <c r="AD4" s="25"/>
      <c r="AE4" s="9"/>
      <c r="AF4" s="25"/>
      <c r="AG4" s="9"/>
      <c r="AH4" s="25"/>
      <c r="AI4" s="9"/>
      <c r="AJ4" s="25"/>
      <c r="AK4" s="9"/>
      <c r="AL4" s="25"/>
      <c r="AM4" s="9"/>
      <c r="AN4" s="25"/>
      <c r="AO4" s="9"/>
      <c r="AP4" s="25"/>
      <c r="AQ4" s="9"/>
    </row>
    <row r="5" spans="1:43" x14ac:dyDescent="0.25">
      <c r="A5" s="11" t="s">
        <v>19</v>
      </c>
      <c r="B5" s="12" t="s">
        <v>114</v>
      </c>
      <c r="C5" s="13">
        <v>17566920</v>
      </c>
      <c r="D5" s="14">
        <v>2860000</v>
      </c>
      <c r="E5" s="15">
        <f t="shared" si="0"/>
        <v>0.16280600127967795</v>
      </c>
      <c r="F5" s="16">
        <f>4485000+703000</f>
        <v>5188000</v>
      </c>
      <c r="G5" s="15">
        <f t="shared" si="1"/>
        <v>0.2953278093143249</v>
      </c>
      <c r="H5" s="16"/>
      <c r="I5" s="15">
        <f t="shared" si="2"/>
        <v>0</v>
      </c>
      <c r="J5" s="17">
        <f>310000+1960995+383078+472000</f>
        <v>3126073</v>
      </c>
      <c r="K5" s="15">
        <f t="shared" si="3"/>
        <v>0.17795225343998833</v>
      </c>
      <c r="L5" s="18">
        <v>1.0273000000000001</v>
      </c>
      <c r="M5" s="17">
        <v>6392847</v>
      </c>
      <c r="N5" s="19">
        <f t="shared" si="4"/>
        <v>0.36391393596600885</v>
      </c>
      <c r="O5" s="20"/>
      <c r="P5" s="21"/>
      <c r="Q5" s="22"/>
      <c r="R5" s="23"/>
      <c r="S5" s="24"/>
      <c r="T5" s="27"/>
      <c r="U5" s="22"/>
      <c r="V5" s="25"/>
      <c r="W5" s="9"/>
      <c r="X5" s="25"/>
      <c r="Y5" s="9"/>
      <c r="Z5" s="25"/>
      <c r="AA5" s="9"/>
      <c r="AB5" s="25"/>
      <c r="AC5" s="9"/>
      <c r="AD5" s="25"/>
      <c r="AE5" s="9"/>
      <c r="AF5" s="25"/>
      <c r="AG5" s="9"/>
      <c r="AH5" s="25"/>
      <c r="AI5" s="9"/>
      <c r="AJ5" s="25"/>
      <c r="AK5" s="9"/>
      <c r="AL5" s="25"/>
      <c r="AM5" s="9"/>
      <c r="AN5" s="25"/>
      <c r="AO5" s="9"/>
      <c r="AP5" s="25"/>
      <c r="AQ5" s="9"/>
    </row>
    <row r="6" spans="1:43" x14ac:dyDescent="0.25">
      <c r="A6" s="11" t="s">
        <v>20</v>
      </c>
      <c r="B6" s="12" t="s">
        <v>115</v>
      </c>
      <c r="C6" s="13">
        <v>38371122</v>
      </c>
      <c r="D6" s="14">
        <v>26711280</v>
      </c>
      <c r="E6" s="15">
        <f t="shared" si="0"/>
        <v>0.6961297613345786</v>
      </c>
      <c r="F6" s="16">
        <v>0</v>
      </c>
      <c r="G6" s="15">
        <f t="shared" si="1"/>
        <v>0</v>
      </c>
      <c r="H6" s="16"/>
      <c r="I6" s="15">
        <f t="shared" si="2"/>
        <v>0</v>
      </c>
      <c r="J6" s="17">
        <f>1027058+100000+11181</f>
        <v>1138239</v>
      </c>
      <c r="K6" s="15">
        <f t="shared" si="3"/>
        <v>2.9663948841527229E-2</v>
      </c>
      <c r="L6" s="18">
        <v>0.98</v>
      </c>
      <c r="M6" s="17">
        <v>10521603</v>
      </c>
      <c r="N6" s="19">
        <f t="shared" si="4"/>
        <v>0.27420628982389411</v>
      </c>
      <c r="O6" s="20"/>
      <c r="P6" s="21"/>
      <c r="Q6" s="22"/>
      <c r="R6" s="23"/>
      <c r="S6" s="24"/>
      <c r="T6" s="27"/>
      <c r="U6" s="24"/>
      <c r="V6" s="25"/>
      <c r="W6" s="9"/>
      <c r="X6" s="25"/>
      <c r="Y6" s="9"/>
      <c r="Z6" s="25"/>
      <c r="AA6" s="9"/>
      <c r="AB6" s="25"/>
      <c r="AC6" s="9"/>
      <c r="AD6" s="25"/>
      <c r="AE6" s="9"/>
      <c r="AF6" s="25"/>
      <c r="AG6" s="9"/>
      <c r="AH6" s="25"/>
      <c r="AI6" s="9"/>
      <c r="AJ6" s="25"/>
      <c r="AK6" s="9"/>
      <c r="AL6" s="25"/>
      <c r="AM6" s="9"/>
      <c r="AN6" s="25"/>
      <c r="AO6" s="9"/>
      <c r="AP6" s="25"/>
      <c r="AQ6" s="9"/>
    </row>
    <row r="7" spans="1:43" x14ac:dyDescent="0.25">
      <c r="A7" s="11" t="s">
        <v>21</v>
      </c>
      <c r="B7" s="12" t="s">
        <v>116</v>
      </c>
      <c r="C7" s="13">
        <v>31343964</v>
      </c>
      <c r="D7" s="14">
        <v>16031856</v>
      </c>
      <c r="E7" s="15">
        <f t="shared" si="0"/>
        <v>0.51148144503994453</v>
      </c>
      <c r="F7" s="16">
        <v>0</v>
      </c>
      <c r="G7" s="15">
        <f t="shared" si="1"/>
        <v>0</v>
      </c>
      <c r="H7" s="16"/>
      <c r="I7" s="15">
        <f t="shared" si="2"/>
        <v>0</v>
      </c>
      <c r="J7" s="17">
        <f>2000000+120000+580082+2292787</f>
        <v>4992869</v>
      </c>
      <c r="K7" s="15">
        <f t="shared" si="3"/>
        <v>0.15929283864670085</v>
      </c>
      <c r="L7" s="18">
        <v>0.99109000000000003</v>
      </c>
      <c r="M7" s="17">
        <v>10319239</v>
      </c>
      <c r="N7" s="19">
        <f t="shared" si="4"/>
        <v>0.32922571631335462</v>
      </c>
      <c r="O7" s="20"/>
      <c r="P7" s="21"/>
      <c r="Q7" s="22"/>
      <c r="R7" s="23"/>
      <c r="S7" s="24"/>
      <c r="T7" s="27"/>
      <c r="U7" s="22"/>
      <c r="V7" s="25"/>
      <c r="W7" s="9"/>
      <c r="X7" s="25"/>
      <c r="Y7" s="9"/>
      <c r="Z7" s="25"/>
      <c r="AA7" s="9"/>
      <c r="AB7" s="25"/>
      <c r="AC7" s="9"/>
      <c r="AD7" s="25"/>
      <c r="AE7" s="9"/>
      <c r="AF7" s="25"/>
      <c r="AG7" s="9"/>
      <c r="AH7" s="25"/>
      <c r="AI7" s="9"/>
      <c r="AJ7" s="25"/>
      <c r="AK7" s="9"/>
      <c r="AL7" s="25"/>
      <c r="AM7" s="9"/>
      <c r="AN7" s="25"/>
      <c r="AO7" s="9"/>
      <c r="AP7" s="25"/>
      <c r="AQ7" s="9"/>
    </row>
    <row r="8" spans="1:43" x14ac:dyDescent="0.25">
      <c r="A8" s="11" t="s">
        <v>22</v>
      </c>
      <c r="B8" s="12" t="s">
        <v>117</v>
      </c>
      <c r="C8" s="13">
        <v>31661190</v>
      </c>
      <c r="D8" s="14">
        <v>0</v>
      </c>
      <c r="E8" s="15">
        <f t="shared" si="0"/>
        <v>0</v>
      </c>
      <c r="F8" s="16">
        <f>18178600+655000</f>
        <v>18833600</v>
      </c>
      <c r="G8" s="15">
        <f t="shared" si="1"/>
        <v>0.59484814057841795</v>
      </c>
      <c r="H8" s="16"/>
      <c r="I8" s="15">
        <f t="shared" si="2"/>
        <v>0</v>
      </c>
      <c r="J8" s="17">
        <v>1266324</v>
      </c>
      <c r="K8" s="15">
        <f t="shared" si="3"/>
        <v>3.999609616694761E-2</v>
      </c>
      <c r="L8" s="18">
        <v>1.03</v>
      </c>
      <c r="M8" s="17">
        <v>11561266</v>
      </c>
      <c r="N8" s="19">
        <f t="shared" si="4"/>
        <v>0.36515576325463445</v>
      </c>
      <c r="O8" s="20"/>
      <c r="P8" s="21"/>
      <c r="Q8" s="22"/>
      <c r="R8" s="23"/>
      <c r="S8" s="24"/>
      <c r="T8" s="27"/>
      <c r="U8" s="22"/>
      <c r="V8" s="25"/>
      <c r="W8" s="9"/>
      <c r="X8" s="25"/>
      <c r="Y8" s="9"/>
      <c r="Z8" s="25"/>
      <c r="AA8" s="9"/>
      <c r="AB8" s="25"/>
      <c r="AC8" s="9"/>
      <c r="AD8" s="25"/>
      <c r="AE8" s="9"/>
      <c r="AF8" s="25"/>
      <c r="AG8" s="9"/>
      <c r="AH8" s="25"/>
      <c r="AI8" s="9"/>
      <c r="AJ8" s="25"/>
      <c r="AK8" s="9"/>
      <c r="AL8" s="25"/>
      <c r="AM8" s="9"/>
      <c r="AN8" s="25"/>
      <c r="AO8" s="9"/>
      <c r="AP8" s="25"/>
      <c r="AQ8" s="9"/>
    </row>
    <row r="9" spans="1:43" x14ac:dyDescent="0.25">
      <c r="A9" s="11" t="s">
        <v>23</v>
      </c>
      <c r="B9" s="12" t="s">
        <v>118</v>
      </c>
      <c r="C9" s="13">
        <v>17601418</v>
      </c>
      <c r="D9" s="14">
        <v>0</v>
      </c>
      <c r="E9" s="15">
        <f t="shared" si="0"/>
        <v>0</v>
      </c>
      <c r="F9" s="16">
        <f>5000000+2400000+1773961+524150</f>
        <v>9698111</v>
      </c>
      <c r="G9" s="15">
        <f t="shared" si="1"/>
        <v>0.55098464226007249</v>
      </c>
      <c r="H9" s="16"/>
      <c r="I9" s="15">
        <f t="shared" si="2"/>
        <v>0</v>
      </c>
      <c r="J9" s="17">
        <f>1260000+901307</f>
        <v>2161307</v>
      </c>
      <c r="K9" s="15">
        <f t="shared" si="3"/>
        <v>0.12279164099165192</v>
      </c>
      <c r="L9" s="18">
        <v>0.96</v>
      </c>
      <c r="M9" s="17">
        <v>5742000</v>
      </c>
      <c r="N9" s="19">
        <f t="shared" si="4"/>
        <v>0.32622371674827561</v>
      </c>
      <c r="O9" s="20"/>
      <c r="P9" s="21"/>
      <c r="Q9" s="22"/>
      <c r="R9" s="23"/>
      <c r="S9" s="24"/>
      <c r="T9" s="27"/>
      <c r="U9" s="22"/>
      <c r="V9" s="25"/>
      <c r="W9" s="22"/>
      <c r="X9" s="25"/>
      <c r="Y9" s="9"/>
      <c r="Z9" s="25"/>
      <c r="AA9" s="9"/>
      <c r="AB9" s="25"/>
      <c r="AC9" s="9"/>
      <c r="AD9" s="25"/>
      <c r="AE9" s="9"/>
      <c r="AF9" s="25"/>
      <c r="AG9" s="9"/>
      <c r="AH9" s="25"/>
      <c r="AI9" s="9"/>
      <c r="AJ9" s="25"/>
      <c r="AK9" s="9"/>
      <c r="AL9" s="25"/>
      <c r="AM9" s="9"/>
      <c r="AN9" s="25"/>
      <c r="AO9" s="9"/>
      <c r="AP9" s="25"/>
      <c r="AQ9" s="9"/>
    </row>
    <row r="10" spans="1:43" x14ac:dyDescent="0.25">
      <c r="A10" s="11" t="s">
        <v>24</v>
      </c>
      <c r="B10" s="12" t="s">
        <v>119</v>
      </c>
      <c r="C10" s="13">
        <v>14314936</v>
      </c>
      <c r="D10" s="14">
        <v>9500000</v>
      </c>
      <c r="E10" s="28">
        <f t="shared" si="0"/>
        <v>0.66364250598116536</v>
      </c>
      <c r="F10" s="16">
        <v>0</v>
      </c>
      <c r="G10" s="15">
        <f t="shared" si="1"/>
        <v>0</v>
      </c>
      <c r="H10" s="26"/>
      <c r="I10" s="15">
        <f t="shared" si="2"/>
        <v>0</v>
      </c>
      <c r="J10" s="17">
        <f>253333+186030</f>
        <v>439363</v>
      </c>
      <c r="K10" s="15">
        <f t="shared" si="3"/>
        <v>3.0692627616358187E-2</v>
      </c>
      <c r="L10" s="18">
        <v>0.98750000000000004</v>
      </c>
      <c r="M10" s="17">
        <v>4375573</v>
      </c>
      <c r="N10" s="19">
        <f t="shared" si="4"/>
        <v>0.30566486640247642</v>
      </c>
      <c r="O10" s="20"/>
      <c r="P10" s="21"/>
      <c r="Q10" s="22"/>
      <c r="R10" s="23"/>
      <c r="S10" s="24"/>
      <c r="T10" s="27"/>
      <c r="U10" s="24"/>
      <c r="V10" s="25"/>
      <c r="W10" s="9"/>
      <c r="X10" s="25"/>
      <c r="Y10" s="9"/>
      <c r="Z10" s="25"/>
      <c r="AA10" s="9"/>
      <c r="AB10" s="25"/>
      <c r="AC10" s="9"/>
      <c r="AD10" s="25"/>
      <c r="AE10" s="9"/>
      <c r="AF10" s="25"/>
      <c r="AG10" s="9"/>
      <c r="AH10" s="25"/>
      <c r="AI10" s="9"/>
      <c r="AJ10" s="25"/>
      <c r="AK10" s="9"/>
      <c r="AL10" s="25"/>
      <c r="AM10" s="9"/>
      <c r="AN10" s="25"/>
      <c r="AO10" s="9"/>
      <c r="AP10" s="25"/>
      <c r="AQ10" s="9"/>
    </row>
    <row r="11" spans="1:43" x14ac:dyDescent="0.25">
      <c r="A11" s="11" t="s">
        <v>25</v>
      </c>
      <c r="B11" s="12" t="s">
        <v>120</v>
      </c>
      <c r="C11" s="13">
        <v>13285648</v>
      </c>
      <c r="D11" s="27">
        <v>0</v>
      </c>
      <c r="E11" s="15">
        <f t="shared" si="0"/>
        <v>0</v>
      </c>
      <c r="F11" s="16">
        <f>7522100+1075000+53750</f>
        <v>8650850</v>
      </c>
      <c r="G11" s="15">
        <f t="shared" si="1"/>
        <v>0.65114249602277585</v>
      </c>
      <c r="H11" s="26"/>
      <c r="I11" s="15">
        <f t="shared" si="2"/>
        <v>0</v>
      </c>
      <c r="J11" s="17">
        <v>10000</v>
      </c>
      <c r="K11" s="15">
        <f t="shared" si="3"/>
        <v>7.5269192740918622E-4</v>
      </c>
      <c r="L11" s="18">
        <v>0.99873999999999996</v>
      </c>
      <c r="M11" s="17">
        <v>4624798</v>
      </c>
      <c r="N11" s="19">
        <f t="shared" si="4"/>
        <v>0.34810481204981497</v>
      </c>
      <c r="O11" s="20"/>
      <c r="P11" s="21"/>
      <c r="Q11" s="22"/>
      <c r="R11" s="23"/>
      <c r="S11" s="24"/>
      <c r="T11" s="27"/>
      <c r="U11" s="22"/>
      <c r="V11" s="25"/>
      <c r="W11" s="9"/>
      <c r="X11" s="25"/>
      <c r="Y11" s="9"/>
      <c r="Z11" s="25"/>
      <c r="AA11" s="9"/>
      <c r="AB11" s="25"/>
      <c r="AC11" s="9"/>
      <c r="AD11" s="25"/>
      <c r="AE11" s="9"/>
      <c r="AF11" s="25"/>
      <c r="AG11" s="9"/>
      <c r="AH11" s="25"/>
      <c r="AI11" s="9"/>
      <c r="AJ11" s="25"/>
      <c r="AK11" s="9"/>
      <c r="AL11" s="25"/>
      <c r="AM11" s="9"/>
      <c r="AN11" s="25"/>
      <c r="AO11" s="9"/>
      <c r="AP11" s="25"/>
      <c r="AQ11" s="9"/>
    </row>
    <row r="12" spans="1:43" x14ac:dyDescent="0.25">
      <c r="A12" s="11" t="s">
        <v>26</v>
      </c>
      <c r="B12" s="12" t="s">
        <v>121</v>
      </c>
      <c r="C12" s="13">
        <v>40121423</v>
      </c>
      <c r="D12" s="27">
        <v>10130000</v>
      </c>
      <c r="E12" s="15">
        <f t="shared" si="0"/>
        <v>0.25248356719551046</v>
      </c>
      <c r="F12" s="16">
        <v>0</v>
      </c>
      <c r="G12" s="15">
        <f t="shared" si="1"/>
        <v>0</v>
      </c>
      <c r="H12" s="26">
        <v>6415000</v>
      </c>
      <c r="I12" s="15">
        <f t="shared" si="2"/>
        <v>0.15988964299695951</v>
      </c>
      <c r="J12" s="17">
        <f>9875455+429994+840000+345378</f>
        <v>11490827</v>
      </c>
      <c r="K12" s="15">
        <f t="shared" si="3"/>
        <v>0.28640128242709639</v>
      </c>
      <c r="L12" s="18">
        <v>1.0430999999999999</v>
      </c>
      <c r="M12" s="17">
        <v>12085596</v>
      </c>
      <c r="N12" s="19">
        <f t="shared" si="4"/>
        <v>0.30122550738043363</v>
      </c>
      <c r="O12" s="20"/>
      <c r="P12" s="21"/>
      <c r="Q12" s="22"/>
      <c r="R12" s="23"/>
      <c r="S12" s="24"/>
      <c r="T12" s="27"/>
      <c r="U12" s="22"/>
      <c r="V12" s="25"/>
      <c r="W12" s="9"/>
      <c r="X12" s="25"/>
      <c r="Y12" s="9"/>
      <c r="Z12" s="25"/>
      <c r="AA12" s="9"/>
      <c r="AB12" s="25"/>
      <c r="AC12" s="9"/>
      <c r="AD12" s="25"/>
      <c r="AE12" s="9"/>
      <c r="AF12" s="25"/>
      <c r="AG12" s="9"/>
      <c r="AH12" s="25"/>
      <c r="AI12" s="9"/>
      <c r="AJ12" s="25"/>
      <c r="AK12" s="9"/>
      <c r="AL12" s="25"/>
      <c r="AM12" s="9"/>
      <c r="AN12" s="25"/>
      <c r="AO12" s="9"/>
      <c r="AP12" s="25"/>
      <c r="AQ12" s="9"/>
    </row>
    <row r="13" spans="1:43" x14ac:dyDescent="0.25">
      <c r="A13" s="11" t="s">
        <v>27</v>
      </c>
      <c r="B13" s="12" t="s">
        <v>122</v>
      </c>
      <c r="C13" s="13">
        <v>20041963</v>
      </c>
      <c r="D13" s="27">
        <v>3458900</v>
      </c>
      <c r="E13" s="15">
        <f t="shared" si="0"/>
        <v>0.17258289519843939</v>
      </c>
      <c r="F13" s="16">
        <f>255000+100000</f>
        <v>355000</v>
      </c>
      <c r="G13" s="15">
        <f t="shared" si="1"/>
        <v>1.7712835813537827E-2</v>
      </c>
      <c r="H13" s="26">
        <v>2691000</v>
      </c>
      <c r="I13" s="15">
        <f t="shared" si="2"/>
        <v>0.1342682849978318</v>
      </c>
      <c r="J13" s="17">
        <f>7056579+616000+371181</f>
        <v>8043760</v>
      </c>
      <c r="K13" s="15">
        <f t="shared" si="3"/>
        <v>0.40134591606620568</v>
      </c>
      <c r="L13" s="18">
        <v>0.99251999999999996</v>
      </c>
      <c r="M13" s="17">
        <v>5493303</v>
      </c>
      <c r="N13" s="19">
        <f t="shared" si="4"/>
        <v>0.27409006792398527</v>
      </c>
      <c r="O13" s="20"/>
      <c r="P13" s="21"/>
      <c r="Q13" s="22"/>
      <c r="R13" s="23"/>
      <c r="S13" s="24"/>
      <c r="T13" s="27"/>
      <c r="U13" s="22"/>
      <c r="V13" s="25"/>
      <c r="W13" s="9"/>
      <c r="X13" s="25"/>
      <c r="Y13" s="9"/>
      <c r="Z13" s="25"/>
      <c r="AA13" s="9"/>
      <c r="AB13" s="25"/>
      <c r="AC13" s="9"/>
      <c r="AD13" s="25"/>
      <c r="AE13" s="9"/>
      <c r="AF13" s="25"/>
      <c r="AG13" s="9"/>
      <c r="AH13" s="25"/>
      <c r="AI13" s="9"/>
      <c r="AJ13" s="25"/>
      <c r="AK13" s="9"/>
      <c r="AL13" s="25"/>
      <c r="AM13" s="9"/>
      <c r="AN13" s="25"/>
      <c r="AO13" s="9"/>
      <c r="AP13" s="25"/>
      <c r="AQ13" s="9"/>
    </row>
    <row r="14" spans="1:43" x14ac:dyDescent="0.25">
      <c r="A14" s="11" t="s">
        <v>28</v>
      </c>
      <c r="B14" s="12" t="s">
        <v>123</v>
      </c>
      <c r="C14" s="13">
        <v>18883114</v>
      </c>
      <c r="D14" s="27">
        <v>902000</v>
      </c>
      <c r="E14" s="15">
        <f t="shared" si="0"/>
        <v>4.7767545119941551E-2</v>
      </c>
      <c r="F14" s="16">
        <f>1022830+1655000</f>
        <v>2677830</v>
      </c>
      <c r="G14" s="15">
        <f t="shared" si="1"/>
        <v>0.14181082632875064</v>
      </c>
      <c r="H14" s="26">
        <v>4560000</v>
      </c>
      <c r="I14" s="15">
        <f t="shared" si="2"/>
        <v>0.24148559395447169</v>
      </c>
      <c r="J14" s="17">
        <f>2753686+422867+786393+689</f>
        <v>3963635</v>
      </c>
      <c r="K14" s="15">
        <f t="shared" si="3"/>
        <v>0.20990367372669572</v>
      </c>
      <c r="L14" s="18">
        <v>1.0383599999999999</v>
      </c>
      <c r="M14" s="17">
        <v>6779650</v>
      </c>
      <c r="N14" s="19">
        <f t="shared" si="4"/>
        <v>0.3590324138275075</v>
      </c>
      <c r="O14" s="20"/>
      <c r="P14" s="21"/>
      <c r="Q14" s="22"/>
      <c r="R14" s="23"/>
      <c r="S14" s="24"/>
      <c r="T14" s="27"/>
      <c r="U14" s="22"/>
      <c r="V14" s="25"/>
      <c r="W14" s="9"/>
      <c r="X14" s="25"/>
      <c r="Y14" s="9"/>
      <c r="Z14" s="25"/>
      <c r="AA14" s="9"/>
      <c r="AB14" s="25"/>
      <c r="AC14" s="9"/>
      <c r="AD14" s="25"/>
      <c r="AE14" s="9"/>
      <c r="AF14" s="25"/>
      <c r="AG14" s="9"/>
      <c r="AH14" s="25"/>
      <c r="AI14" s="9"/>
      <c r="AJ14" s="25"/>
      <c r="AK14" s="9"/>
      <c r="AL14" s="25"/>
      <c r="AM14" s="9"/>
      <c r="AN14" s="25"/>
      <c r="AO14" s="9"/>
      <c r="AP14" s="25"/>
      <c r="AQ14" s="9"/>
    </row>
    <row r="15" spans="1:43" x14ac:dyDescent="0.25">
      <c r="A15" s="11" t="s">
        <v>29</v>
      </c>
      <c r="B15" s="12" t="s">
        <v>124</v>
      </c>
      <c r="C15" s="13">
        <v>36510520</v>
      </c>
      <c r="D15" s="14">
        <v>712143</v>
      </c>
      <c r="E15" s="15">
        <f t="shared" si="0"/>
        <v>1.9505145366321815E-2</v>
      </c>
      <c r="F15" s="16">
        <v>14730596</v>
      </c>
      <c r="G15" s="15">
        <f t="shared" si="1"/>
        <v>0.40346168720686532</v>
      </c>
      <c r="H15" s="26">
        <v>5288445</v>
      </c>
      <c r="I15" s="15">
        <f t="shared" si="2"/>
        <v>0.1448471563812293</v>
      </c>
      <c r="J15" s="17">
        <v>1100000</v>
      </c>
      <c r="K15" s="15">
        <f t="shared" si="3"/>
        <v>3.0128302746715192E-2</v>
      </c>
      <c r="L15" s="18">
        <v>1.0499000000000001</v>
      </c>
      <c r="M15" s="17">
        <v>14679336</v>
      </c>
      <c r="N15" s="19">
        <f t="shared" si="4"/>
        <v>0.40205770829886839</v>
      </c>
      <c r="O15" s="20"/>
      <c r="P15" s="21"/>
      <c r="Q15" s="22"/>
      <c r="R15" s="23"/>
      <c r="S15" s="24"/>
      <c r="T15" s="27"/>
      <c r="U15" s="22"/>
      <c r="V15" s="25"/>
      <c r="W15" s="22"/>
      <c r="X15" s="25"/>
      <c r="Y15" s="9"/>
      <c r="Z15" s="25"/>
      <c r="AA15" s="9"/>
      <c r="AB15" s="25"/>
      <c r="AC15" s="9"/>
      <c r="AD15" s="25"/>
      <c r="AE15" s="9"/>
      <c r="AF15" s="25"/>
      <c r="AG15" s="9"/>
      <c r="AH15" s="25"/>
      <c r="AI15" s="9"/>
      <c r="AJ15" s="25"/>
      <c r="AK15" s="9"/>
      <c r="AL15" s="25"/>
      <c r="AM15" s="9"/>
      <c r="AN15" s="25"/>
      <c r="AO15" s="9"/>
      <c r="AP15" s="25"/>
      <c r="AQ15" s="9"/>
    </row>
    <row r="16" spans="1:43" x14ac:dyDescent="0.25">
      <c r="A16" s="11" t="s">
        <v>30</v>
      </c>
      <c r="B16" s="12" t="s">
        <v>125</v>
      </c>
      <c r="C16" s="13">
        <v>12772613</v>
      </c>
      <c r="D16" s="14">
        <v>7943100</v>
      </c>
      <c r="E16" s="15">
        <f t="shared" si="0"/>
        <v>0.62188527907327973</v>
      </c>
      <c r="F16" s="16">
        <v>0</v>
      </c>
      <c r="G16" s="15">
        <f t="shared" si="1"/>
        <v>0</v>
      </c>
      <c r="H16" s="26"/>
      <c r="I16" s="15">
        <f t="shared" si="2"/>
        <v>0</v>
      </c>
      <c r="J16" s="17">
        <f>388280+158862+794511</f>
        <v>1341653</v>
      </c>
      <c r="K16" s="15">
        <f t="shared" si="3"/>
        <v>0.10504138816387845</v>
      </c>
      <c r="L16" s="18">
        <v>1</v>
      </c>
      <c r="M16" s="17">
        <v>3487860</v>
      </c>
      <c r="N16" s="19">
        <f t="shared" si="4"/>
        <v>0.27307333276284185</v>
      </c>
      <c r="O16" s="20"/>
      <c r="P16" s="21"/>
      <c r="Q16" s="22"/>
      <c r="R16" s="23"/>
      <c r="S16" s="24"/>
      <c r="T16" s="27"/>
      <c r="U16" s="24"/>
      <c r="V16" s="25"/>
      <c r="W16" s="9"/>
      <c r="X16" s="25"/>
      <c r="Y16" s="9"/>
      <c r="Z16" s="25"/>
      <c r="AA16" s="9"/>
      <c r="AB16" s="25"/>
      <c r="AC16" s="9"/>
      <c r="AD16" s="25"/>
      <c r="AE16" s="9"/>
      <c r="AF16" s="25"/>
      <c r="AG16" s="9"/>
      <c r="AH16" s="25"/>
      <c r="AI16" s="9"/>
      <c r="AJ16" s="25"/>
      <c r="AK16" s="9"/>
      <c r="AL16" s="25"/>
      <c r="AM16" s="9"/>
      <c r="AN16" s="25"/>
      <c r="AO16" s="9"/>
      <c r="AP16" s="25"/>
      <c r="AQ16" s="9"/>
    </row>
    <row r="17" spans="1:43" x14ac:dyDescent="0.25">
      <c r="A17" s="11" t="s">
        <v>31</v>
      </c>
      <c r="B17" s="12" t="s">
        <v>126</v>
      </c>
      <c r="C17" s="13">
        <v>61168069</v>
      </c>
      <c r="D17" s="14">
        <v>50000000</v>
      </c>
      <c r="E17" s="15">
        <f t="shared" si="0"/>
        <v>0.81741995157636904</v>
      </c>
      <c r="F17" s="16">
        <v>1500000</v>
      </c>
      <c r="G17" s="15">
        <f t="shared" si="1"/>
        <v>2.452259854729107E-2</v>
      </c>
      <c r="H17" s="26"/>
      <c r="I17" s="15">
        <f t="shared" si="2"/>
        <v>0</v>
      </c>
      <c r="J17" s="17">
        <f>3193962+2500000</f>
        <v>5693962</v>
      </c>
      <c r="K17" s="15">
        <f t="shared" si="3"/>
        <v>9.308716284635371E-2</v>
      </c>
      <c r="L17" s="18">
        <v>0.95</v>
      </c>
      <c r="M17" s="17">
        <v>3974107</v>
      </c>
      <c r="N17" s="19">
        <f t="shared" si="4"/>
        <v>6.4970287029986182E-2</v>
      </c>
      <c r="O17" s="20"/>
      <c r="P17" s="21"/>
      <c r="Q17" s="22"/>
      <c r="R17" s="23"/>
      <c r="S17" s="24"/>
      <c r="T17" s="27"/>
      <c r="U17" s="22"/>
      <c r="V17" s="25"/>
      <c r="W17" s="9"/>
      <c r="X17" s="25"/>
      <c r="Y17" s="9"/>
      <c r="Z17" s="25"/>
      <c r="AA17" s="9"/>
      <c r="AB17" s="25"/>
      <c r="AC17" s="9"/>
      <c r="AD17" s="25"/>
      <c r="AE17" s="9"/>
      <c r="AF17" s="25"/>
      <c r="AG17" s="9"/>
      <c r="AH17" s="25"/>
      <c r="AI17" s="9"/>
      <c r="AJ17" s="25"/>
      <c r="AK17" s="9"/>
      <c r="AL17" s="25"/>
      <c r="AM17" s="9"/>
      <c r="AN17" s="25"/>
      <c r="AO17" s="9"/>
      <c r="AP17" s="25"/>
      <c r="AQ17" s="9"/>
    </row>
    <row r="18" spans="1:43" x14ac:dyDescent="0.25">
      <c r="A18" s="11" t="s">
        <v>32</v>
      </c>
      <c r="B18" s="12" t="s">
        <v>127</v>
      </c>
      <c r="C18" s="13">
        <v>9362904</v>
      </c>
      <c r="D18" s="14">
        <v>833627</v>
      </c>
      <c r="E18" s="15">
        <f t="shared" si="0"/>
        <v>8.9035089967813411E-2</v>
      </c>
      <c r="F18" s="16">
        <v>5900000</v>
      </c>
      <c r="G18" s="15">
        <f t="shared" si="1"/>
        <v>0.63014637339013624</v>
      </c>
      <c r="H18" s="26"/>
      <c r="I18" s="15">
        <f t="shared" si="2"/>
        <v>0</v>
      </c>
      <c r="J18" s="17">
        <v>110436</v>
      </c>
      <c r="K18" s="15">
        <f t="shared" si="3"/>
        <v>1.1795058456222557E-2</v>
      </c>
      <c r="L18" s="18">
        <v>0.87</v>
      </c>
      <c r="M18" s="29">
        <v>2518841</v>
      </c>
      <c r="N18" s="19">
        <f t="shared" si="4"/>
        <v>0.26902347818582784</v>
      </c>
      <c r="O18" s="20"/>
      <c r="P18" s="21"/>
      <c r="Q18" s="22"/>
      <c r="R18" s="23"/>
      <c r="S18" s="24"/>
      <c r="T18" s="27"/>
      <c r="U18" s="22"/>
      <c r="V18" s="25"/>
      <c r="W18" s="9"/>
      <c r="X18" s="25"/>
      <c r="Y18" s="9"/>
      <c r="Z18" s="25"/>
      <c r="AA18" s="9"/>
      <c r="AB18" s="25"/>
      <c r="AC18" s="9"/>
      <c r="AD18" s="25"/>
      <c r="AE18" s="9"/>
      <c r="AF18" s="25"/>
      <c r="AG18" s="9"/>
      <c r="AH18" s="25"/>
      <c r="AI18" s="9"/>
      <c r="AJ18" s="25"/>
      <c r="AK18" s="9"/>
      <c r="AL18" s="25"/>
      <c r="AM18" s="9"/>
      <c r="AN18" s="25"/>
      <c r="AO18" s="9"/>
      <c r="AP18" s="25"/>
      <c r="AQ18" s="9"/>
    </row>
    <row r="19" spans="1:43" x14ac:dyDescent="0.25">
      <c r="A19" s="11" t="s">
        <v>33</v>
      </c>
      <c r="B19" s="12" t="s">
        <v>128</v>
      </c>
      <c r="C19" s="13">
        <v>11564382</v>
      </c>
      <c r="D19" s="14">
        <v>6511788</v>
      </c>
      <c r="E19" s="15">
        <f t="shared" si="0"/>
        <v>0.56309001207327813</v>
      </c>
      <c r="F19" s="16">
        <v>0</v>
      </c>
      <c r="G19" s="15">
        <f t="shared" si="1"/>
        <v>0</v>
      </c>
      <c r="H19" s="26"/>
      <c r="I19" s="15">
        <f t="shared" si="2"/>
        <v>0</v>
      </c>
      <c r="J19" s="17">
        <f>653107+355000+897283</f>
        <v>1905390</v>
      </c>
      <c r="K19" s="15">
        <f t="shared" si="3"/>
        <v>0.16476366830497297</v>
      </c>
      <c r="L19" s="18">
        <v>0.98950000000000005</v>
      </c>
      <c r="M19" s="17">
        <v>3147204</v>
      </c>
      <c r="N19" s="19">
        <f t="shared" si="4"/>
        <v>0.2721463196217489</v>
      </c>
      <c r="O19" s="20"/>
      <c r="P19" s="21"/>
      <c r="Q19" s="22"/>
      <c r="R19" s="23"/>
      <c r="S19" s="24"/>
      <c r="T19" s="27"/>
      <c r="U19" s="22"/>
      <c r="V19" s="25"/>
      <c r="W19" s="22"/>
      <c r="X19" s="25"/>
      <c r="Y19" s="9"/>
      <c r="Z19" s="25"/>
      <c r="AA19" s="9"/>
      <c r="AB19" s="25"/>
      <c r="AC19" s="9"/>
      <c r="AD19" s="25"/>
      <c r="AE19" s="9"/>
      <c r="AF19" s="25"/>
      <c r="AG19" s="9"/>
      <c r="AH19" s="25"/>
      <c r="AI19" s="9"/>
      <c r="AJ19" s="25"/>
      <c r="AK19" s="9"/>
      <c r="AL19" s="25"/>
      <c r="AM19" s="9"/>
      <c r="AN19" s="25"/>
      <c r="AO19" s="9"/>
      <c r="AP19" s="25"/>
      <c r="AQ19" s="9"/>
    </row>
    <row r="20" spans="1:43" x14ac:dyDescent="0.25">
      <c r="A20" s="11" t="s">
        <v>34</v>
      </c>
      <c r="B20" s="12" t="s">
        <v>129</v>
      </c>
      <c r="C20" s="13">
        <v>43387171</v>
      </c>
      <c r="D20" s="14">
        <v>3087200</v>
      </c>
      <c r="E20" s="15">
        <f t="shared" si="0"/>
        <v>7.1154673808992985E-2</v>
      </c>
      <c r="F20" s="16">
        <f>13800000+261454+2299392+2493961+1780407</f>
        <v>20635214</v>
      </c>
      <c r="G20" s="15">
        <f t="shared" si="1"/>
        <v>0.47560634916713052</v>
      </c>
      <c r="H20" s="26">
        <v>2034927</v>
      </c>
      <c r="I20" s="15">
        <f t="shared" si="2"/>
        <v>4.6901582958704544E-2</v>
      </c>
      <c r="J20" s="17">
        <v>1100000</v>
      </c>
      <c r="K20" s="15">
        <f t="shared" si="3"/>
        <v>2.5353116477679544E-2</v>
      </c>
      <c r="L20" s="18">
        <v>1.0389699999999999</v>
      </c>
      <c r="M20" s="17">
        <v>16529830</v>
      </c>
      <c r="N20" s="19">
        <f t="shared" si="4"/>
        <v>0.38098427758749237</v>
      </c>
      <c r="O20" s="20"/>
      <c r="P20" s="21"/>
      <c r="Q20" s="22"/>
      <c r="R20" s="23"/>
      <c r="S20" s="24"/>
      <c r="T20" s="27"/>
      <c r="U20" s="24"/>
      <c r="V20" s="25"/>
      <c r="W20" s="9"/>
      <c r="X20" s="25"/>
      <c r="Y20" s="9"/>
      <c r="Z20" s="25"/>
      <c r="AA20" s="9"/>
      <c r="AB20" s="25"/>
      <c r="AC20" s="9"/>
      <c r="AD20" s="25"/>
      <c r="AE20" s="9"/>
      <c r="AF20" s="25"/>
      <c r="AG20" s="9"/>
      <c r="AH20" s="25"/>
      <c r="AI20" s="9"/>
      <c r="AJ20" s="25"/>
      <c r="AK20" s="9"/>
      <c r="AL20" s="25"/>
      <c r="AM20" s="9"/>
      <c r="AN20" s="25"/>
      <c r="AO20" s="9"/>
      <c r="AP20" s="25"/>
      <c r="AQ20" s="9"/>
    </row>
    <row r="21" spans="1:43" x14ac:dyDescent="0.25">
      <c r="A21" s="11" t="s">
        <v>35</v>
      </c>
      <c r="B21" s="12" t="s">
        <v>130</v>
      </c>
      <c r="C21" s="13">
        <v>49435678</v>
      </c>
      <c r="D21" s="14">
        <f>26000000+4300000</f>
        <v>30300000</v>
      </c>
      <c r="E21" s="15">
        <f t="shared" si="0"/>
        <v>0.61291765837620349</v>
      </c>
      <c r="F21" s="16">
        <v>0</v>
      </c>
      <c r="G21" s="15">
        <f t="shared" si="1"/>
        <v>0</v>
      </c>
      <c r="H21" s="26"/>
      <c r="I21" s="15">
        <f t="shared" si="2"/>
        <v>0</v>
      </c>
      <c r="J21" s="17">
        <f>1000000+3053140+1041944</f>
        <v>5095084</v>
      </c>
      <c r="K21" s="15">
        <f t="shared" si="3"/>
        <v>0.10306491599043104</v>
      </c>
      <c r="L21" s="18">
        <v>1.0296700000000001</v>
      </c>
      <c r="M21" s="17">
        <v>14040594</v>
      </c>
      <c r="N21" s="19">
        <f t="shared" si="4"/>
        <v>0.28401742563336546</v>
      </c>
      <c r="O21" s="20"/>
      <c r="P21" s="21"/>
      <c r="Q21" s="22"/>
      <c r="R21" s="23"/>
      <c r="S21" s="24"/>
      <c r="T21" s="27"/>
      <c r="U21" s="22"/>
      <c r="V21" s="25"/>
      <c r="W21" s="9"/>
      <c r="X21" s="25"/>
      <c r="Y21" s="9"/>
      <c r="Z21" s="25"/>
      <c r="AA21" s="9"/>
      <c r="AB21" s="25"/>
      <c r="AC21" s="9"/>
      <c r="AD21" s="25"/>
      <c r="AE21" s="9"/>
      <c r="AF21" s="25"/>
      <c r="AG21" s="9"/>
      <c r="AH21" s="25"/>
      <c r="AI21" s="9"/>
      <c r="AJ21" s="25"/>
      <c r="AK21" s="9"/>
      <c r="AL21" s="25"/>
      <c r="AM21" s="9"/>
      <c r="AN21" s="25"/>
      <c r="AO21" s="9"/>
      <c r="AP21" s="25"/>
      <c r="AQ21" s="9"/>
    </row>
    <row r="22" spans="1:43" x14ac:dyDescent="0.25">
      <c r="A22" s="11" t="s">
        <v>36</v>
      </c>
      <c r="B22" s="12" t="s">
        <v>131</v>
      </c>
      <c r="C22" s="13">
        <v>26779914</v>
      </c>
      <c r="D22" s="14">
        <v>13230300</v>
      </c>
      <c r="E22" s="15">
        <f t="shared" si="0"/>
        <v>0.49403818100386732</v>
      </c>
      <c r="F22" s="16">
        <v>0</v>
      </c>
      <c r="G22" s="15">
        <f t="shared" si="1"/>
        <v>0</v>
      </c>
      <c r="H22" s="30"/>
      <c r="I22" s="15">
        <f t="shared" si="2"/>
        <v>0</v>
      </c>
      <c r="J22" s="17">
        <f>250000+3900000+1591647</f>
        <v>5741647</v>
      </c>
      <c r="K22" s="15">
        <f t="shared" si="3"/>
        <v>0.21440124863731824</v>
      </c>
      <c r="L22" s="18">
        <v>0.94001000000000001</v>
      </c>
      <c r="M22" s="17">
        <v>7807967</v>
      </c>
      <c r="N22" s="19">
        <f t="shared" si="4"/>
        <v>0.29156057035881444</v>
      </c>
      <c r="O22" s="20"/>
      <c r="P22" s="21"/>
      <c r="Q22" s="22"/>
      <c r="R22" s="23"/>
      <c r="S22" s="24"/>
      <c r="T22" s="27"/>
      <c r="U22" s="22"/>
      <c r="V22" s="25"/>
      <c r="W22" s="9"/>
      <c r="X22" s="25"/>
      <c r="Y22" s="9"/>
      <c r="Z22" s="25"/>
      <c r="AA22" s="9"/>
      <c r="AB22" s="25"/>
      <c r="AC22" s="9"/>
      <c r="AD22" s="25"/>
      <c r="AE22" s="9"/>
      <c r="AF22" s="25"/>
      <c r="AG22" s="9"/>
      <c r="AH22" s="25"/>
      <c r="AI22" s="9"/>
      <c r="AJ22" s="25"/>
      <c r="AK22" s="9"/>
      <c r="AL22" s="25"/>
      <c r="AM22" s="9"/>
      <c r="AN22" s="25"/>
      <c r="AO22" s="9"/>
      <c r="AP22" s="25"/>
      <c r="AQ22" s="9"/>
    </row>
    <row r="23" spans="1:43" x14ac:dyDescent="0.25">
      <c r="A23" s="11" t="s">
        <v>37</v>
      </c>
      <c r="B23" s="12" t="s">
        <v>132</v>
      </c>
      <c r="C23" s="13">
        <v>21065825</v>
      </c>
      <c r="D23" s="14">
        <v>11911600</v>
      </c>
      <c r="E23" s="15">
        <f t="shared" si="0"/>
        <v>0.56544664165775615</v>
      </c>
      <c r="F23" s="16">
        <v>0</v>
      </c>
      <c r="G23" s="15">
        <f t="shared" si="1"/>
        <v>0</v>
      </c>
      <c r="H23" s="26"/>
      <c r="I23" s="15">
        <f t="shared" si="2"/>
        <v>0</v>
      </c>
      <c r="J23" s="17">
        <f>461516+1896162</f>
        <v>2357678</v>
      </c>
      <c r="K23" s="15">
        <f t="shared" si="3"/>
        <v>0.11191956640672748</v>
      </c>
      <c r="L23" s="18">
        <v>0.99904999999999999</v>
      </c>
      <c r="M23" s="17">
        <v>6796547</v>
      </c>
      <c r="N23" s="19">
        <f t="shared" si="4"/>
        <v>0.32263379193551639</v>
      </c>
      <c r="O23" s="20"/>
      <c r="P23" s="21"/>
      <c r="Q23" s="22"/>
      <c r="R23" s="23"/>
      <c r="S23" s="24"/>
      <c r="T23" s="27"/>
      <c r="U23" s="22"/>
      <c r="V23" s="25"/>
      <c r="W23" s="22"/>
      <c r="X23" s="25"/>
      <c r="Y23" s="9"/>
      <c r="Z23" s="25"/>
      <c r="AA23" s="9"/>
      <c r="AB23" s="25"/>
      <c r="AC23" s="9"/>
      <c r="AD23" s="25"/>
      <c r="AE23" s="9"/>
      <c r="AF23" s="25"/>
      <c r="AG23" s="9"/>
      <c r="AH23" s="25"/>
      <c r="AI23" s="9"/>
      <c r="AJ23" s="25"/>
      <c r="AK23" s="9"/>
      <c r="AL23" s="25"/>
      <c r="AM23" s="9"/>
      <c r="AN23" s="25"/>
      <c r="AO23" s="9"/>
      <c r="AP23" s="25"/>
      <c r="AQ23" s="9"/>
    </row>
    <row r="24" spans="1:43" x14ac:dyDescent="0.25">
      <c r="A24" s="11" t="s">
        <v>38</v>
      </c>
      <c r="B24" s="12" t="s">
        <v>133</v>
      </c>
      <c r="C24" s="13">
        <v>19355591</v>
      </c>
      <c r="D24" s="14">
        <v>9334100</v>
      </c>
      <c r="E24" s="15">
        <f t="shared" si="0"/>
        <v>0.48224308934818882</v>
      </c>
      <c r="F24" s="16">
        <v>0</v>
      </c>
      <c r="G24" s="15">
        <f t="shared" si="1"/>
        <v>0</v>
      </c>
      <c r="H24" s="26"/>
      <c r="I24" s="15">
        <f t="shared" si="2"/>
        <v>0</v>
      </c>
      <c r="J24" s="17">
        <f>250000+3000000+980039</f>
        <v>4230039</v>
      </c>
      <c r="K24" s="15">
        <f t="shared" si="3"/>
        <v>0.21854352057759435</v>
      </c>
      <c r="L24" s="18">
        <v>0.94733000000000001</v>
      </c>
      <c r="M24" s="17">
        <v>5791452</v>
      </c>
      <c r="N24" s="19">
        <f t="shared" si="4"/>
        <v>0.29921339007421682</v>
      </c>
      <c r="O24" s="20"/>
      <c r="P24" s="21"/>
      <c r="Q24" s="22"/>
      <c r="R24" s="23"/>
      <c r="S24" s="24"/>
      <c r="T24" s="27"/>
      <c r="U24" s="24"/>
      <c r="V24" s="25"/>
      <c r="W24" s="9"/>
      <c r="X24" s="25"/>
      <c r="Y24" s="9"/>
      <c r="Z24" s="25"/>
      <c r="AA24" s="9"/>
      <c r="AB24" s="25"/>
      <c r="AC24" s="9"/>
      <c r="AD24" s="25"/>
      <c r="AE24" s="9"/>
      <c r="AF24" s="25"/>
      <c r="AG24" s="9"/>
      <c r="AH24" s="25"/>
      <c r="AI24" s="9"/>
      <c r="AJ24" s="25"/>
      <c r="AK24" s="9"/>
      <c r="AL24" s="25"/>
      <c r="AM24" s="9"/>
      <c r="AN24" s="25"/>
      <c r="AO24" s="9"/>
      <c r="AP24" s="25"/>
      <c r="AQ24" s="9"/>
    </row>
    <row r="25" spans="1:43" x14ac:dyDescent="0.25">
      <c r="A25" s="11" t="s">
        <v>39</v>
      </c>
      <c r="B25" s="12" t="s">
        <v>134</v>
      </c>
      <c r="C25" s="13">
        <v>21002442</v>
      </c>
      <c r="D25" s="14">
        <v>10250000</v>
      </c>
      <c r="E25" s="15">
        <f t="shared" si="0"/>
        <v>0.48803848619127244</v>
      </c>
      <c r="F25" s="16">
        <v>2500000</v>
      </c>
      <c r="G25" s="15">
        <f t="shared" si="1"/>
        <v>0.11903377711982255</v>
      </c>
      <c r="H25" s="30"/>
      <c r="I25" s="15">
        <f t="shared" si="2"/>
        <v>0</v>
      </c>
      <c r="J25" s="17">
        <f>1143839+1042173</f>
        <v>2186012</v>
      </c>
      <c r="K25" s="15">
        <f t="shared" si="3"/>
        <v>0.10408370607570301</v>
      </c>
      <c r="L25" s="18">
        <v>0.99999000000000005</v>
      </c>
      <c r="M25" s="17">
        <v>6066429</v>
      </c>
      <c r="N25" s="19">
        <f t="shared" si="4"/>
        <v>0.28884398299969116</v>
      </c>
      <c r="O25" s="20"/>
      <c r="P25" s="21"/>
      <c r="Q25" s="22"/>
      <c r="R25" s="23"/>
      <c r="S25" s="24"/>
      <c r="T25" s="27"/>
      <c r="U25" s="22"/>
      <c r="V25" s="25"/>
      <c r="W25" s="22"/>
      <c r="X25" s="25"/>
      <c r="Y25" s="9"/>
      <c r="Z25" s="25"/>
      <c r="AA25" s="9"/>
      <c r="AB25" s="25"/>
      <c r="AC25" s="9"/>
      <c r="AD25" s="25"/>
      <c r="AE25" s="9"/>
      <c r="AF25" s="25"/>
      <c r="AG25" s="9"/>
      <c r="AH25" s="25"/>
      <c r="AI25" s="9"/>
      <c r="AJ25" s="25"/>
      <c r="AK25" s="9"/>
      <c r="AL25" s="25"/>
      <c r="AM25" s="9"/>
      <c r="AN25" s="25"/>
      <c r="AO25" s="9"/>
      <c r="AP25" s="25"/>
      <c r="AQ25" s="9"/>
    </row>
    <row r="26" spans="1:43" x14ac:dyDescent="0.25">
      <c r="A26" s="11" t="s">
        <v>40</v>
      </c>
      <c r="B26" s="12" t="s">
        <v>135</v>
      </c>
      <c r="C26" s="13">
        <v>33847586</v>
      </c>
      <c r="D26" s="14">
        <v>22658000</v>
      </c>
      <c r="E26" s="15">
        <f t="shared" si="0"/>
        <v>0.66941258381026048</v>
      </c>
      <c r="F26" s="16">
        <v>0</v>
      </c>
      <c r="G26" s="15">
        <f t="shared" si="1"/>
        <v>0</v>
      </c>
      <c r="H26" s="26"/>
      <c r="I26" s="15">
        <f t="shared" si="2"/>
        <v>0</v>
      </c>
      <c r="J26" s="17">
        <f>328493+321507</f>
        <v>650000</v>
      </c>
      <c r="K26" s="15">
        <f t="shared" si="3"/>
        <v>1.9203732874775767E-2</v>
      </c>
      <c r="L26" s="18">
        <v>0.98</v>
      </c>
      <c r="M26" s="17">
        <v>10539586</v>
      </c>
      <c r="N26" s="19">
        <f t="shared" si="4"/>
        <v>0.31138368331496374</v>
      </c>
      <c r="O26" s="20"/>
      <c r="P26" s="21"/>
      <c r="Q26" s="22"/>
      <c r="R26" s="23"/>
      <c r="S26" s="24"/>
      <c r="T26" s="27"/>
      <c r="U26" s="24"/>
      <c r="V26" s="25"/>
      <c r="W26" s="24"/>
      <c r="X26" s="25"/>
      <c r="Y26" s="9"/>
      <c r="Z26" s="25"/>
      <c r="AA26" s="9"/>
      <c r="AB26" s="25"/>
      <c r="AC26" s="9"/>
      <c r="AD26" s="25"/>
      <c r="AE26" s="9"/>
      <c r="AF26" s="25"/>
      <c r="AG26" s="9"/>
      <c r="AH26" s="25"/>
      <c r="AI26" s="9"/>
      <c r="AJ26" s="25"/>
      <c r="AK26" s="9"/>
      <c r="AL26" s="25"/>
      <c r="AM26" s="9"/>
      <c r="AN26" s="25"/>
      <c r="AO26" s="9"/>
      <c r="AP26" s="25"/>
      <c r="AQ26" s="9"/>
    </row>
    <row r="27" spans="1:43" x14ac:dyDescent="0.25">
      <c r="A27" s="11" t="s">
        <v>41</v>
      </c>
      <c r="B27" s="12" t="s">
        <v>136</v>
      </c>
      <c r="C27" s="13">
        <v>13948538</v>
      </c>
      <c r="D27" s="14">
        <v>4750000</v>
      </c>
      <c r="E27" s="15">
        <f t="shared" si="0"/>
        <v>0.34053748141919965</v>
      </c>
      <c r="F27" s="16">
        <f>3500000</f>
        <v>3500000</v>
      </c>
      <c r="G27" s="15">
        <f t="shared" si="1"/>
        <v>0.25092235472993657</v>
      </c>
      <c r="H27" s="26"/>
      <c r="I27" s="15">
        <f t="shared" si="2"/>
        <v>0</v>
      </c>
      <c r="J27" s="17">
        <v>1367306</v>
      </c>
      <c r="K27" s="15">
        <f t="shared" si="3"/>
        <v>9.8025040330391611E-2</v>
      </c>
      <c r="L27" s="18">
        <v>0.99</v>
      </c>
      <c r="M27" s="17">
        <v>4331232</v>
      </c>
      <c r="N27" s="19">
        <f t="shared" si="4"/>
        <v>0.31051512352047217</v>
      </c>
      <c r="O27" s="20"/>
      <c r="P27" s="21"/>
      <c r="Q27" s="22"/>
      <c r="R27" s="23"/>
      <c r="S27" s="24"/>
      <c r="T27" s="27"/>
      <c r="U27" s="24"/>
      <c r="V27" s="25"/>
      <c r="W27" s="24"/>
      <c r="X27" s="25"/>
      <c r="Y27" s="9"/>
      <c r="Z27" s="25"/>
      <c r="AA27" s="9"/>
      <c r="AB27" s="25"/>
      <c r="AC27" s="9"/>
      <c r="AD27" s="25"/>
      <c r="AE27" s="9"/>
      <c r="AF27" s="25"/>
      <c r="AG27" s="9"/>
      <c r="AH27" s="25"/>
      <c r="AI27" s="9"/>
      <c r="AJ27" s="25"/>
      <c r="AK27" s="9"/>
      <c r="AL27" s="25"/>
      <c r="AM27" s="9"/>
      <c r="AN27" s="25"/>
      <c r="AO27" s="9"/>
      <c r="AP27" s="25"/>
      <c r="AQ27" s="9"/>
    </row>
    <row r="28" spans="1:43" x14ac:dyDescent="0.25">
      <c r="A28" s="11" t="s">
        <v>42</v>
      </c>
      <c r="B28" s="12" t="s">
        <v>137</v>
      </c>
      <c r="C28" s="13">
        <v>17574281</v>
      </c>
      <c r="D28" s="14">
        <v>10381000</v>
      </c>
      <c r="E28" s="15">
        <f t="shared" si="0"/>
        <v>0.59069272876654244</v>
      </c>
      <c r="F28" s="16">
        <v>0</v>
      </c>
      <c r="G28" s="15">
        <f t="shared" si="1"/>
        <v>0</v>
      </c>
      <c r="H28" s="26"/>
      <c r="I28" s="15">
        <f t="shared" si="2"/>
        <v>0</v>
      </c>
      <c r="J28" s="17">
        <f>100+2016227</f>
        <v>2016327</v>
      </c>
      <c r="K28" s="15">
        <f t="shared" si="3"/>
        <v>0.11473169229512149</v>
      </c>
      <c r="L28" s="18">
        <v>0.96</v>
      </c>
      <c r="M28" s="17">
        <v>5176954</v>
      </c>
      <c r="N28" s="19">
        <f t="shared" si="4"/>
        <v>0.29457557893833608</v>
      </c>
      <c r="O28" s="20"/>
      <c r="P28" s="21"/>
      <c r="Q28" s="22"/>
      <c r="R28" s="23"/>
      <c r="S28" s="24"/>
      <c r="T28" s="27"/>
      <c r="U28" s="22"/>
      <c r="V28" s="25"/>
      <c r="W28" s="22"/>
      <c r="X28" s="25"/>
      <c r="Y28" s="9"/>
      <c r="Z28" s="25"/>
      <c r="AA28" s="9"/>
      <c r="AB28" s="25"/>
      <c r="AC28" s="9"/>
      <c r="AD28" s="25"/>
      <c r="AE28" s="9"/>
      <c r="AF28" s="25"/>
      <c r="AG28" s="9"/>
      <c r="AH28" s="25"/>
      <c r="AI28" s="9"/>
      <c r="AJ28" s="25"/>
      <c r="AK28" s="9"/>
      <c r="AL28" s="25"/>
      <c r="AM28" s="9"/>
      <c r="AN28" s="25"/>
      <c r="AO28" s="9"/>
      <c r="AP28" s="25"/>
      <c r="AQ28" s="9"/>
    </row>
    <row r="29" spans="1:43" x14ac:dyDescent="0.25">
      <c r="A29" s="11" t="s">
        <v>104</v>
      </c>
      <c r="B29" s="31" t="s">
        <v>196</v>
      </c>
      <c r="C29" s="13">
        <v>18186244</v>
      </c>
      <c r="D29" s="14">
        <v>5650700</v>
      </c>
      <c r="E29" s="15">
        <f t="shared" si="0"/>
        <v>0.31071286627409156</v>
      </c>
      <c r="F29" s="16">
        <f>2490077+599697+1311639+418154+178415</f>
        <v>4997982</v>
      </c>
      <c r="G29" s="15">
        <f t="shared" si="1"/>
        <v>0.27482211280130192</v>
      </c>
      <c r="H29" s="26"/>
      <c r="I29" s="15">
        <f t="shared" si="2"/>
        <v>0</v>
      </c>
      <c r="J29" s="17">
        <f>528523+155678+332770+200000+508753</f>
        <v>1725724</v>
      </c>
      <c r="K29" s="15">
        <f t="shared" si="3"/>
        <v>9.4891721457162903E-2</v>
      </c>
      <c r="L29" s="18">
        <v>1</v>
      </c>
      <c r="M29" s="17">
        <v>5811838</v>
      </c>
      <c r="N29" s="19">
        <f t="shared" si="4"/>
        <v>0.31957329946744362</v>
      </c>
      <c r="O29" s="20"/>
      <c r="P29" s="21"/>
      <c r="Q29" s="22"/>
      <c r="R29" s="23"/>
      <c r="S29" s="24"/>
      <c r="T29" s="27"/>
      <c r="U29" s="22"/>
      <c r="V29" s="25"/>
      <c r="W29" s="9"/>
      <c r="X29" s="25"/>
      <c r="Y29" s="9"/>
      <c r="Z29" s="25"/>
      <c r="AA29" s="9"/>
      <c r="AB29" s="25"/>
      <c r="AC29" s="9"/>
      <c r="AD29" s="25"/>
      <c r="AE29" s="9"/>
      <c r="AF29" s="25"/>
      <c r="AG29" s="9"/>
      <c r="AH29" s="25"/>
      <c r="AI29" s="9"/>
      <c r="AJ29" s="25"/>
      <c r="AK29" s="9"/>
      <c r="AL29" s="25"/>
      <c r="AM29" s="9"/>
      <c r="AN29" s="25"/>
      <c r="AO29" s="9"/>
      <c r="AP29" s="25"/>
      <c r="AQ29" s="9"/>
    </row>
    <row r="30" spans="1:43" x14ac:dyDescent="0.25">
      <c r="A30" s="11" t="s">
        <v>105</v>
      </c>
      <c r="B30" s="31" t="s">
        <v>197</v>
      </c>
      <c r="C30" s="13">
        <v>31474410</v>
      </c>
      <c r="D30" s="27">
        <v>2954000</v>
      </c>
      <c r="E30" s="15">
        <f t="shared" si="0"/>
        <v>9.3854022998365969E-2</v>
      </c>
      <c r="F30" s="16">
        <f>8326104+3100000+456000+297695</f>
        <v>12179799</v>
      </c>
      <c r="G30" s="15">
        <f t="shared" si="1"/>
        <v>0.38697465655432461</v>
      </c>
      <c r="H30" s="26">
        <v>3307000</v>
      </c>
      <c r="I30" s="15">
        <f t="shared" si="2"/>
        <v>0.10506948343114295</v>
      </c>
      <c r="J30" s="17">
        <f>670000+1255979</f>
        <v>1925979</v>
      </c>
      <c r="K30" s="15">
        <f t="shared" si="3"/>
        <v>6.1191901611499629E-2</v>
      </c>
      <c r="L30" s="18">
        <v>0.71362999999999999</v>
      </c>
      <c r="M30" s="17">
        <v>11107632</v>
      </c>
      <c r="N30" s="19">
        <f t="shared" si="4"/>
        <v>0.35290993540466686</v>
      </c>
      <c r="O30" s="20"/>
      <c r="P30" s="21"/>
      <c r="Q30" s="22"/>
      <c r="R30" s="23"/>
      <c r="S30" s="24"/>
      <c r="T30" s="27"/>
      <c r="U30" s="22"/>
      <c r="V30" s="25"/>
      <c r="W30" s="9"/>
      <c r="X30" s="25"/>
      <c r="Y30" s="9"/>
      <c r="Z30" s="25"/>
      <c r="AA30" s="9"/>
      <c r="AB30" s="25"/>
      <c r="AC30" s="9"/>
      <c r="AD30" s="25"/>
      <c r="AE30" s="9"/>
      <c r="AF30" s="25"/>
      <c r="AG30" s="9"/>
      <c r="AH30" s="25"/>
      <c r="AI30" s="9"/>
      <c r="AJ30" s="25"/>
      <c r="AK30" s="9"/>
      <c r="AL30" s="25"/>
      <c r="AM30" s="9"/>
      <c r="AN30" s="25"/>
      <c r="AO30" s="9"/>
      <c r="AP30" s="25"/>
      <c r="AQ30" s="9"/>
    </row>
    <row r="31" spans="1:43" x14ac:dyDescent="0.25">
      <c r="A31" s="11" t="s">
        <v>106</v>
      </c>
      <c r="B31" s="31" t="s">
        <v>198</v>
      </c>
      <c r="C31" s="13">
        <v>10183398</v>
      </c>
      <c r="D31" s="14">
        <v>3494200</v>
      </c>
      <c r="E31" s="15">
        <f t="shared" si="0"/>
        <v>0.343127117294247</v>
      </c>
      <c r="F31" s="16">
        <f>1100000+775000+400000+599999+26997</f>
        <v>2901996</v>
      </c>
      <c r="G31" s="15">
        <f t="shared" si="1"/>
        <v>0.2849732476330592</v>
      </c>
      <c r="H31" s="26"/>
      <c r="I31" s="15">
        <f t="shared" si="2"/>
        <v>0</v>
      </c>
      <c r="J31" s="17">
        <f>210000+100</f>
        <v>210100</v>
      </c>
      <c r="K31" s="15">
        <f t="shared" si="3"/>
        <v>2.0631620211642519E-2</v>
      </c>
      <c r="L31" s="18">
        <v>1.0273099999999999</v>
      </c>
      <c r="M31" s="17">
        <v>3577102</v>
      </c>
      <c r="N31" s="19">
        <f t="shared" si="4"/>
        <v>0.3512680148610513</v>
      </c>
      <c r="O31" s="20"/>
      <c r="P31" s="21"/>
      <c r="Q31" s="22"/>
      <c r="R31" s="23"/>
      <c r="S31" s="24"/>
      <c r="T31" s="27"/>
      <c r="U31" s="22"/>
      <c r="V31" s="25"/>
      <c r="W31" s="9"/>
      <c r="X31" s="25"/>
      <c r="Y31" s="9"/>
      <c r="Z31" s="25"/>
      <c r="AA31" s="9"/>
      <c r="AB31" s="25"/>
      <c r="AC31" s="9"/>
      <c r="AD31" s="25"/>
      <c r="AE31" s="9"/>
      <c r="AF31" s="25"/>
      <c r="AG31" s="9"/>
      <c r="AH31" s="25"/>
      <c r="AI31" s="9"/>
      <c r="AJ31" s="25"/>
      <c r="AK31" s="9"/>
      <c r="AL31" s="25"/>
      <c r="AM31" s="9"/>
      <c r="AN31" s="25"/>
      <c r="AO31" s="9"/>
      <c r="AP31" s="25"/>
      <c r="AQ31" s="9"/>
    </row>
    <row r="32" spans="1:43" x14ac:dyDescent="0.25">
      <c r="A32" s="11" t="s">
        <v>107</v>
      </c>
      <c r="B32" s="31" t="s">
        <v>199</v>
      </c>
      <c r="C32" s="13">
        <v>7221501</v>
      </c>
      <c r="D32" s="14">
        <v>3800000</v>
      </c>
      <c r="E32" s="15">
        <f t="shared" si="0"/>
        <v>0.52620639393389268</v>
      </c>
      <c r="F32" s="16">
        <v>150000</v>
      </c>
      <c r="G32" s="15">
        <f t="shared" si="1"/>
        <v>2.0771305023706291E-2</v>
      </c>
      <c r="H32" s="26"/>
      <c r="I32" s="15">
        <f t="shared" si="2"/>
        <v>0</v>
      </c>
      <c r="J32" s="17">
        <v>756495</v>
      </c>
      <c r="K32" s="15">
        <f t="shared" si="3"/>
        <v>0.10475592262605793</v>
      </c>
      <c r="L32" s="18">
        <v>0.91991000000000001</v>
      </c>
      <c r="M32" s="17">
        <v>2515006</v>
      </c>
      <c r="N32" s="19">
        <f t="shared" si="4"/>
        <v>0.34826637841634306</v>
      </c>
      <c r="O32" s="20"/>
      <c r="P32" s="21"/>
      <c r="Q32" s="22"/>
      <c r="R32" s="23"/>
      <c r="S32" s="24"/>
      <c r="T32" s="27"/>
      <c r="U32" s="22"/>
      <c r="V32" s="25"/>
      <c r="W32" s="9"/>
      <c r="X32" s="25"/>
      <c r="Y32" s="9"/>
      <c r="Z32" s="25"/>
      <c r="AA32" s="9"/>
      <c r="AB32" s="25"/>
      <c r="AC32" s="9"/>
      <c r="AD32" s="25"/>
      <c r="AE32" s="9"/>
      <c r="AF32" s="25"/>
      <c r="AG32" s="9"/>
      <c r="AH32" s="25"/>
      <c r="AI32" s="9"/>
      <c r="AJ32" s="25"/>
      <c r="AK32" s="9"/>
      <c r="AL32" s="25"/>
      <c r="AM32" s="9"/>
      <c r="AN32" s="25"/>
      <c r="AO32" s="9"/>
      <c r="AP32" s="25"/>
      <c r="AQ32" s="9"/>
    </row>
    <row r="33" spans="1:43" x14ac:dyDescent="0.25">
      <c r="A33" s="11" t="s">
        <v>108</v>
      </c>
      <c r="B33" s="31" t="s">
        <v>200</v>
      </c>
      <c r="C33" s="13">
        <v>7223595</v>
      </c>
      <c r="D33" s="14">
        <v>2159445</v>
      </c>
      <c r="E33" s="15">
        <f t="shared" si="0"/>
        <v>0.2989432547090472</v>
      </c>
      <c r="F33" s="16">
        <f>1300000+250000</f>
        <v>1550000</v>
      </c>
      <c r="G33" s="15">
        <f t="shared" si="1"/>
        <v>0.21457459893584843</v>
      </c>
      <c r="H33" s="26"/>
      <c r="I33" s="15">
        <f t="shared" si="2"/>
        <v>0</v>
      </c>
      <c r="J33" s="17">
        <f>352761+599783</f>
        <v>952544</v>
      </c>
      <c r="K33" s="15">
        <f t="shared" si="3"/>
        <v>0.13186564307661214</v>
      </c>
      <c r="L33" s="18">
        <v>0.96989999999999998</v>
      </c>
      <c r="M33" s="17">
        <v>2561606</v>
      </c>
      <c r="N33" s="19">
        <f t="shared" si="4"/>
        <v>0.3546165032784922</v>
      </c>
      <c r="O33" s="20"/>
      <c r="P33" s="21"/>
      <c r="Q33" s="22"/>
      <c r="R33" s="23"/>
      <c r="S33" s="24"/>
      <c r="T33" s="27"/>
      <c r="U33" s="22"/>
      <c r="V33" s="25"/>
      <c r="W33" s="22"/>
      <c r="X33" s="25"/>
      <c r="Y33" s="9"/>
      <c r="Z33" s="25"/>
      <c r="AA33" s="9"/>
      <c r="AB33" s="25"/>
      <c r="AC33" s="9"/>
      <c r="AD33" s="25"/>
      <c r="AE33" s="9"/>
      <c r="AF33" s="25"/>
      <c r="AG33" s="9"/>
      <c r="AH33" s="25"/>
      <c r="AI33" s="9"/>
      <c r="AJ33" s="25"/>
      <c r="AK33" s="9"/>
      <c r="AL33" s="25"/>
      <c r="AM33" s="9"/>
      <c r="AN33" s="25"/>
      <c r="AO33" s="9"/>
      <c r="AP33" s="25"/>
      <c r="AQ33" s="9"/>
    </row>
    <row r="34" spans="1:43" x14ac:dyDescent="0.25">
      <c r="A34" s="11" t="s">
        <v>43</v>
      </c>
      <c r="B34" s="32" t="s">
        <v>138</v>
      </c>
      <c r="C34" s="13">
        <v>6164701</v>
      </c>
      <c r="D34" s="14">
        <v>4230400</v>
      </c>
      <c r="E34" s="15">
        <f t="shared" ref="E34:E65" si="5">D34/C34</f>
        <v>0.68622955111691553</v>
      </c>
      <c r="F34" s="16">
        <v>0</v>
      </c>
      <c r="G34" s="15">
        <f t="shared" ref="G34:G65" si="6">F34/C34</f>
        <v>0</v>
      </c>
      <c r="H34" s="26"/>
      <c r="I34" s="15">
        <f t="shared" ref="I34:I65" si="7">H34/C34</f>
        <v>0</v>
      </c>
      <c r="J34" s="17">
        <f>144053</f>
        <v>144053</v>
      </c>
      <c r="K34" s="15">
        <f t="shared" ref="K34:K65" si="8">J34/C34</f>
        <v>2.3367394460818133E-2</v>
      </c>
      <c r="L34" s="18">
        <v>0.94991000000000003</v>
      </c>
      <c r="M34" s="17">
        <v>1790248</v>
      </c>
      <c r="N34" s="19">
        <f t="shared" ref="N34:N65" si="9">M34/C34</f>
        <v>0.29040305442226638</v>
      </c>
      <c r="O34" s="20"/>
      <c r="P34" s="21"/>
      <c r="Q34" s="22"/>
      <c r="R34" s="23"/>
      <c r="S34" s="24"/>
      <c r="T34" s="27"/>
      <c r="U34" s="24"/>
      <c r="V34" s="25"/>
      <c r="W34" s="24"/>
      <c r="X34" s="25"/>
      <c r="Y34" s="9"/>
      <c r="Z34" s="25"/>
      <c r="AA34" s="9"/>
      <c r="AB34" s="25"/>
      <c r="AC34" s="9"/>
      <c r="AD34" s="25"/>
      <c r="AE34" s="9"/>
      <c r="AF34" s="25"/>
      <c r="AG34" s="9"/>
      <c r="AH34" s="25"/>
      <c r="AI34" s="9"/>
      <c r="AJ34" s="25"/>
      <c r="AK34" s="9"/>
      <c r="AL34" s="25"/>
      <c r="AM34" s="9"/>
      <c r="AN34" s="25"/>
      <c r="AO34" s="9"/>
      <c r="AP34" s="25"/>
      <c r="AQ34" s="9"/>
    </row>
    <row r="35" spans="1:43" x14ac:dyDescent="0.25">
      <c r="A35" s="11" t="s">
        <v>44</v>
      </c>
      <c r="B35" s="32" t="s">
        <v>139</v>
      </c>
      <c r="C35" s="13">
        <v>23451501</v>
      </c>
      <c r="D35" s="14">
        <v>6987990</v>
      </c>
      <c r="E35" s="15">
        <f t="shared" si="5"/>
        <v>0.29797623614795488</v>
      </c>
      <c r="F35" s="16">
        <v>0</v>
      </c>
      <c r="G35" s="15">
        <f t="shared" si="6"/>
        <v>0</v>
      </c>
      <c r="H35" s="26"/>
      <c r="I35" s="15">
        <f t="shared" si="7"/>
        <v>0</v>
      </c>
      <c r="J35" s="17">
        <f>8254428+1092407+332227+678</f>
        <v>9679740</v>
      </c>
      <c r="K35" s="15">
        <f t="shared" si="8"/>
        <v>0.41275566966907579</v>
      </c>
      <c r="L35" s="18">
        <v>1.1000000000000001</v>
      </c>
      <c r="M35" s="17">
        <v>6783772</v>
      </c>
      <c r="N35" s="19">
        <f t="shared" si="9"/>
        <v>0.28926813682416319</v>
      </c>
      <c r="O35" s="20"/>
      <c r="P35" s="21"/>
      <c r="Q35" s="22"/>
      <c r="R35" s="23"/>
      <c r="S35" s="24"/>
      <c r="T35" s="25"/>
      <c r="U35" s="9"/>
      <c r="V35" s="25"/>
      <c r="W35" s="9"/>
      <c r="X35" s="25"/>
      <c r="Y35" s="9"/>
      <c r="Z35" s="25"/>
      <c r="AA35" s="9"/>
      <c r="AB35" s="25"/>
      <c r="AC35" s="9"/>
      <c r="AD35" s="25"/>
      <c r="AE35" s="9"/>
      <c r="AF35" s="25"/>
      <c r="AG35" s="9"/>
      <c r="AH35" s="25"/>
      <c r="AI35" s="9"/>
      <c r="AJ35" s="25"/>
      <c r="AK35" s="9"/>
      <c r="AL35" s="25"/>
      <c r="AM35" s="9"/>
      <c r="AN35" s="25"/>
      <c r="AO35" s="9"/>
      <c r="AP35" s="25"/>
      <c r="AQ35" s="9"/>
    </row>
    <row r="36" spans="1:43" x14ac:dyDescent="0.25">
      <c r="A36" s="11" t="s">
        <v>45</v>
      </c>
      <c r="B36" s="32" t="s">
        <v>140</v>
      </c>
      <c r="C36" s="13">
        <v>22213846</v>
      </c>
      <c r="D36" s="14">
        <v>7905469</v>
      </c>
      <c r="E36" s="15">
        <f t="shared" si="5"/>
        <v>0.35588024694147963</v>
      </c>
      <c r="F36" s="16">
        <v>0</v>
      </c>
      <c r="G36" s="15">
        <f t="shared" si="6"/>
        <v>0</v>
      </c>
      <c r="H36" s="26"/>
      <c r="I36" s="15">
        <f t="shared" si="7"/>
        <v>0</v>
      </c>
      <c r="J36" s="17">
        <f>6551470+1070753+522818+616</f>
        <v>8145657</v>
      </c>
      <c r="K36" s="15">
        <f t="shared" si="8"/>
        <v>0.36669278251051168</v>
      </c>
      <c r="L36" s="18">
        <v>1.0900000000000001</v>
      </c>
      <c r="M36" s="17">
        <v>6162718</v>
      </c>
      <c r="N36" s="19">
        <f t="shared" si="9"/>
        <v>0.27742688051407216</v>
      </c>
      <c r="O36" s="20"/>
      <c r="P36" s="21"/>
      <c r="Q36" s="22"/>
      <c r="R36" s="23"/>
      <c r="S36" s="24"/>
      <c r="T36" s="27"/>
      <c r="U36" s="22"/>
      <c r="V36" s="25"/>
      <c r="W36" s="9"/>
      <c r="X36" s="25"/>
      <c r="Y36" s="9"/>
      <c r="Z36" s="25"/>
      <c r="AA36" s="9"/>
      <c r="AB36" s="25"/>
      <c r="AC36" s="9"/>
      <c r="AD36" s="25"/>
      <c r="AE36" s="9"/>
      <c r="AF36" s="25"/>
      <c r="AG36" s="9"/>
      <c r="AH36" s="25"/>
      <c r="AI36" s="9"/>
      <c r="AJ36" s="25"/>
      <c r="AK36" s="9"/>
      <c r="AL36" s="25"/>
      <c r="AM36" s="9"/>
      <c r="AN36" s="25"/>
      <c r="AO36" s="9"/>
      <c r="AP36" s="25"/>
      <c r="AQ36" s="9"/>
    </row>
    <row r="37" spans="1:43" x14ac:dyDescent="0.25">
      <c r="A37" s="11" t="s">
        <v>46</v>
      </c>
      <c r="B37" s="32" t="s">
        <v>141</v>
      </c>
      <c r="C37" s="13">
        <v>26018754</v>
      </c>
      <c r="D37" s="14">
        <v>10500000</v>
      </c>
      <c r="E37" s="15">
        <f t="shared" si="5"/>
        <v>0.40355506647243755</v>
      </c>
      <c r="F37" s="16">
        <v>0</v>
      </c>
      <c r="G37" s="15">
        <f t="shared" si="6"/>
        <v>0</v>
      </c>
      <c r="H37" s="26"/>
      <c r="I37" s="15">
        <f t="shared" si="7"/>
        <v>0</v>
      </c>
      <c r="J37" s="17">
        <f>7459625+476671+555607+582537+644</f>
        <v>9075084</v>
      </c>
      <c r="K37" s="15">
        <f t="shared" si="8"/>
        <v>0.34879010732028137</v>
      </c>
      <c r="L37" s="18">
        <v>0.95</v>
      </c>
      <c r="M37" s="17">
        <v>6443670</v>
      </c>
      <c r="N37" s="19">
        <f t="shared" si="9"/>
        <v>0.2476548262072811</v>
      </c>
      <c r="O37" s="20"/>
      <c r="P37" s="21"/>
      <c r="Q37" s="22"/>
      <c r="R37" s="23"/>
      <c r="S37" s="24"/>
      <c r="T37" s="27"/>
      <c r="U37" s="22"/>
      <c r="V37" s="25"/>
      <c r="W37" s="9"/>
      <c r="X37" s="25"/>
      <c r="Y37" s="9"/>
      <c r="Z37" s="25"/>
      <c r="AA37" s="9"/>
      <c r="AB37" s="25"/>
      <c r="AC37" s="9"/>
      <c r="AD37" s="25"/>
      <c r="AE37" s="9"/>
      <c r="AF37" s="25"/>
      <c r="AG37" s="9"/>
      <c r="AH37" s="25"/>
      <c r="AI37" s="9"/>
      <c r="AJ37" s="25"/>
      <c r="AK37" s="9"/>
      <c r="AL37" s="25"/>
      <c r="AM37" s="9"/>
      <c r="AN37" s="25"/>
      <c r="AO37" s="9"/>
      <c r="AP37" s="25"/>
      <c r="AQ37" s="9"/>
    </row>
    <row r="38" spans="1:43" x14ac:dyDescent="0.25">
      <c r="A38" s="11" t="s">
        <v>47</v>
      </c>
      <c r="B38" s="32" t="s">
        <v>142</v>
      </c>
      <c r="C38" s="13">
        <v>14449272</v>
      </c>
      <c r="D38" s="14">
        <v>9000000</v>
      </c>
      <c r="E38" s="15">
        <f t="shared" si="5"/>
        <v>0.62286875075782366</v>
      </c>
      <c r="F38" s="16">
        <v>630000</v>
      </c>
      <c r="G38" s="15">
        <f t="shared" si="6"/>
        <v>4.3600812553047652E-2</v>
      </c>
      <c r="H38" s="26"/>
      <c r="I38" s="15">
        <f t="shared" si="7"/>
        <v>0</v>
      </c>
      <c r="J38" s="17">
        <v>887619</v>
      </c>
      <c r="K38" s="15">
        <f t="shared" si="8"/>
        <v>6.1430015297656522E-2</v>
      </c>
      <c r="L38" s="18">
        <v>0.94994999999999996</v>
      </c>
      <c r="M38" s="17">
        <v>3931653</v>
      </c>
      <c r="N38" s="19">
        <f t="shared" si="9"/>
        <v>0.27210042139147217</v>
      </c>
      <c r="O38" s="20"/>
      <c r="P38" s="21"/>
      <c r="Q38" s="22"/>
      <c r="R38" s="23"/>
      <c r="S38" s="24"/>
      <c r="T38" s="27"/>
      <c r="U38" s="22"/>
      <c r="V38" s="25"/>
      <c r="W38" s="22"/>
      <c r="X38" s="25"/>
      <c r="Y38" s="9"/>
      <c r="Z38" s="25"/>
      <c r="AA38" s="9"/>
      <c r="AB38" s="25"/>
      <c r="AC38" s="9"/>
      <c r="AD38" s="25"/>
      <c r="AE38" s="9"/>
      <c r="AF38" s="25"/>
      <c r="AG38" s="9"/>
      <c r="AH38" s="25"/>
      <c r="AI38" s="9"/>
      <c r="AJ38" s="25"/>
      <c r="AK38" s="9"/>
      <c r="AL38" s="25"/>
      <c r="AM38" s="9"/>
      <c r="AN38" s="25"/>
      <c r="AO38" s="9"/>
      <c r="AP38" s="25"/>
      <c r="AQ38" s="9"/>
    </row>
    <row r="39" spans="1:43" x14ac:dyDescent="0.25">
      <c r="A39" s="11" t="s">
        <v>48</v>
      </c>
      <c r="B39" s="32" t="s">
        <v>143</v>
      </c>
      <c r="C39" s="13">
        <v>17008828</v>
      </c>
      <c r="D39" s="14">
        <v>11000000</v>
      </c>
      <c r="E39" s="15">
        <f t="shared" si="5"/>
        <v>0.64672298408802775</v>
      </c>
      <c r="F39" s="16">
        <v>0</v>
      </c>
      <c r="G39" s="15">
        <f t="shared" si="6"/>
        <v>0</v>
      </c>
      <c r="H39" s="26"/>
      <c r="I39" s="15">
        <f t="shared" si="7"/>
        <v>0</v>
      </c>
      <c r="J39" s="17">
        <v>1456447</v>
      </c>
      <c r="K39" s="15">
        <f t="shared" si="8"/>
        <v>8.5628886364186876E-2</v>
      </c>
      <c r="L39" s="18">
        <v>0.94989999999999997</v>
      </c>
      <c r="M39" s="17">
        <v>4552381</v>
      </c>
      <c r="N39" s="19">
        <f t="shared" si="9"/>
        <v>0.26764812954778544</v>
      </c>
      <c r="O39" s="20"/>
      <c r="P39" s="21"/>
      <c r="Q39" s="22"/>
      <c r="R39" s="23"/>
      <c r="S39" s="24"/>
      <c r="T39" s="27"/>
      <c r="U39" s="22"/>
      <c r="V39" s="25"/>
      <c r="W39" s="9"/>
      <c r="X39" s="25"/>
      <c r="Y39" s="9"/>
      <c r="Z39" s="25"/>
      <c r="AA39" s="9"/>
      <c r="AB39" s="25"/>
      <c r="AC39" s="9"/>
      <c r="AD39" s="25"/>
      <c r="AE39" s="9"/>
      <c r="AF39" s="25"/>
      <c r="AG39" s="9"/>
      <c r="AH39" s="25"/>
      <c r="AI39" s="9"/>
      <c r="AJ39" s="25"/>
      <c r="AK39" s="9"/>
      <c r="AL39" s="25"/>
      <c r="AM39" s="9"/>
      <c r="AN39" s="25"/>
      <c r="AO39" s="9"/>
      <c r="AP39" s="25"/>
      <c r="AQ39" s="9"/>
    </row>
    <row r="40" spans="1:43" x14ac:dyDescent="0.25">
      <c r="A40" s="11" t="s">
        <v>49</v>
      </c>
      <c r="B40" s="33" t="s">
        <v>144</v>
      </c>
      <c r="C40" s="13">
        <v>69153089</v>
      </c>
      <c r="D40" s="14">
        <v>45132039</v>
      </c>
      <c r="E40" s="15">
        <f t="shared" si="5"/>
        <v>0.65263952272616488</v>
      </c>
      <c r="F40" s="16">
        <v>0</v>
      </c>
      <c r="G40" s="15">
        <f t="shared" si="6"/>
        <v>0</v>
      </c>
      <c r="H40" s="30"/>
      <c r="I40" s="15">
        <f t="shared" si="7"/>
        <v>0</v>
      </c>
      <c r="J40" s="17">
        <v>2896683</v>
      </c>
      <c r="K40" s="15">
        <f t="shared" si="8"/>
        <v>4.1887976978150609E-2</v>
      </c>
      <c r="L40" s="18">
        <v>0.99990000000000001</v>
      </c>
      <c r="M40" s="17">
        <v>21124367</v>
      </c>
      <c r="N40" s="19">
        <f t="shared" si="9"/>
        <v>0.30547250029568457</v>
      </c>
      <c r="O40" s="20"/>
      <c r="P40" s="21"/>
      <c r="Q40" s="22"/>
      <c r="R40" s="23"/>
      <c r="S40" s="24"/>
      <c r="T40" s="27"/>
      <c r="U40" s="22"/>
      <c r="V40" s="25"/>
      <c r="W40" s="9"/>
      <c r="X40" s="25"/>
      <c r="Y40" s="9"/>
      <c r="Z40" s="25"/>
      <c r="AA40" s="9"/>
      <c r="AB40" s="25"/>
      <c r="AC40" s="9"/>
      <c r="AD40" s="25"/>
      <c r="AE40" s="9"/>
      <c r="AF40" s="25"/>
      <c r="AG40" s="9"/>
      <c r="AH40" s="25"/>
      <c r="AI40" s="9"/>
      <c r="AJ40" s="25"/>
      <c r="AK40" s="9"/>
      <c r="AL40" s="25"/>
      <c r="AM40" s="9"/>
      <c r="AN40" s="25"/>
      <c r="AO40" s="9"/>
      <c r="AP40" s="25"/>
      <c r="AQ40" s="9"/>
    </row>
    <row r="41" spans="1:43" x14ac:dyDescent="0.25">
      <c r="A41" s="11" t="s">
        <v>50</v>
      </c>
      <c r="B41" s="34" t="s">
        <v>145</v>
      </c>
      <c r="C41" s="13">
        <v>14071109</v>
      </c>
      <c r="D41" s="14">
        <v>4694000</v>
      </c>
      <c r="E41" s="15">
        <f t="shared" si="5"/>
        <v>0.33359133242447342</v>
      </c>
      <c r="F41" s="16">
        <v>0</v>
      </c>
      <c r="G41" s="15">
        <f t="shared" si="6"/>
        <v>0</v>
      </c>
      <c r="H41" s="30"/>
      <c r="I41" s="15">
        <f t="shared" si="7"/>
        <v>0</v>
      </c>
      <c r="J41" s="17">
        <f>4264968+299200+100+991300</f>
        <v>5555568</v>
      </c>
      <c r="K41" s="15">
        <f t="shared" si="8"/>
        <v>0.39482090572960526</v>
      </c>
      <c r="L41" s="18">
        <v>0.94989999999999997</v>
      </c>
      <c r="M41" s="17">
        <v>3821541</v>
      </c>
      <c r="N41" s="19">
        <f t="shared" si="9"/>
        <v>0.27158776184592132</v>
      </c>
      <c r="O41" s="20"/>
      <c r="P41" s="21"/>
      <c r="Q41" s="22"/>
      <c r="R41" s="23"/>
      <c r="S41" s="24"/>
      <c r="T41" s="27"/>
      <c r="U41" s="22"/>
      <c r="V41" s="25"/>
      <c r="W41" s="9"/>
      <c r="X41" s="25"/>
      <c r="Y41" s="9"/>
      <c r="Z41" s="25"/>
      <c r="AA41" s="9"/>
      <c r="AB41" s="25"/>
      <c r="AC41" s="9"/>
      <c r="AD41" s="25"/>
      <c r="AE41" s="9"/>
      <c r="AF41" s="25"/>
      <c r="AG41" s="9"/>
      <c r="AH41" s="25"/>
      <c r="AI41" s="9"/>
      <c r="AJ41" s="25"/>
      <c r="AK41" s="9"/>
      <c r="AL41" s="25"/>
      <c r="AM41" s="9"/>
      <c r="AN41" s="25"/>
      <c r="AO41" s="9"/>
      <c r="AP41" s="25"/>
      <c r="AQ41" s="9"/>
    </row>
    <row r="42" spans="1:43" x14ac:dyDescent="0.25">
      <c r="A42" s="11" t="s">
        <v>51</v>
      </c>
      <c r="B42" s="34" t="s">
        <v>146</v>
      </c>
      <c r="C42" s="13">
        <v>37942648</v>
      </c>
      <c r="D42" s="14">
        <v>0</v>
      </c>
      <c r="E42" s="15">
        <f t="shared" si="5"/>
        <v>0</v>
      </c>
      <c r="F42" s="16">
        <f>7345000+9670574+1500000+4350000+600000+136207</f>
        <v>23601781</v>
      </c>
      <c r="G42" s="15">
        <f t="shared" si="6"/>
        <v>0.6220383195184479</v>
      </c>
      <c r="H42" s="30"/>
      <c r="I42" s="15">
        <f t="shared" si="7"/>
        <v>0</v>
      </c>
      <c r="J42" s="17">
        <f>1345000+120500</f>
        <v>1465500</v>
      </c>
      <c r="K42" s="15">
        <f t="shared" si="8"/>
        <v>3.8624083379736704E-2</v>
      </c>
      <c r="L42" s="18">
        <v>1.05057</v>
      </c>
      <c r="M42" s="17">
        <v>12875367</v>
      </c>
      <c r="N42" s="19">
        <f t="shared" si="9"/>
        <v>0.33933759710181532</v>
      </c>
      <c r="O42" s="20"/>
      <c r="P42" s="21"/>
      <c r="Q42" s="22"/>
      <c r="R42" s="23"/>
      <c r="S42" s="24"/>
      <c r="T42" s="27"/>
      <c r="U42" s="22"/>
      <c r="V42" s="25"/>
      <c r="W42" s="9"/>
      <c r="X42" s="25"/>
      <c r="Y42" s="9"/>
      <c r="Z42" s="25"/>
      <c r="AA42" s="9"/>
      <c r="AB42" s="25"/>
      <c r="AC42" s="9"/>
      <c r="AD42" s="25"/>
      <c r="AE42" s="9"/>
      <c r="AF42" s="25"/>
      <c r="AG42" s="9"/>
      <c r="AH42" s="25"/>
      <c r="AI42" s="9"/>
      <c r="AJ42" s="25"/>
      <c r="AK42" s="9"/>
      <c r="AL42" s="25"/>
      <c r="AM42" s="9"/>
      <c r="AN42" s="25"/>
      <c r="AO42" s="9"/>
      <c r="AP42" s="25"/>
      <c r="AQ42" s="9"/>
    </row>
    <row r="43" spans="1:43" x14ac:dyDescent="0.25">
      <c r="A43" s="11" t="s">
        <v>52</v>
      </c>
      <c r="B43" s="34" t="s">
        <v>147</v>
      </c>
      <c r="C43" s="13">
        <v>85945573</v>
      </c>
      <c r="D43" s="14">
        <f>24500000+26000000</f>
        <v>50500000</v>
      </c>
      <c r="E43" s="15">
        <f t="shared" si="5"/>
        <v>0.58758116604795918</v>
      </c>
      <c r="F43" s="16">
        <v>0</v>
      </c>
      <c r="G43" s="15">
        <f t="shared" si="6"/>
        <v>0</v>
      </c>
      <c r="H43" s="30"/>
      <c r="I43" s="15">
        <f t="shared" si="7"/>
        <v>0</v>
      </c>
      <c r="J43" s="17">
        <v>0</v>
      </c>
      <c r="K43" s="15">
        <f t="shared" si="8"/>
        <v>0</v>
      </c>
      <c r="L43" s="18">
        <v>1.0399</v>
      </c>
      <c r="M43" s="17">
        <v>35445573</v>
      </c>
      <c r="N43" s="19">
        <f t="shared" si="9"/>
        <v>0.41241883395204076</v>
      </c>
      <c r="O43" s="20"/>
      <c r="P43" s="21"/>
      <c r="Q43" s="22"/>
      <c r="R43" s="23"/>
      <c r="S43" s="24"/>
      <c r="T43" s="27"/>
      <c r="U43" s="22"/>
      <c r="V43" s="25"/>
      <c r="W43" s="9"/>
      <c r="X43" s="25"/>
      <c r="Y43" s="9"/>
      <c r="Z43" s="25"/>
      <c r="AA43" s="9"/>
      <c r="AB43" s="25"/>
      <c r="AC43" s="9"/>
      <c r="AD43" s="25"/>
      <c r="AE43" s="9"/>
      <c r="AF43" s="25"/>
      <c r="AG43" s="9"/>
      <c r="AH43" s="25"/>
      <c r="AI43" s="9"/>
      <c r="AJ43" s="25"/>
      <c r="AK43" s="9"/>
      <c r="AL43" s="25"/>
      <c r="AM43" s="9"/>
      <c r="AN43" s="25"/>
      <c r="AO43" s="9"/>
      <c r="AP43" s="25"/>
      <c r="AQ43" s="9"/>
    </row>
    <row r="44" spans="1:43" x14ac:dyDescent="0.25">
      <c r="A44" s="35" t="s">
        <v>53</v>
      </c>
      <c r="B44" s="36" t="s">
        <v>148</v>
      </c>
      <c r="C44" s="13">
        <v>20727277</v>
      </c>
      <c r="D44" s="14">
        <v>2550600</v>
      </c>
      <c r="E44" s="15">
        <f t="shared" si="5"/>
        <v>0.12305523779124485</v>
      </c>
      <c r="F44" s="16">
        <v>2653755</v>
      </c>
      <c r="G44" s="15">
        <f t="shared" si="6"/>
        <v>0.12803201308112011</v>
      </c>
      <c r="H44" s="30">
        <v>693100</v>
      </c>
      <c r="I44" s="15">
        <f t="shared" si="7"/>
        <v>3.3439028194586294E-2</v>
      </c>
      <c r="J44" s="17">
        <f>6856136+251033+263079+477101</f>
        <v>7847349</v>
      </c>
      <c r="K44" s="15">
        <f t="shared" si="8"/>
        <v>0.37860009300787556</v>
      </c>
      <c r="L44" s="18">
        <v>1.0339</v>
      </c>
      <c r="M44" s="17">
        <v>6982473</v>
      </c>
      <c r="N44" s="19">
        <f t="shared" si="9"/>
        <v>0.33687362792517317</v>
      </c>
      <c r="O44" s="20"/>
      <c r="P44" s="21"/>
      <c r="Q44" s="22"/>
      <c r="R44" s="23"/>
      <c r="S44" s="24"/>
      <c r="T44" s="27"/>
      <c r="U44" s="22"/>
      <c r="V44" s="25"/>
      <c r="W44" s="9"/>
      <c r="X44" s="25"/>
      <c r="Y44" s="9"/>
      <c r="Z44" s="25"/>
      <c r="AA44" s="9"/>
      <c r="AB44" s="25"/>
      <c r="AC44" s="9"/>
      <c r="AD44" s="25"/>
      <c r="AE44" s="9"/>
      <c r="AF44" s="25"/>
      <c r="AG44" s="9"/>
      <c r="AH44" s="25"/>
      <c r="AI44" s="9"/>
      <c r="AJ44" s="25"/>
      <c r="AK44" s="9"/>
      <c r="AL44" s="25"/>
      <c r="AM44" s="9"/>
      <c r="AN44" s="25"/>
      <c r="AO44" s="9"/>
      <c r="AP44" s="25"/>
      <c r="AQ44" s="9"/>
    </row>
    <row r="45" spans="1:43" x14ac:dyDescent="0.25">
      <c r="A45" s="35" t="s">
        <v>54</v>
      </c>
      <c r="B45" s="36" t="s">
        <v>149</v>
      </c>
      <c r="C45" s="13">
        <v>13427823</v>
      </c>
      <c r="D45" s="14">
        <v>7013000</v>
      </c>
      <c r="E45" s="15">
        <f t="shared" si="5"/>
        <v>0.52227378928066004</v>
      </c>
      <c r="F45" s="16">
        <f>1200000+400000</f>
        <v>1600000</v>
      </c>
      <c r="G45" s="15">
        <f t="shared" si="6"/>
        <v>0.11915557719222244</v>
      </c>
      <c r="H45" s="30"/>
      <c r="I45" s="15">
        <f t="shared" si="7"/>
        <v>0</v>
      </c>
      <c r="J45" s="17">
        <v>136000</v>
      </c>
      <c r="K45" s="15">
        <f t="shared" si="8"/>
        <v>1.0128224061338908E-2</v>
      </c>
      <c r="L45" s="18">
        <v>0.98231000000000002</v>
      </c>
      <c r="M45" s="17">
        <v>4678823</v>
      </c>
      <c r="N45" s="19">
        <f t="shared" si="9"/>
        <v>0.34844240946577865</v>
      </c>
      <c r="O45" s="20"/>
      <c r="P45" s="21"/>
      <c r="Q45" s="22"/>
      <c r="R45" s="23"/>
      <c r="S45" s="22"/>
      <c r="T45" s="27"/>
      <c r="U45" s="22"/>
      <c r="V45" s="25"/>
      <c r="W45" s="9"/>
      <c r="X45" s="25"/>
      <c r="Y45" s="9"/>
      <c r="Z45" s="25"/>
      <c r="AA45" s="9"/>
      <c r="AB45" s="25"/>
      <c r="AC45" s="9"/>
      <c r="AD45" s="25"/>
      <c r="AE45" s="9"/>
      <c r="AF45" s="25"/>
      <c r="AG45" s="9"/>
      <c r="AH45" s="25"/>
      <c r="AI45" s="9"/>
      <c r="AJ45" s="25"/>
      <c r="AK45" s="9"/>
      <c r="AL45" s="25"/>
      <c r="AM45" s="9"/>
      <c r="AN45" s="25"/>
      <c r="AO45" s="9"/>
      <c r="AP45" s="25"/>
      <c r="AQ45" s="9"/>
    </row>
    <row r="46" spans="1:43" x14ac:dyDescent="0.25">
      <c r="A46" s="35" t="s">
        <v>55</v>
      </c>
      <c r="B46" s="36" t="s">
        <v>150</v>
      </c>
      <c r="C46" s="13">
        <v>57107248</v>
      </c>
      <c r="D46" s="14">
        <v>28635000</v>
      </c>
      <c r="E46" s="15">
        <f t="shared" si="5"/>
        <v>0.50142496798304836</v>
      </c>
      <c r="F46" s="16">
        <v>500000</v>
      </c>
      <c r="G46" s="15">
        <f t="shared" si="6"/>
        <v>8.7554560499921129E-3</v>
      </c>
      <c r="H46" s="30"/>
      <c r="I46" s="15">
        <f t="shared" si="7"/>
        <v>0</v>
      </c>
      <c r="J46" s="17">
        <f>600000+5730000+972260</f>
        <v>7302260</v>
      </c>
      <c r="K46" s="15">
        <f t="shared" si="8"/>
        <v>0.12786923299123082</v>
      </c>
      <c r="L46" s="18">
        <v>1.02142</v>
      </c>
      <c r="M46" s="17">
        <v>20669988</v>
      </c>
      <c r="N46" s="19">
        <f t="shared" si="9"/>
        <v>0.36195034297572876</v>
      </c>
      <c r="O46" s="20"/>
      <c r="P46" s="21"/>
      <c r="Q46" s="22"/>
      <c r="R46" s="23"/>
      <c r="S46" s="22"/>
      <c r="T46" s="27"/>
      <c r="U46" s="22"/>
      <c r="V46" s="25"/>
      <c r="W46" s="9"/>
      <c r="X46" s="25"/>
      <c r="Y46" s="9"/>
      <c r="Z46" s="25"/>
      <c r="AA46" s="9"/>
      <c r="AB46" s="25"/>
      <c r="AC46" s="9"/>
      <c r="AD46" s="25"/>
      <c r="AE46" s="9"/>
      <c r="AF46" s="25"/>
      <c r="AG46" s="9"/>
      <c r="AH46" s="25"/>
      <c r="AI46" s="9"/>
      <c r="AJ46" s="25"/>
      <c r="AK46" s="9"/>
      <c r="AL46" s="25"/>
      <c r="AM46" s="9"/>
      <c r="AN46" s="25"/>
      <c r="AO46" s="9"/>
      <c r="AP46" s="25"/>
      <c r="AQ46" s="9"/>
    </row>
    <row r="47" spans="1:43" x14ac:dyDescent="0.25">
      <c r="A47" s="35" t="s">
        <v>56</v>
      </c>
      <c r="B47" s="36" t="s">
        <v>151</v>
      </c>
      <c r="C47" s="13">
        <v>18445343</v>
      </c>
      <c r="D47" s="14">
        <v>11750000</v>
      </c>
      <c r="E47" s="15">
        <f t="shared" si="5"/>
        <v>0.63701715929055913</v>
      </c>
      <c r="F47" s="16">
        <v>0</v>
      </c>
      <c r="G47" s="15">
        <f t="shared" si="6"/>
        <v>0</v>
      </c>
      <c r="H47" s="26"/>
      <c r="I47" s="15">
        <f t="shared" si="7"/>
        <v>0</v>
      </c>
      <c r="J47" s="17">
        <f>90000+605250+1009077</f>
        <v>1704327</v>
      </c>
      <c r="K47" s="15">
        <f t="shared" si="8"/>
        <v>9.2398769705719211E-2</v>
      </c>
      <c r="L47" s="18">
        <v>0.95</v>
      </c>
      <c r="M47" s="17">
        <v>4991016</v>
      </c>
      <c r="N47" s="19">
        <f t="shared" si="9"/>
        <v>0.27058407100372167</v>
      </c>
      <c r="O47" s="20"/>
      <c r="P47" s="21"/>
      <c r="Q47" s="22"/>
      <c r="R47" s="23"/>
      <c r="S47" s="24"/>
      <c r="T47" s="27"/>
      <c r="U47" s="22"/>
      <c r="V47" s="25"/>
      <c r="W47" s="22"/>
      <c r="X47" s="25"/>
      <c r="Y47" s="9"/>
      <c r="Z47" s="25"/>
      <c r="AA47" s="9"/>
      <c r="AB47" s="25"/>
      <c r="AC47" s="9"/>
      <c r="AD47" s="25"/>
      <c r="AE47" s="9"/>
      <c r="AF47" s="25"/>
      <c r="AG47" s="9"/>
      <c r="AH47" s="25"/>
      <c r="AI47" s="9"/>
      <c r="AJ47" s="25"/>
      <c r="AK47" s="9"/>
      <c r="AL47" s="25"/>
      <c r="AM47" s="9"/>
      <c r="AN47" s="25"/>
      <c r="AO47" s="9"/>
      <c r="AP47" s="25"/>
      <c r="AQ47" s="9"/>
    </row>
    <row r="48" spans="1:43" x14ac:dyDescent="0.25">
      <c r="A48" s="35" t="s">
        <v>57</v>
      </c>
      <c r="B48" s="36" t="s">
        <v>152</v>
      </c>
      <c r="C48" s="13">
        <v>11256908</v>
      </c>
      <c r="D48" s="14">
        <v>1263900</v>
      </c>
      <c r="E48" s="15">
        <f t="shared" si="5"/>
        <v>0.11227772315452876</v>
      </c>
      <c r="F48" s="16">
        <f>3443035+21733+1800000+48268+181345</f>
        <v>5494381</v>
      </c>
      <c r="G48" s="15">
        <f t="shared" si="6"/>
        <v>0.48808971344529067</v>
      </c>
      <c r="H48" s="30"/>
      <c r="I48" s="15">
        <f t="shared" si="7"/>
        <v>0</v>
      </c>
      <c r="J48" s="17">
        <f>700000+158919</f>
        <v>858919</v>
      </c>
      <c r="K48" s="15">
        <f t="shared" si="8"/>
        <v>7.6301503041510149E-2</v>
      </c>
      <c r="L48" s="18">
        <v>0.88095000000000001</v>
      </c>
      <c r="M48" s="17">
        <v>3639708</v>
      </c>
      <c r="N48" s="19">
        <f t="shared" si="9"/>
        <v>0.32333106035867043</v>
      </c>
      <c r="O48" s="20"/>
      <c r="P48" s="21"/>
      <c r="Q48" s="22"/>
      <c r="R48" s="23"/>
      <c r="S48" s="24"/>
      <c r="T48" s="27"/>
      <c r="U48" s="22"/>
      <c r="V48" s="25"/>
      <c r="W48" s="9"/>
      <c r="X48" s="25"/>
      <c r="Y48" s="9"/>
      <c r="Z48" s="25"/>
      <c r="AA48" s="9"/>
      <c r="AB48" s="25"/>
      <c r="AC48" s="9"/>
      <c r="AD48" s="25"/>
      <c r="AE48" s="9"/>
      <c r="AF48" s="25"/>
      <c r="AG48" s="9"/>
      <c r="AH48" s="25"/>
      <c r="AI48" s="9"/>
      <c r="AJ48" s="25"/>
      <c r="AK48" s="9"/>
      <c r="AL48" s="25"/>
      <c r="AM48" s="9"/>
      <c r="AN48" s="25"/>
      <c r="AO48" s="9"/>
      <c r="AP48" s="25"/>
      <c r="AQ48" s="9"/>
    </row>
    <row r="49" spans="1:43" x14ac:dyDescent="0.25">
      <c r="A49" s="35" t="s">
        <v>58</v>
      </c>
      <c r="B49" s="36" t="s">
        <v>153</v>
      </c>
      <c r="C49" s="13">
        <v>28222221</v>
      </c>
      <c r="D49" s="14">
        <v>4868300</v>
      </c>
      <c r="E49" s="15">
        <f t="shared" si="5"/>
        <v>0.17249882636805941</v>
      </c>
      <c r="F49" s="16">
        <f>3850000+1054103+2267437+123737+191762</f>
        <v>7487039</v>
      </c>
      <c r="G49" s="15">
        <f t="shared" si="6"/>
        <v>0.26528879495345176</v>
      </c>
      <c r="H49" s="30"/>
      <c r="I49" s="15">
        <f t="shared" si="7"/>
        <v>0</v>
      </c>
      <c r="J49" s="30">
        <f>4287612+1100000</f>
        <v>5387612</v>
      </c>
      <c r="K49" s="15">
        <f t="shared" si="8"/>
        <v>0.19089964606258308</v>
      </c>
      <c r="L49" s="18">
        <v>1.10256</v>
      </c>
      <c r="M49" s="17">
        <v>10479270</v>
      </c>
      <c r="N49" s="19">
        <f t="shared" si="9"/>
        <v>0.37131273261590575</v>
      </c>
      <c r="O49" s="20"/>
      <c r="P49" s="21"/>
      <c r="Q49" s="22"/>
      <c r="R49" s="23"/>
      <c r="S49" s="24"/>
      <c r="T49" s="27"/>
      <c r="U49" s="24"/>
      <c r="V49" s="25"/>
      <c r="W49" s="9"/>
      <c r="X49" s="25"/>
      <c r="Y49" s="9"/>
      <c r="Z49" s="25"/>
      <c r="AA49" s="9"/>
      <c r="AB49" s="25"/>
      <c r="AC49" s="9"/>
      <c r="AD49" s="25"/>
      <c r="AE49" s="9"/>
      <c r="AF49" s="25"/>
      <c r="AG49" s="9"/>
      <c r="AH49" s="25"/>
      <c r="AI49" s="9"/>
      <c r="AJ49" s="25"/>
      <c r="AK49" s="9"/>
      <c r="AL49" s="25"/>
      <c r="AM49" s="9"/>
      <c r="AN49" s="25"/>
      <c r="AO49" s="9"/>
      <c r="AP49" s="25"/>
      <c r="AQ49" s="9"/>
    </row>
    <row r="50" spans="1:43" x14ac:dyDescent="0.25">
      <c r="A50" s="35" t="s">
        <v>59</v>
      </c>
      <c r="B50" s="36" t="s">
        <v>154</v>
      </c>
      <c r="C50" s="13">
        <v>58791543</v>
      </c>
      <c r="D50" s="14">
        <v>11653700</v>
      </c>
      <c r="E50" s="15">
        <f t="shared" si="5"/>
        <v>0.19822068626434927</v>
      </c>
      <c r="F50" s="16">
        <v>0</v>
      </c>
      <c r="G50" s="15">
        <f t="shared" si="6"/>
        <v>0</v>
      </c>
      <c r="H50" s="30"/>
      <c r="I50" s="15">
        <f t="shared" si="7"/>
        <v>0</v>
      </c>
      <c r="J50" s="17">
        <f>24200000+5000000+184982+699678+750000</f>
        <v>30834660</v>
      </c>
      <c r="K50" s="15">
        <f t="shared" si="8"/>
        <v>0.52447441292704289</v>
      </c>
      <c r="L50" s="18">
        <v>1.0260800000000001</v>
      </c>
      <c r="M50" s="17">
        <v>16303183</v>
      </c>
      <c r="N50" s="19">
        <f t="shared" si="9"/>
        <v>0.27730490080860781</v>
      </c>
      <c r="O50" s="20"/>
      <c r="P50" s="21"/>
      <c r="Q50" s="22"/>
      <c r="R50" s="23"/>
      <c r="S50" s="24"/>
      <c r="T50" s="27"/>
      <c r="U50" s="22"/>
      <c r="V50" s="25"/>
      <c r="W50" s="24"/>
      <c r="X50" s="25"/>
      <c r="Y50" s="24"/>
      <c r="Z50" s="25"/>
      <c r="AA50" s="9"/>
      <c r="AB50" s="25"/>
      <c r="AC50" s="9"/>
      <c r="AD50" s="25"/>
      <c r="AE50" s="9"/>
      <c r="AF50" s="25"/>
      <c r="AG50" s="9"/>
      <c r="AH50" s="25"/>
      <c r="AI50" s="9"/>
      <c r="AJ50" s="25"/>
      <c r="AK50" s="9"/>
      <c r="AL50" s="25"/>
      <c r="AM50" s="9"/>
      <c r="AN50" s="25"/>
      <c r="AO50" s="9"/>
      <c r="AP50" s="25"/>
      <c r="AQ50" s="9"/>
    </row>
    <row r="51" spans="1:43" x14ac:dyDescent="0.25">
      <c r="A51" s="35" t="s">
        <v>60</v>
      </c>
      <c r="B51" s="36" t="s">
        <v>155</v>
      </c>
      <c r="C51" s="13">
        <v>46373629</v>
      </c>
      <c r="D51" s="14">
        <v>38600000</v>
      </c>
      <c r="E51" s="15">
        <f t="shared" si="5"/>
        <v>0.8323696211051328</v>
      </c>
      <c r="F51" s="16">
        <v>0</v>
      </c>
      <c r="G51" s="15">
        <f t="shared" si="6"/>
        <v>0</v>
      </c>
      <c r="H51" s="30"/>
      <c r="I51" s="15">
        <f t="shared" si="7"/>
        <v>0</v>
      </c>
      <c r="J51" s="17">
        <f>2795350+1900000+795849</f>
        <v>5491199</v>
      </c>
      <c r="K51" s="15">
        <f t="shared" si="8"/>
        <v>0.1184121044311628</v>
      </c>
      <c r="L51" s="18">
        <v>1.0108999999999999</v>
      </c>
      <c r="M51" s="17">
        <v>2282430</v>
      </c>
      <c r="N51" s="19">
        <f t="shared" si="9"/>
        <v>4.9218274463704359E-2</v>
      </c>
      <c r="O51" s="20"/>
      <c r="P51" s="21"/>
      <c r="Q51" s="22"/>
      <c r="R51" s="23"/>
      <c r="S51" s="24"/>
      <c r="T51" s="27"/>
      <c r="U51" s="24"/>
      <c r="V51" s="25"/>
      <c r="W51" s="9"/>
      <c r="X51" s="25"/>
      <c r="Y51" s="9"/>
      <c r="Z51" s="25"/>
      <c r="AA51" s="9"/>
      <c r="AB51" s="25"/>
      <c r="AC51" s="9"/>
      <c r="AD51" s="25"/>
      <c r="AE51" s="9"/>
      <c r="AF51" s="25"/>
      <c r="AG51" s="9"/>
      <c r="AH51" s="25"/>
      <c r="AI51" s="9"/>
      <c r="AJ51" s="25"/>
      <c r="AK51" s="9"/>
      <c r="AL51" s="25"/>
      <c r="AM51" s="9"/>
      <c r="AN51" s="25"/>
      <c r="AO51" s="9"/>
      <c r="AP51" s="25"/>
      <c r="AQ51" s="9"/>
    </row>
    <row r="52" spans="1:43" x14ac:dyDescent="0.25">
      <c r="A52" s="35" t="s">
        <v>61</v>
      </c>
      <c r="B52" s="36" t="s">
        <v>156</v>
      </c>
      <c r="C52" s="13">
        <v>5133780</v>
      </c>
      <c r="D52" s="14">
        <v>2150000</v>
      </c>
      <c r="E52" s="15">
        <f t="shared" si="5"/>
        <v>0.4187947282509184</v>
      </c>
      <c r="F52" s="16">
        <f>1128000+400000</f>
        <v>1528000</v>
      </c>
      <c r="G52" s="15">
        <f t="shared" si="6"/>
        <v>0.29763643942669926</v>
      </c>
      <c r="H52" s="30"/>
      <c r="I52" s="15">
        <f t="shared" si="7"/>
        <v>0</v>
      </c>
      <c r="J52" s="17">
        <f>76000+51313</f>
        <v>127313</v>
      </c>
      <c r="K52" s="15">
        <f t="shared" si="8"/>
        <v>2.479907592456241E-2</v>
      </c>
      <c r="L52" s="18">
        <v>0.91991000000000001</v>
      </c>
      <c r="M52" s="17">
        <v>1328467</v>
      </c>
      <c r="N52" s="19">
        <f t="shared" si="9"/>
        <v>0.25876975639781991</v>
      </c>
      <c r="O52" s="20"/>
      <c r="P52" s="21"/>
      <c r="Q52" s="22"/>
      <c r="R52" s="23"/>
      <c r="S52" s="24"/>
      <c r="T52" s="27"/>
      <c r="U52" s="24"/>
      <c r="V52" s="25"/>
      <c r="W52" s="9"/>
      <c r="X52" s="25"/>
      <c r="Y52" s="9"/>
      <c r="Z52" s="25"/>
      <c r="AA52" s="9"/>
      <c r="AB52" s="25"/>
      <c r="AC52" s="9"/>
      <c r="AD52" s="25"/>
      <c r="AE52" s="9"/>
      <c r="AF52" s="25"/>
      <c r="AG52" s="9"/>
      <c r="AH52" s="25"/>
      <c r="AI52" s="9"/>
      <c r="AJ52" s="25"/>
      <c r="AK52" s="9"/>
      <c r="AL52" s="25"/>
      <c r="AM52" s="9"/>
      <c r="AN52" s="25"/>
      <c r="AO52" s="9"/>
      <c r="AP52" s="25"/>
      <c r="AQ52" s="9"/>
    </row>
    <row r="53" spans="1:43" x14ac:dyDescent="0.25">
      <c r="A53" s="35" t="s">
        <v>62</v>
      </c>
      <c r="B53" s="36" t="s">
        <v>157</v>
      </c>
      <c r="C53" s="13">
        <v>7204997</v>
      </c>
      <c r="D53" s="14">
        <f>3241855+1702943</f>
        <v>4944798</v>
      </c>
      <c r="E53" s="15">
        <f t="shared" si="5"/>
        <v>0.68630118791166739</v>
      </c>
      <c r="F53" s="16">
        <v>0</v>
      </c>
      <c r="G53" s="15">
        <f t="shared" si="6"/>
        <v>0</v>
      </c>
      <c r="H53" s="30"/>
      <c r="I53" s="15">
        <f t="shared" si="7"/>
        <v>0</v>
      </c>
      <c r="J53" s="17">
        <f>14259+598750</f>
        <v>613009</v>
      </c>
      <c r="K53" s="15">
        <f t="shared" si="8"/>
        <v>8.5081090248892544E-2</v>
      </c>
      <c r="L53" s="18">
        <v>0.85</v>
      </c>
      <c r="M53" s="17">
        <v>1647190</v>
      </c>
      <c r="N53" s="19">
        <f t="shared" si="9"/>
        <v>0.22861772183944004</v>
      </c>
      <c r="O53" s="20"/>
      <c r="P53" s="21"/>
      <c r="Q53" s="22"/>
      <c r="R53" s="23"/>
      <c r="S53" s="24"/>
      <c r="T53" s="27"/>
      <c r="U53" s="22"/>
      <c r="V53" s="25"/>
      <c r="W53" s="9"/>
      <c r="X53" s="25"/>
      <c r="Y53" s="9"/>
      <c r="Z53" s="25"/>
      <c r="AA53" s="9"/>
      <c r="AB53" s="25"/>
      <c r="AC53" s="9"/>
      <c r="AD53" s="25"/>
      <c r="AE53" s="9"/>
      <c r="AF53" s="25"/>
      <c r="AG53" s="9"/>
      <c r="AH53" s="25"/>
      <c r="AI53" s="9"/>
      <c r="AJ53" s="25"/>
      <c r="AK53" s="9"/>
      <c r="AL53" s="25"/>
      <c r="AM53" s="9"/>
      <c r="AN53" s="25"/>
      <c r="AO53" s="9"/>
      <c r="AP53" s="25"/>
      <c r="AQ53" s="9"/>
    </row>
    <row r="54" spans="1:43" x14ac:dyDescent="0.25">
      <c r="A54" s="35" t="s">
        <v>63</v>
      </c>
      <c r="B54" s="36" t="s">
        <v>158</v>
      </c>
      <c r="C54" s="13">
        <v>10516634</v>
      </c>
      <c r="D54" s="14">
        <v>6421157</v>
      </c>
      <c r="E54" s="15">
        <f t="shared" si="5"/>
        <v>0.61057150034887586</v>
      </c>
      <c r="F54" s="16">
        <v>0</v>
      </c>
      <c r="G54" s="15">
        <f t="shared" si="6"/>
        <v>0</v>
      </c>
      <c r="H54" s="30"/>
      <c r="I54" s="15">
        <f t="shared" si="7"/>
        <v>0</v>
      </c>
      <c r="J54" s="17">
        <f>42100+750000+240500+416558</f>
        <v>1449158</v>
      </c>
      <c r="K54" s="15">
        <f t="shared" si="8"/>
        <v>0.13779675131795971</v>
      </c>
      <c r="L54" s="18">
        <v>0.85</v>
      </c>
      <c r="M54" s="17">
        <v>2646319</v>
      </c>
      <c r="N54" s="19">
        <f t="shared" si="9"/>
        <v>0.25163174833316437</v>
      </c>
      <c r="O54" s="20"/>
      <c r="P54" s="21"/>
      <c r="Q54" s="22"/>
      <c r="R54" s="23"/>
      <c r="S54" s="24"/>
      <c r="T54" s="27"/>
      <c r="U54" s="24"/>
      <c r="V54" s="25"/>
      <c r="W54" s="9"/>
      <c r="X54" s="25"/>
      <c r="Y54" s="9"/>
      <c r="Z54" s="25"/>
      <c r="AA54" s="9"/>
      <c r="AB54" s="25"/>
      <c r="AC54" s="9"/>
      <c r="AD54" s="25"/>
      <c r="AE54" s="9"/>
      <c r="AF54" s="25"/>
      <c r="AG54" s="9"/>
      <c r="AH54" s="25"/>
      <c r="AI54" s="9"/>
      <c r="AJ54" s="25"/>
      <c r="AK54" s="9"/>
      <c r="AL54" s="25"/>
      <c r="AM54" s="9"/>
      <c r="AN54" s="25"/>
      <c r="AO54" s="9"/>
      <c r="AP54" s="25"/>
      <c r="AQ54" s="9"/>
    </row>
    <row r="55" spans="1:43" x14ac:dyDescent="0.25">
      <c r="A55" s="35" t="s">
        <v>64</v>
      </c>
      <c r="B55" s="36" t="s">
        <v>159</v>
      </c>
      <c r="C55" s="13">
        <v>42926514</v>
      </c>
      <c r="D55" s="14">
        <v>15900000</v>
      </c>
      <c r="E55" s="15">
        <f t="shared" si="5"/>
        <v>0.37040044761146923</v>
      </c>
      <c r="F55" s="16">
        <v>0</v>
      </c>
      <c r="G55" s="15">
        <f t="shared" si="6"/>
        <v>0</v>
      </c>
      <c r="H55" s="30"/>
      <c r="I55" s="15">
        <f t="shared" si="7"/>
        <v>0</v>
      </c>
      <c r="J55" s="17">
        <v>14564790</v>
      </c>
      <c r="K55" s="15">
        <f t="shared" si="8"/>
        <v>0.33929589530610382</v>
      </c>
      <c r="L55" s="18">
        <v>0.99</v>
      </c>
      <c r="M55" s="17">
        <v>12461724</v>
      </c>
      <c r="N55" s="19">
        <f t="shared" si="9"/>
        <v>0.29030365708242695</v>
      </c>
      <c r="O55" s="20"/>
      <c r="P55" s="21"/>
      <c r="Q55" s="22"/>
      <c r="R55" s="23"/>
      <c r="S55" s="24"/>
      <c r="T55" s="27"/>
      <c r="U55" s="22"/>
      <c r="V55" s="25"/>
      <c r="W55" s="9"/>
      <c r="X55" s="25"/>
      <c r="Y55" s="9"/>
      <c r="Z55" s="25"/>
      <c r="AA55" s="9"/>
      <c r="AB55" s="25"/>
      <c r="AC55" s="9"/>
      <c r="AD55" s="25"/>
      <c r="AE55" s="9"/>
      <c r="AF55" s="25"/>
      <c r="AG55" s="9"/>
      <c r="AH55" s="25"/>
      <c r="AI55" s="9"/>
      <c r="AJ55" s="25"/>
      <c r="AK55" s="9"/>
      <c r="AL55" s="25"/>
      <c r="AM55" s="9"/>
      <c r="AN55" s="25"/>
      <c r="AO55" s="9"/>
      <c r="AP55" s="25"/>
      <c r="AQ55" s="9"/>
    </row>
    <row r="56" spans="1:43" x14ac:dyDescent="0.25">
      <c r="A56" s="35" t="s">
        <v>65</v>
      </c>
      <c r="B56" s="36" t="s">
        <v>160</v>
      </c>
      <c r="C56" s="13">
        <v>81048806</v>
      </c>
      <c r="D56" s="14">
        <v>55000000</v>
      </c>
      <c r="E56" s="15">
        <f t="shared" si="5"/>
        <v>0.67860345777333231</v>
      </c>
      <c r="F56" s="16">
        <v>0</v>
      </c>
      <c r="G56" s="15">
        <f t="shared" si="6"/>
        <v>0</v>
      </c>
      <c r="H56" s="30"/>
      <c r="I56" s="15">
        <f t="shared" si="7"/>
        <v>0</v>
      </c>
      <c r="J56" s="17">
        <v>1332537</v>
      </c>
      <c r="K56" s="15">
        <f t="shared" si="8"/>
        <v>1.6441167560198235E-2</v>
      </c>
      <c r="L56" s="18">
        <v>0.97</v>
      </c>
      <c r="M56" s="17">
        <v>24716269</v>
      </c>
      <c r="N56" s="19">
        <f t="shared" si="9"/>
        <v>0.30495537466646949</v>
      </c>
      <c r="O56" s="20"/>
      <c r="P56" s="21"/>
      <c r="Q56" s="22"/>
      <c r="R56" s="23"/>
      <c r="S56" s="24"/>
      <c r="T56" s="27"/>
      <c r="U56" s="24"/>
      <c r="V56" s="25"/>
      <c r="W56" s="9"/>
      <c r="X56" s="25"/>
      <c r="Y56" s="9"/>
      <c r="Z56" s="25"/>
      <c r="AA56" s="9"/>
      <c r="AB56" s="25"/>
      <c r="AC56" s="9"/>
      <c r="AD56" s="25"/>
      <c r="AE56" s="9"/>
      <c r="AF56" s="25"/>
      <c r="AG56" s="9"/>
      <c r="AH56" s="25"/>
      <c r="AI56" s="9"/>
      <c r="AJ56" s="25"/>
      <c r="AK56" s="9"/>
      <c r="AL56" s="25"/>
      <c r="AM56" s="9"/>
      <c r="AN56" s="25"/>
      <c r="AO56" s="9"/>
      <c r="AP56" s="25"/>
      <c r="AQ56" s="9"/>
    </row>
    <row r="57" spans="1:43" s="37" customFormat="1" x14ac:dyDescent="0.25">
      <c r="A57" s="35" t="s">
        <v>66</v>
      </c>
      <c r="B57" s="36" t="s">
        <v>207</v>
      </c>
      <c r="C57" s="13">
        <v>8735663</v>
      </c>
      <c r="D57" s="14">
        <v>2385000</v>
      </c>
      <c r="E57" s="15">
        <f t="shared" si="5"/>
        <v>0.27301877373245742</v>
      </c>
      <c r="F57" s="16">
        <f>805000+382000</f>
        <v>1187000</v>
      </c>
      <c r="G57" s="15">
        <f t="shared" si="6"/>
        <v>0.13587978382407837</v>
      </c>
      <c r="H57" s="30"/>
      <c r="I57" s="15">
        <f t="shared" si="7"/>
        <v>0</v>
      </c>
      <c r="J57" s="17">
        <f>2288619+160000+129448</f>
        <v>2578067</v>
      </c>
      <c r="K57" s="15">
        <f t="shared" si="8"/>
        <v>0.29511978655770033</v>
      </c>
      <c r="L57" s="18">
        <v>0.94474000000000002</v>
      </c>
      <c r="M57" s="17">
        <v>2585596</v>
      </c>
      <c r="N57" s="19">
        <f t="shared" si="9"/>
        <v>0.29598165588576392</v>
      </c>
      <c r="O57" s="20"/>
      <c r="P57" s="21"/>
      <c r="Q57" s="22"/>
      <c r="R57" s="23"/>
      <c r="S57" s="24"/>
      <c r="T57" s="27"/>
      <c r="U57" s="24"/>
      <c r="V57" s="25"/>
      <c r="W57" s="9"/>
      <c r="X57" s="25"/>
      <c r="Y57" s="9"/>
      <c r="Z57" s="25"/>
      <c r="AA57" s="9"/>
      <c r="AB57" s="25"/>
      <c r="AC57" s="9"/>
      <c r="AD57" s="25"/>
      <c r="AE57" s="9"/>
      <c r="AF57" s="25"/>
      <c r="AG57" s="9"/>
      <c r="AH57" s="25"/>
      <c r="AI57" s="9"/>
      <c r="AJ57" s="25"/>
      <c r="AK57" s="9"/>
      <c r="AL57" s="25"/>
      <c r="AM57" s="9"/>
      <c r="AN57" s="25"/>
      <c r="AO57" s="9"/>
      <c r="AP57" s="25"/>
      <c r="AQ57" s="9"/>
    </row>
    <row r="58" spans="1:43" x14ac:dyDescent="0.25">
      <c r="A58" s="35" t="s">
        <v>67</v>
      </c>
      <c r="B58" s="36" t="s">
        <v>161</v>
      </c>
      <c r="C58" s="13">
        <v>12044542</v>
      </c>
      <c r="D58" s="14">
        <v>7339926</v>
      </c>
      <c r="E58" s="15">
        <f t="shared" si="5"/>
        <v>0.60939851428140646</v>
      </c>
      <c r="F58" s="16">
        <v>0</v>
      </c>
      <c r="G58" s="15">
        <f t="shared" si="6"/>
        <v>0</v>
      </c>
      <c r="H58" s="30"/>
      <c r="I58" s="15">
        <f t="shared" si="7"/>
        <v>0</v>
      </c>
      <c r="J58" s="17">
        <f>88733+963500+561152</f>
        <v>1613385</v>
      </c>
      <c r="K58" s="15">
        <f t="shared" si="8"/>
        <v>0.13395154419321217</v>
      </c>
      <c r="L58" s="18">
        <v>0.85</v>
      </c>
      <c r="M58" s="17">
        <v>3091231</v>
      </c>
      <c r="N58" s="19">
        <f t="shared" si="9"/>
        <v>0.2566499415253814</v>
      </c>
      <c r="O58" s="20"/>
      <c r="P58" s="21"/>
      <c r="Q58" s="22"/>
      <c r="R58" s="23"/>
      <c r="S58" s="24"/>
      <c r="T58" s="27"/>
      <c r="U58" s="22"/>
      <c r="V58" s="25"/>
      <c r="W58" s="9"/>
      <c r="X58" s="25"/>
      <c r="Y58" s="9"/>
      <c r="Z58" s="25"/>
      <c r="AA58" s="9"/>
      <c r="AB58" s="25"/>
      <c r="AC58" s="9"/>
      <c r="AD58" s="25"/>
      <c r="AE58" s="9"/>
      <c r="AF58" s="25"/>
      <c r="AG58" s="9"/>
      <c r="AH58" s="25"/>
      <c r="AI58" s="9"/>
      <c r="AJ58" s="25"/>
      <c r="AK58" s="9"/>
      <c r="AL58" s="25"/>
      <c r="AM58" s="9"/>
      <c r="AN58" s="25"/>
      <c r="AO58" s="9"/>
      <c r="AP58" s="25"/>
      <c r="AQ58" s="9"/>
    </row>
    <row r="59" spans="1:43" x14ac:dyDescent="0.25">
      <c r="A59" s="35" t="s">
        <v>68</v>
      </c>
      <c r="B59" s="36" t="s">
        <v>162</v>
      </c>
      <c r="C59" s="13">
        <v>8794761</v>
      </c>
      <c r="D59" s="14">
        <v>5500000</v>
      </c>
      <c r="E59" s="15">
        <f t="shared" si="5"/>
        <v>0.62537230971938862</v>
      </c>
      <c r="F59" s="16">
        <v>0</v>
      </c>
      <c r="G59" s="15">
        <f t="shared" si="6"/>
        <v>0</v>
      </c>
      <c r="H59" s="30"/>
      <c r="I59" s="15">
        <f t="shared" si="7"/>
        <v>0</v>
      </c>
      <c r="J59" s="17">
        <f>533194+60000+191034</f>
        <v>784228</v>
      </c>
      <c r="K59" s="15">
        <f t="shared" si="8"/>
        <v>8.9169904673930309E-2</v>
      </c>
      <c r="L59" s="18">
        <v>0.92</v>
      </c>
      <c r="M59" s="17">
        <v>2510533</v>
      </c>
      <c r="N59" s="19">
        <f t="shared" si="9"/>
        <v>0.28545778560668106</v>
      </c>
      <c r="O59" s="20"/>
      <c r="P59" s="21"/>
      <c r="Q59" s="22"/>
      <c r="R59" s="23"/>
      <c r="S59" s="24"/>
      <c r="T59" s="27"/>
      <c r="U59" s="24"/>
      <c r="V59" s="25"/>
      <c r="W59" s="9"/>
      <c r="X59" s="25"/>
      <c r="Y59" s="9"/>
      <c r="Z59" s="25"/>
      <c r="AA59" s="9"/>
      <c r="AB59" s="25"/>
      <c r="AC59" s="9"/>
      <c r="AD59" s="25"/>
      <c r="AE59" s="9"/>
      <c r="AF59" s="25"/>
      <c r="AG59" s="9"/>
      <c r="AH59" s="25"/>
      <c r="AI59" s="9"/>
      <c r="AJ59" s="25"/>
      <c r="AK59" s="9"/>
      <c r="AL59" s="25"/>
      <c r="AM59" s="9"/>
      <c r="AN59" s="25"/>
      <c r="AO59" s="9"/>
      <c r="AP59" s="25"/>
      <c r="AQ59" s="9"/>
    </row>
    <row r="60" spans="1:43" x14ac:dyDescent="0.25">
      <c r="A60" s="35" t="s">
        <v>69</v>
      </c>
      <c r="B60" s="36" t="s">
        <v>163</v>
      </c>
      <c r="C60" s="13">
        <v>14195591</v>
      </c>
      <c r="D60" s="27">
        <v>9629856</v>
      </c>
      <c r="E60" s="15">
        <f t="shared" si="5"/>
        <v>0.67836950219261738</v>
      </c>
      <c r="F60" s="16">
        <v>0</v>
      </c>
      <c r="G60" s="15">
        <f t="shared" si="6"/>
        <v>0</v>
      </c>
      <c r="H60" s="26"/>
      <c r="I60" s="15">
        <f t="shared" si="7"/>
        <v>0</v>
      </c>
      <c r="J60" s="17">
        <f>225249+124800</f>
        <v>350049</v>
      </c>
      <c r="K60" s="15">
        <f t="shared" si="8"/>
        <v>2.465899447229777E-2</v>
      </c>
      <c r="L60" s="18">
        <v>1.0190999999999999</v>
      </c>
      <c r="M60" s="17">
        <v>4215686</v>
      </c>
      <c r="N60" s="19">
        <f t="shared" si="9"/>
        <v>0.29697150333508482</v>
      </c>
      <c r="O60" s="20"/>
      <c r="P60" s="21"/>
      <c r="Q60" s="22"/>
      <c r="R60" s="23"/>
      <c r="S60" s="24"/>
      <c r="T60" s="27"/>
      <c r="U60" s="22"/>
      <c r="V60" s="25"/>
      <c r="W60" s="9"/>
      <c r="X60" s="25"/>
      <c r="Y60" s="9"/>
      <c r="Z60" s="25"/>
      <c r="AA60" s="9"/>
      <c r="AB60" s="25"/>
      <c r="AC60" s="9"/>
      <c r="AD60" s="25"/>
      <c r="AE60" s="9"/>
      <c r="AF60" s="25"/>
      <c r="AG60" s="9"/>
      <c r="AH60" s="25"/>
      <c r="AI60" s="9"/>
      <c r="AJ60" s="25"/>
      <c r="AK60" s="9"/>
      <c r="AL60" s="25"/>
      <c r="AM60" s="9"/>
      <c r="AN60" s="25"/>
      <c r="AO60" s="9"/>
      <c r="AP60" s="25"/>
      <c r="AQ60" s="9"/>
    </row>
    <row r="61" spans="1:43" x14ac:dyDescent="0.25">
      <c r="A61" s="35" t="s">
        <v>70</v>
      </c>
      <c r="B61" s="36" t="s">
        <v>164</v>
      </c>
      <c r="C61" s="13">
        <v>44872274</v>
      </c>
      <c r="D61" s="14">
        <v>12328989</v>
      </c>
      <c r="E61" s="15">
        <f t="shared" si="5"/>
        <v>0.27475739250477921</v>
      </c>
      <c r="F61" s="16">
        <f>10100000+9990000</f>
        <v>20090000</v>
      </c>
      <c r="G61" s="15">
        <f t="shared" si="6"/>
        <v>0.44771521942480563</v>
      </c>
      <c r="H61" s="26"/>
      <c r="I61" s="15">
        <f t="shared" si="7"/>
        <v>0</v>
      </c>
      <c r="J61" s="17">
        <f>2381656+1500000</f>
        <v>3881656</v>
      </c>
      <c r="K61" s="15">
        <f t="shared" si="8"/>
        <v>8.6504552900528289E-2</v>
      </c>
      <c r="L61" s="18">
        <v>1</v>
      </c>
      <c r="M61" s="17">
        <v>8571629</v>
      </c>
      <c r="N61" s="19">
        <f t="shared" si="9"/>
        <v>0.19102283516988686</v>
      </c>
      <c r="O61" s="20"/>
      <c r="P61" s="21"/>
      <c r="Q61" s="22"/>
      <c r="R61" s="23"/>
      <c r="S61" s="24"/>
      <c r="T61" s="27"/>
      <c r="U61" s="24"/>
      <c r="V61" s="25"/>
      <c r="W61" s="9"/>
      <c r="X61" s="25"/>
      <c r="Y61" s="9"/>
      <c r="Z61" s="25"/>
      <c r="AA61" s="9"/>
      <c r="AB61" s="25"/>
      <c r="AC61" s="9"/>
      <c r="AD61" s="25"/>
      <c r="AE61" s="9"/>
      <c r="AF61" s="25"/>
      <c r="AG61" s="9"/>
      <c r="AH61" s="25"/>
      <c r="AI61" s="9"/>
      <c r="AJ61" s="25"/>
      <c r="AK61" s="9"/>
      <c r="AL61" s="25"/>
      <c r="AM61" s="9"/>
      <c r="AN61" s="25"/>
      <c r="AO61" s="9"/>
      <c r="AP61" s="25"/>
      <c r="AQ61" s="9"/>
    </row>
    <row r="62" spans="1:43" x14ac:dyDescent="0.25">
      <c r="A62" s="35" t="s">
        <v>71</v>
      </c>
      <c r="B62" s="36" t="s">
        <v>206</v>
      </c>
      <c r="C62" s="13">
        <v>27111532</v>
      </c>
      <c r="D62" s="14">
        <v>1278000</v>
      </c>
      <c r="E62" s="28">
        <f t="shared" si="5"/>
        <v>4.713861245465583E-2</v>
      </c>
      <c r="F62" s="16">
        <f>3749271+6300000+155349</f>
        <v>10204620</v>
      </c>
      <c r="G62" s="28">
        <f t="shared" si="6"/>
        <v>0.37639407466903751</v>
      </c>
      <c r="H62" s="26"/>
      <c r="I62" s="15">
        <f t="shared" si="7"/>
        <v>0</v>
      </c>
      <c r="J62" s="17">
        <f>4160711+87008+584897+1014+1364411</f>
        <v>6198041</v>
      </c>
      <c r="K62" s="28">
        <f t="shared" si="8"/>
        <v>0.22861271727470067</v>
      </c>
      <c r="L62" s="38">
        <v>1.0260800000000001</v>
      </c>
      <c r="M62" s="17">
        <v>9430872</v>
      </c>
      <c r="N62" s="19">
        <f t="shared" si="9"/>
        <v>0.34785463248627929</v>
      </c>
      <c r="O62" s="20"/>
      <c r="P62" s="21"/>
      <c r="Q62" s="22"/>
      <c r="R62" s="23"/>
      <c r="S62" s="24"/>
      <c r="T62" s="27"/>
      <c r="U62" s="22"/>
      <c r="V62" s="25"/>
      <c r="W62" s="9"/>
      <c r="X62" s="25"/>
      <c r="Y62" s="9"/>
      <c r="Z62" s="25"/>
      <c r="AA62" s="9"/>
      <c r="AB62" s="25"/>
      <c r="AC62" s="9"/>
      <c r="AD62" s="25"/>
      <c r="AE62" s="9"/>
      <c r="AF62" s="25"/>
      <c r="AG62" s="9"/>
      <c r="AH62" s="25"/>
      <c r="AI62" s="9"/>
      <c r="AJ62" s="25"/>
      <c r="AK62" s="9"/>
      <c r="AL62" s="25"/>
      <c r="AM62" s="9"/>
      <c r="AN62" s="25"/>
      <c r="AO62" s="9"/>
      <c r="AP62" s="25"/>
      <c r="AQ62" s="9"/>
    </row>
    <row r="63" spans="1:43" x14ac:dyDescent="0.25">
      <c r="A63" s="35" t="s">
        <v>72</v>
      </c>
      <c r="B63" s="36" t="s">
        <v>165</v>
      </c>
      <c r="C63" s="13">
        <v>8239249</v>
      </c>
      <c r="D63" s="14">
        <v>1785000</v>
      </c>
      <c r="E63" s="15">
        <f t="shared" si="5"/>
        <v>0.21664595887319341</v>
      </c>
      <c r="F63" s="16">
        <f>2980000+860000</f>
        <v>3840000</v>
      </c>
      <c r="G63" s="15">
        <f t="shared" si="6"/>
        <v>0.46606189471880266</v>
      </c>
      <c r="H63" s="26"/>
      <c r="I63" s="15">
        <f t="shared" si="7"/>
        <v>0</v>
      </c>
      <c r="J63" s="17">
        <v>55647</v>
      </c>
      <c r="K63" s="15">
        <f t="shared" si="8"/>
        <v>6.7538922540148986E-3</v>
      </c>
      <c r="L63" s="18">
        <v>0.91</v>
      </c>
      <c r="M63" s="17">
        <v>2558602</v>
      </c>
      <c r="N63" s="19">
        <f t="shared" si="9"/>
        <v>0.31053825415398906</v>
      </c>
      <c r="O63" s="20"/>
      <c r="P63" s="21"/>
      <c r="Q63" s="22"/>
      <c r="R63" s="23"/>
      <c r="S63" s="24"/>
      <c r="T63" s="27"/>
      <c r="U63" s="22"/>
      <c r="V63" s="25"/>
      <c r="W63" s="22"/>
      <c r="X63" s="25"/>
      <c r="Y63" s="9"/>
      <c r="Z63" s="25"/>
      <c r="AA63" s="9"/>
      <c r="AB63" s="25"/>
      <c r="AC63" s="9"/>
      <c r="AD63" s="25"/>
      <c r="AE63" s="9"/>
      <c r="AF63" s="25"/>
      <c r="AG63" s="9"/>
      <c r="AH63" s="25"/>
      <c r="AI63" s="9"/>
      <c r="AJ63" s="25"/>
      <c r="AK63" s="9"/>
      <c r="AL63" s="25"/>
      <c r="AM63" s="9"/>
      <c r="AN63" s="25"/>
      <c r="AO63" s="9"/>
      <c r="AP63" s="25"/>
      <c r="AQ63" s="9"/>
    </row>
    <row r="64" spans="1:43" x14ac:dyDescent="0.25">
      <c r="A64" s="35" t="s">
        <v>73</v>
      </c>
      <c r="B64" s="36" t="s">
        <v>166</v>
      </c>
      <c r="C64" s="13">
        <v>8726163</v>
      </c>
      <c r="D64" s="14">
        <v>2000000</v>
      </c>
      <c r="E64" s="15">
        <f t="shared" si="5"/>
        <v>0.22919581034642603</v>
      </c>
      <c r="F64" s="16">
        <f>1476000+2523243+265000</f>
        <v>4264243</v>
      </c>
      <c r="G64" s="15">
        <f t="shared" si="6"/>
        <v>0.48867331494953736</v>
      </c>
      <c r="H64" s="30"/>
      <c r="I64" s="15">
        <f t="shared" si="7"/>
        <v>0</v>
      </c>
      <c r="J64" s="17">
        <v>164482</v>
      </c>
      <c r="K64" s="15">
        <f t="shared" si="8"/>
        <v>1.8849292638700423E-2</v>
      </c>
      <c r="L64" s="18">
        <v>0.91</v>
      </c>
      <c r="M64" s="17">
        <v>2297438</v>
      </c>
      <c r="N64" s="19">
        <f t="shared" si="9"/>
        <v>0.26328158206533614</v>
      </c>
      <c r="O64" s="20"/>
      <c r="P64" s="21"/>
      <c r="Q64" s="22"/>
      <c r="R64" s="23"/>
      <c r="S64" s="24"/>
      <c r="T64" s="27"/>
      <c r="U64" s="22"/>
      <c r="V64" s="25"/>
      <c r="W64" s="22"/>
      <c r="X64" s="25"/>
      <c r="Y64" s="9"/>
      <c r="Z64" s="25"/>
      <c r="AA64" s="9"/>
      <c r="AB64" s="25"/>
      <c r="AC64" s="9"/>
      <c r="AD64" s="25"/>
      <c r="AE64" s="9"/>
      <c r="AF64" s="25"/>
      <c r="AG64" s="9"/>
      <c r="AH64" s="25"/>
      <c r="AI64" s="9"/>
      <c r="AJ64" s="25"/>
      <c r="AK64" s="9"/>
      <c r="AL64" s="25"/>
      <c r="AM64" s="9"/>
      <c r="AN64" s="25"/>
      <c r="AO64" s="9"/>
      <c r="AP64" s="25"/>
      <c r="AQ64" s="9"/>
    </row>
    <row r="65" spans="1:43" x14ac:dyDescent="0.25">
      <c r="A65" s="35" t="s">
        <v>109</v>
      </c>
      <c r="B65" s="36" t="s">
        <v>201</v>
      </c>
      <c r="C65" s="13">
        <v>34997435</v>
      </c>
      <c r="D65" s="14">
        <v>4278000</v>
      </c>
      <c r="E65" s="15">
        <f t="shared" si="5"/>
        <v>0.12223752969324751</v>
      </c>
      <c r="F65" s="16">
        <f>10284455+400000+763689+361650</f>
        <v>11809794</v>
      </c>
      <c r="G65" s="15">
        <f t="shared" si="6"/>
        <v>0.33744741578918569</v>
      </c>
      <c r="H65" s="26">
        <v>6993856</v>
      </c>
      <c r="I65" s="15">
        <f t="shared" si="7"/>
        <v>0.19983910249422565</v>
      </c>
      <c r="J65" s="17">
        <v>640000</v>
      </c>
      <c r="K65" s="15">
        <f t="shared" si="8"/>
        <v>1.8287054465562978E-2</v>
      </c>
      <c r="L65" s="18">
        <v>1.05</v>
      </c>
      <c r="M65" s="17">
        <v>11275785</v>
      </c>
      <c r="N65" s="19">
        <f t="shared" si="9"/>
        <v>0.32218889755777819</v>
      </c>
      <c r="O65" s="20"/>
      <c r="P65" s="21"/>
      <c r="Q65" s="22"/>
      <c r="R65" s="23"/>
      <c r="S65" s="24"/>
      <c r="T65" s="27"/>
      <c r="U65" s="22"/>
      <c r="V65" s="25"/>
      <c r="W65" s="9"/>
      <c r="X65" s="25"/>
      <c r="Y65" s="9"/>
      <c r="Z65" s="25"/>
      <c r="AA65" s="9"/>
      <c r="AB65" s="25"/>
      <c r="AC65" s="9"/>
      <c r="AD65" s="25"/>
      <c r="AE65" s="9"/>
      <c r="AF65" s="25"/>
      <c r="AG65" s="9"/>
      <c r="AH65" s="25"/>
      <c r="AI65" s="9"/>
      <c r="AJ65" s="25"/>
      <c r="AK65" s="9"/>
      <c r="AL65" s="25"/>
      <c r="AM65" s="9"/>
      <c r="AN65" s="25"/>
      <c r="AO65" s="9"/>
      <c r="AP65" s="25"/>
      <c r="AQ65" s="9"/>
    </row>
    <row r="66" spans="1:43" x14ac:dyDescent="0.25">
      <c r="A66" s="35" t="s">
        <v>74</v>
      </c>
      <c r="B66" s="36" t="s">
        <v>167</v>
      </c>
      <c r="C66" s="13">
        <v>10325744</v>
      </c>
      <c r="D66" s="14">
        <v>5886800</v>
      </c>
      <c r="E66" s="15">
        <f t="shared" ref="E66:E68" si="10">D66/C66</f>
        <v>0.57010904008466601</v>
      </c>
      <c r="F66" s="16">
        <v>0</v>
      </c>
      <c r="G66" s="15">
        <f t="shared" ref="G66:G71" si="11">F66/C66</f>
        <v>0</v>
      </c>
      <c r="H66" s="26"/>
      <c r="I66" s="15">
        <f t="shared" ref="I66:I71" si="12">H66/C66</f>
        <v>0</v>
      </c>
      <c r="J66" s="17">
        <f>34434+735000+200000+425475</f>
        <v>1394909</v>
      </c>
      <c r="K66" s="15">
        <f t="shared" ref="K66:K71" si="13">J66/C66</f>
        <v>0.13509041091857402</v>
      </c>
      <c r="L66" s="18">
        <v>0.97594999999999998</v>
      </c>
      <c r="M66" s="17">
        <v>3044035</v>
      </c>
      <c r="N66" s="19">
        <f t="shared" ref="N66:N71" si="14">M66/C66</f>
        <v>0.29480054899675995</v>
      </c>
      <c r="O66" s="20"/>
      <c r="P66" s="21"/>
      <c r="Q66" s="22"/>
      <c r="R66" s="23"/>
      <c r="S66" s="24"/>
      <c r="T66" s="27"/>
      <c r="U66" s="22"/>
      <c r="V66" s="25"/>
      <c r="W66" s="9"/>
      <c r="X66" s="25"/>
      <c r="Y66" s="9"/>
      <c r="Z66" s="25"/>
      <c r="AA66" s="9"/>
      <c r="AB66" s="25"/>
      <c r="AC66" s="9"/>
      <c r="AD66" s="25"/>
      <c r="AE66" s="9"/>
      <c r="AF66" s="25"/>
      <c r="AG66" s="9"/>
      <c r="AH66" s="25"/>
      <c r="AI66" s="9"/>
      <c r="AJ66" s="25"/>
      <c r="AK66" s="9"/>
      <c r="AL66" s="25"/>
      <c r="AM66" s="9"/>
      <c r="AN66" s="25"/>
      <c r="AO66" s="9"/>
      <c r="AP66" s="25"/>
      <c r="AQ66" s="9"/>
    </row>
    <row r="67" spans="1:43" x14ac:dyDescent="0.25">
      <c r="A67" s="35" t="s">
        <v>110</v>
      </c>
      <c r="B67" s="36" t="s">
        <v>202</v>
      </c>
      <c r="C67" s="39">
        <v>21148318</v>
      </c>
      <c r="D67" s="40">
        <v>3614032</v>
      </c>
      <c r="E67" s="41">
        <f t="shared" si="10"/>
        <v>0.17088980787975669</v>
      </c>
      <c r="F67" s="16">
        <v>0</v>
      </c>
      <c r="G67" s="41">
        <f t="shared" si="11"/>
        <v>0</v>
      </c>
      <c r="H67" s="26">
        <v>2337268</v>
      </c>
      <c r="I67" s="41">
        <f t="shared" si="12"/>
        <v>0.11051791447433314</v>
      </c>
      <c r="J67" s="21">
        <f>7158308+1000000+700000+1122321</f>
        <v>9980629</v>
      </c>
      <c r="K67" s="41">
        <f t="shared" si="13"/>
        <v>0.47193488389951388</v>
      </c>
      <c r="L67" s="18">
        <v>1.02</v>
      </c>
      <c r="M67" s="21">
        <v>5216389</v>
      </c>
      <c r="N67" s="42">
        <f t="shared" si="14"/>
        <v>0.24665739374639628</v>
      </c>
      <c r="O67" s="20"/>
      <c r="P67" s="21"/>
      <c r="Q67" s="22"/>
      <c r="R67" s="23"/>
      <c r="S67" s="24"/>
      <c r="T67" s="27"/>
      <c r="U67" s="22"/>
      <c r="V67" s="25"/>
      <c r="W67" s="9"/>
      <c r="X67" s="25"/>
      <c r="Y67" s="9"/>
      <c r="Z67" s="25"/>
      <c r="AA67" s="9"/>
      <c r="AB67" s="25"/>
      <c r="AC67" s="9"/>
      <c r="AD67" s="25"/>
      <c r="AE67" s="9"/>
      <c r="AF67" s="25"/>
      <c r="AG67" s="9"/>
      <c r="AH67" s="25"/>
      <c r="AI67" s="9"/>
      <c r="AJ67" s="25"/>
      <c r="AK67" s="9"/>
      <c r="AL67" s="25"/>
      <c r="AM67" s="9"/>
      <c r="AN67" s="25"/>
      <c r="AO67" s="9"/>
      <c r="AP67" s="25"/>
      <c r="AQ67" s="9"/>
    </row>
    <row r="68" spans="1:43" x14ac:dyDescent="0.25">
      <c r="A68" s="35" t="s">
        <v>75</v>
      </c>
      <c r="B68" s="36" t="s">
        <v>168</v>
      </c>
      <c r="C68" s="13">
        <v>22219853</v>
      </c>
      <c r="D68" s="14">
        <v>3566000</v>
      </c>
      <c r="E68" s="15">
        <f t="shared" si="10"/>
        <v>0.16048711033326818</v>
      </c>
      <c r="F68" s="16">
        <v>0</v>
      </c>
      <c r="G68" s="15">
        <f t="shared" si="11"/>
        <v>0</v>
      </c>
      <c r="H68" s="26"/>
      <c r="I68" s="15">
        <f t="shared" si="12"/>
        <v>0</v>
      </c>
      <c r="J68" s="17">
        <v>12111280</v>
      </c>
      <c r="K68" s="15">
        <f t="shared" si="13"/>
        <v>0.54506571218090416</v>
      </c>
      <c r="L68" s="18">
        <v>1.0038899999999999</v>
      </c>
      <c r="M68" s="17">
        <v>6542573</v>
      </c>
      <c r="N68" s="19">
        <f t="shared" si="14"/>
        <v>0.29444717748582766</v>
      </c>
      <c r="O68" s="20"/>
      <c r="P68" s="21"/>
      <c r="Q68" s="22"/>
      <c r="R68" s="23"/>
      <c r="S68" s="24"/>
      <c r="T68" s="27"/>
      <c r="U68" s="22"/>
      <c r="V68" s="25"/>
      <c r="W68" s="9"/>
      <c r="X68" s="25"/>
      <c r="Y68" s="9"/>
      <c r="Z68" s="25"/>
      <c r="AA68" s="9"/>
      <c r="AB68" s="25"/>
      <c r="AC68" s="9"/>
      <c r="AD68" s="25"/>
      <c r="AE68" s="9"/>
      <c r="AF68" s="25"/>
      <c r="AG68" s="9"/>
      <c r="AH68" s="25"/>
      <c r="AI68" s="9"/>
      <c r="AJ68" s="25"/>
      <c r="AK68" s="9"/>
      <c r="AL68" s="25"/>
      <c r="AM68" s="9"/>
      <c r="AN68" s="25"/>
      <c r="AO68" s="9"/>
      <c r="AP68" s="25"/>
      <c r="AQ68" s="9"/>
    </row>
    <row r="69" spans="1:43" x14ac:dyDescent="0.25">
      <c r="A69" s="35" t="s">
        <v>76</v>
      </c>
      <c r="B69" s="36" t="s">
        <v>169</v>
      </c>
      <c r="C69" s="13">
        <v>11393147</v>
      </c>
      <c r="D69" s="14">
        <v>3719988</v>
      </c>
      <c r="E69" s="15">
        <f>F69/C69</f>
        <v>0.38434920571111741</v>
      </c>
      <c r="F69" s="29">
        <f>3315000+503947+560000</f>
        <v>4378947</v>
      </c>
      <c r="G69" s="15">
        <f t="shared" si="11"/>
        <v>0.38434920571111741</v>
      </c>
      <c r="H69" s="26"/>
      <c r="I69" s="15">
        <f t="shared" si="12"/>
        <v>0</v>
      </c>
      <c r="J69" s="17">
        <v>791508</v>
      </c>
      <c r="K69" s="15">
        <f t="shared" si="13"/>
        <v>6.9472288911922225E-2</v>
      </c>
      <c r="L69" s="18">
        <v>0.92</v>
      </c>
      <c r="M69" s="17">
        <v>2502704</v>
      </c>
      <c r="N69" s="19">
        <f t="shared" si="14"/>
        <v>0.21966748958825863</v>
      </c>
      <c r="O69" s="20"/>
      <c r="P69" s="21"/>
      <c r="Q69" s="22"/>
      <c r="R69" s="23"/>
      <c r="S69" s="24"/>
      <c r="T69" s="27"/>
      <c r="U69" s="22"/>
      <c r="V69" s="25"/>
      <c r="W69" s="9"/>
      <c r="X69" s="25"/>
      <c r="Y69" s="9"/>
      <c r="Z69" s="25"/>
      <c r="AA69" s="9"/>
      <c r="AB69" s="25"/>
      <c r="AC69" s="9"/>
      <c r="AD69" s="25"/>
      <c r="AE69" s="9"/>
      <c r="AF69" s="25"/>
      <c r="AG69" s="9"/>
      <c r="AH69" s="25"/>
      <c r="AI69" s="9"/>
      <c r="AJ69" s="25"/>
      <c r="AK69" s="9"/>
      <c r="AL69" s="25"/>
      <c r="AM69" s="9"/>
      <c r="AN69" s="25"/>
      <c r="AO69" s="9"/>
      <c r="AP69" s="25"/>
      <c r="AQ69" s="9"/>
    </row>
    <row r="70" spans="1:43" x14ac:dyDescent="0.25">
      <c r="A70" s="35" t="s">
        <v>77</v>
      </c>
      <c r="B70" s="36" t="s">
        <v>170</v>
      </c>
      <c r="C70" s="13">
        <v>40467543</v>
      </c>
      <c r="D70" s="14">
        <v>15559000</v>
      </c>
      <c r="E70" s="15">
        <f>F70/C70</f>
        <v>0</v>
      </c>
      <c r="F70" s="29">
        <v>0</v>
      </c>
      <c r="G70" s="15">
        <f t="shared" si="11"/>
        <v>0</v>
      </c>
      <c r="H70" s="26"/>
      <c r="I70" s="15">
        <f t="shared" si="12"/>
        <v>0</v>
      </c>
      <c r="J70" s="26">
        <v>11130021</v>
      </c>
      <c r="K70" s="15">
        <f t="shared" si="13"/>
        <v>0.27503574901989974</v>
      </c>
      <c r="L70" s="18">
        <v>1.0316099999999999</v>
      </c>
      <c r="M70" s="17">
        <v>13778522</v>
      </c>
      <c r="N70" s="19">
        <f t="shared" si="14"/>
        <v>0.34048328558024882</v>
      </c>
      <c r="O70" s="20"/>
      <c r="P70" s="21"/>
      <c r="Q70" s="22"/>
      <c r="R70" s="23"/>
      <c r="S70" s="24"/>
      <c r="T70" s="27"/>
      <c r="U70" s="22"/>
      <c r="V70" s="25"/>
      <c r="W70" s="9"/>
      <c r="X70" s="25"/>
      <c r="Y70" s="9"/>
      <c r="Z70" s="25"/>
      <c r="AA70" s="9"/>
      <c r="AB70" s="25"/>
      <c r="AC70" s="9"/>
      <c r="AD70" s="25"/>
      <c r="AE70" s="9"/>
      <c r="AF70" s="25"/>
      <c r="AG70" s="9"/>
      <c r="AH70" s="25"/>
      <c r="AI70" s="9"/>
      <c r="AJ70" s="25"/>
      <c r="AK70" s="9"/>
      <c r="AL70" s="25"/>
      <c r="AM70" s="9"/>
      <c r="AN70" s="25"/>
      <c r="AO70" s="9"/>
      <c r="AP70" s="25"/>
      <c r="AQ70" s="9"/>
    </row>
    <row r="71" spans="1:43" x14ac:dyDescent="0.25">
      <c r="A71" s="35" t="s">
        <v>78</v>
      </c>
      <c r="B71" s="36" t="s">
        <v>171</v>
      </c>
      <c r="C71" s="13">
        <v>22136788</v>
      </c>
      <c r="D71" s="14">
        <v>10300000</v>
      </c>
      <c r="E71" s="15">
        <f>D71/C71</f>
        <v>0.46528882148575484</v>
      </c>
      <c r="F71" s="16">
        <v>0</v>
      </c>
      <c r="G71" s="15">
        <f t="shared" si="11"/>
        <v>0</v>
      </c>
      <c r="H71" s="26"/>
      <c r="I71" s="15">
        <f t="shared" si="12"/>
        <v>0</v>
      </c>
      <c r="J71" s="17">
        <v>6226954</v>
      </c>
      <c r="K71" s="15">
        <f t="shared" si="13"/>
        <v>0.2812943774860201</v>
      </c>
      <c r="L71" s="18">
        <v>0.95</v>
      </c>
      <c r="M71" s="17">
        <v>5609834</v>
      </c>
      <c r="N71" s="19">
        <f t="shared" si="14"/>
        <v>0.25341680102822506</v>
      </c>
      <c r="O71" s="20"/>
      <c r="P71" s="21"/>
      <c r="Q71" s="22"/>
      <c r="R71" s="23"/>
      <c r="S71" s="24"/>
      <c r="T71" s="27"/>
      <c r="U71" s="22"/>
      <c r="V71" s="27"/>
      <c r="W71" s="22"/>
      <c r="X71" s="25"/>
      <c r="Y71" s="9"/>
      <c r="Z71" s="25"/>
      <c r="AA71" s="9"/>
      <c r="AB71" s="25"/>
      <c r="AC71" s="9"/>
      <c r="AD71" s="25"/>
      <c r="AE71" s="9"/>
      <c r="AF71" s="25"/>
      <c r="AG71" s="9"/>
      <c r="AH71" s="25"/>
      <c r="AI71" s="9"/>
      <c r="AJ71" s="25"/>
      <c r="AK71" s="9"/>
      <c r="AL71" s="25"/>
      <c r="AM71" s="9"/>
      <c r="AN71" s="25"/>
      <c r="AO71" s="9"/>
      <c r="AP71" s="25"/>
      <c r="AQ71" s="9"/>
    </row>
    <row r="72" spans="1:43" x14ac:dyDescent="0.25">
      <c r="A72" s="35" t="s">
        <v>79</v>
      </c>
      <c r="B72" s="36" t="s">
        <v>172</v>
      </c>
      <c r="C72" s="13">
        <v>22809542</v>
      </c>
      <c r="D72" s="14">
        <v>13025000</v>
      </c>
      <c r="E72" s="15">
        <f t="shared" ref="E72:E83" si="15">D72/C72</f>
        <v>0.57103294752696043</v>
      </c>
      <c r="F72" s="16">
        <v>0</v>
      </c>
      <c r="G72" s="15">
        <f t="shared" ref="G72:G83" si="16">F72/C72</f>
        <v>0</v>
      </c>
      <c r="H72" s="26"/>
      <c r="I72" s="15">
        <f t="shared" ref="I72:I83" si="17">H72/C72</f>
        <v>0</v>
      </c>
      <c r="J72" s="17">
        <f>965272+1911003</f>
        <v>2876275</v>
      </c>
      <c r="K72" s="15">
        <f t="shared" ref="K72:K83" si="18">J72/C72</f>
        <v>0.12609963847586242</v>
      </c>
      <c r="L72" s="18">
        <v>0.95</v>
      </c>
      <c r="M72" s="17">
        <v>6908267</v>
      </c>
      <c r="N72" s="19">
        <f t="shared" ref="N72:N83" si="19">M72/C72</f>
        <v>0.30286741399717715</v>
      </c>
      <c r="O72" s="20"/>
      <c r="P72" s="21"/>
      <c r="Q72" s="22"/>
      <c r="R72" s="23"/>
      <c r="S72" s="24"/>
      <c r="T72" s="27"/>
      <c r="U72" s="24"/>
      <c r="V72" s="27"/>
      <c r="W72" s="22"/>
      <c r="X72" s="25"/>
      <c r="Y72" s="9"/>
      <c r="Z72" s="25"/>
      <c r="AA72" s="9"/>
      <c r="AB72" s="25"/>
      <c r="AC72" s="9"/>
      <c r="AD72" s="25"/>
      <c r="AE72" s="9"/>
      <c r="AF72" s="25"/>
      <c r="AG72" s="9"/>
      <c r="AH72" s="25"/>
      <c r="AI72" s="9"/>
      <c r="AJ72" s="25"/>
      <c r="AK72" s="9"/>
      <c r="AL72" s="25"/>
      <c r="AM72" s="9"/>
      <c r="AN72" s="25"/>
      <c r="AO72" s="9"/>
      <c r="AP72" s="25"/>
      <c r="AQ72" s="9"/>
    </row>
    <row r="73" spans="1:43" x14ac:dyDescent="0.25">
      <c r="A73" s="35" t="s">
        <v>80</v>
      </c>
      <c r="B73" s="36" t="s">
        <v>173</v>
      </c>
      <c r="C73" s="13">
        <v>12985619</v>
      </c>
      <c r="D73" s="14">
        <v>5050000</v>
      </c>
      <c r="E73" s="15">
        <f t="shared" si="15"/>
        <v>0.38889174247296182</v>
      </c>
      <c r="F73" s="16">
        <v>0</v>
      </c>
      <c r="G73" s="15">
        <f t="shared" si="16"/>
        <v>0</v>
      </c>
      <c r="H73" s="26"/>
      <c r="I73" s="15">
        <f t="shared" si="17"/>
        <v>0</v>
      </c>
      <c r="J73" s="17">
        <v>4066239</v>
      </c>
      <c r="K73" s="15">
        <f t="shared" si="18"/>
        <v>0.31313401386564632</v>
      </c>
      <c r="L73" s="18">
        <v>1</v>
      </c>
      <c r="M73" s="17">
        <v>3869380</v>
      </c>
      <c r="N73" s="19">
        <f t="shared" si="19"/>
        <v>0.29797424366139186</v>
      </c>
      <c r="O73" s="20"/>
      <c r="P73" s="21"/>
      <c r="Q73" s="22"/>
      <c r="R73" s="23"/>
      <c r="S73" s="24"/>
      <c r="T73" s="27"/>
      <c r="U73" s="24"/>
      <c r="V73" s="27"/>
      <c r="W73" s="22"/>
      <c r="X73" s="25"/>
      <c r="Y73" s="9"/>
      <c r="Z73" s="25"/>
      <c r="AA73" s="9"/>
      <c r="AB73" s="25"/>
      <c r="AC73" s="9"/>
      <c r="AD73" s="25"/>
      <c r="AE73" s="9"/>
      <c r="AF73" s="25"/>
      <c r="AG73" s="9"/>
      <c r="AH73" s="25"/>
      <c r="AI73" s="9"/>
      <c r="AJ73" s="25"/>
      <c r="AK73" s="9"/>
      <c r="AL73" s="25"/>
      <c r="AM73" s="9"/>
      <c r="AN73" s="25"/>
      <c r="AO73" s="9"/>
      <c r="AP73" s="25"/>
      <c r="AQ73" s="9"/>
    </row>
    <row r="74" spans="1:43" x14ac:dyDescent="0.25">
      <c r="A74" s="35" t="s">
        <v>81</v>
      </c>
      <c r="B74" s="36" t="s">
        <v>174</v>
      </c>
      <c r="C74" s="13">
        <v>23053800</v>
      </c>
      <c r="D74" s="14">
        <v>10953000</v>
      </c>
      <c r="E74" s="15">
        <f t="shared" si="15"/>
        <v>0.47510605626838093</v>
      </c>
      <c r="F74" s="16">
        <v>0</v>
      </c>
      <c r="G74" s="15">
        <f t="shared" si="16"/>
        <v>0</v>
      </c>
      <c r="H74" s="26"/>
      <c r="I74" s="15">
        <f t="shared" si="17"/>
        <v>0</v>
      </c>
      <c r="J74" s="17">
        <f>4178677+781000</f>
        <v>4959677</v>
      </c>
      <c r="K74" s="15">
        <f t="shared" si="18"/>
        <v>0.21513490183830866</v>
      </c>
      <c r="L74" s="18">
        <v>1.0085999999999999</v>
      </c>
      <c r="M74" s="17">
        <v>7141123</v>
      </c>
      <c r="N74" s="19">
        <f t="shared" si="19"/>
        <v>0.30975904189331044</v>
      </c>
      <c r="O74" s="20"/>
      <c r="P74" s="21"/>
      <c r="Q74" s="22"/>
      <c r="R74" s="23"/>
      <c r="S74" s="24"/>
      <c r="T74" s="27"/>
      <c r="U74" s="24"/>
      <c r="V74" s="27"/>
      <c r="W74" s="22"/>
      <c r="X74" s="25"/>
      <c r="Y74" s="9"/>
      <c r="Z74" s="25"/>
      <c r="AA74" s="9"/>
      <c r="AB74" s="25"/>
      <c r="AC74" s="9"/>
      <c r="AD74" s="25"/>
      <c r="AE74" s="9"/>
      <c r="AF74" s="25"/>
      <c r="AG74" s="9"/>
      <c r="AH74" s="25"/>
      <c r="AI74" s="9"/>
      <c r="AJ74" s="25"/>
      <c r="AK74" s="9"/>
      <c r="AL74" s="25"/>
      <c r="AM74" s="9"/>
      <c r="AN74" s="25"/>
      <c r="AO74" s="9"/>
      <c r="AP74" s="25"/>
      <c r="AQ74" s="9"/>
    </row>
    <row r="75" spans="1:43" x14ac:dyDescent="0.25">
      <c r="A75" s="35" t="s">
        <v>82</v>
      </c>
      <c r="B75" s="36" t="s">
        <v>175</v>
      </c>
      <c r="C75" s="13">
        <v>12407305</v>
      </c>
      <c r="D75" s="14">
        <v>4600000</v>
      </c>
      <c r="E75" s="15">
        <f t="shared" si="15"/>
        <v>0.37074932872207139</v>
      </c>
      <c r="F75" s="16">
        <f>948875+381335+1054269+367500+134692</f>
        <v>2886671</v>
      </c>
      <c r="G75" s="15">
        <f t="shared" si="16"/>
        <v>0.23265898597640663</v>
      </c>
      <c r="H75" s="26"/>
      <c r="I75" s="15">
        <f t="shared" si="17"/>
        <v>0</v>
      </c>
      <c r="J75" s="17">
        <f>350039+478727</f>
        <v>828766</v>
      </c>
      <c r="K75" s="15">
        <f t="shared" si="18"/>
        <v>6.6796616992973096E-2</v>
      </c>
      <c r="L75" s="18">
        <v>0.99</v>
      </c>
      <c r="M75" s="17">
        <v>4091868</v>
      </c>
      <c r="N75" s="19">
        <f t="shared" si="19"/>
        <v>0.32979506830854888</v>
      </c>
      <c r="O75" s="20"/>
      <c r="P75" s="21"/>
      <c r="Q75" s="22"/>
      <c r="R75" s="23"/>
      <c r="S75" s="24"/>
      <c r="T75" s="27"/>
      <c r="U75" s="24"/>
      <c r="V75" s="27"/>
      <c r="W75" s="22"/>
      <c r="X75" s="25"/>
      <c r="Y75" s="9"/>
      <c r="Z75" s="25"/>
      <c r="AA75" s="9"/>
      <c r="AB75" s="25"/>
      <c r="AC75" s="9"/>
      <c r="AD75" s="25"/>
      <c r="AE75" s="9"/>
      <c r="AF75" s="25"/>
      <c r="AG75" s="9"/>
      <c r="AH75" s="25"/>
      <c r="AI75" s="9"/>
      <c r="AJ75" s="25"/>
      <c r="AK75" s="9"/>
      <c r="AL75" s="25"/>
      <c r="AM75" s="9"/>
      <c r="AN75" s="25"/>
      <c r="AO75" s="9"/>
      <c r="AP75" s="25"/>
      <c r="AQ75" s="9"/>
    </row>
    <row r="76" spans="1:43" x14ac:dyDescent="0.25">
      <c r="A76" s="35" t="s">
        <v>83</v>
      </c>
      <c r="B76" s="36" t="s">
        <v>176</v>
      </c>
      <c r="C76" s="13">
        <v>6659028</v>
      </c>
      <c r="D76" s="14">
        <v>1590550</v>
      </c>
      <c r="E76" s="15">
        <f t="shared" si="15"/>
        <v>0.23885618141266263</v>
      </c>
      <c r="F76" s="16">
        <v>2920302</v>
      </c>
      <c r="G76" s="15">
        <f t="shared" si="16"/>
        <v>0.43854778805555406</v>
      </c>
      <c r="H76" s="26"/>
      <c r="I76" s="15">
        <f t="shared" si="17"/>
        <v>0</v>
      </c>
      <c r="J76" s="17">
        <f>58386+174822+197+35930</f>
        <v>269335</v>
      </c>
      <c r="K76" s="15">
        <f t="shared" si="18"/>
        <v>4.0446593707069559E-2</v>
      </c>
      <c r="L76" s="18">
        <v>0.88658000000000003</v>
      </c>
      <c r="M76" s="17">
        <v>1878841</v>
      </c>
      <c r="N76" s="19">
        <f t="shared" si="19"/>
        <v>0.28214943682471377</v>
      </c>
      <c r="O76" s="20"/>
      <c r="P76" s="21"/>
      <c r="Q76" s="22"/>
      <c r="R76" s="23"/>
      <c r="S76" s="24"/>
      <c r="T76" s="27"/>
      <c r="U76" s="24"/>
      <c r="V76" s="27"/>
      <c r="W76" s="22"/>
      <c r="X76" s="25"/>
      <c r="Y76" s="9"/>
      <c r="Z76" s="25"/>
      <c r="AA76" s="9"/>
      <c r="AB76" s="25"/>
      <c r="AC76" s="9"/>
      <c r="AD76" s="25"/>
      <c r="AE76" s="9"/>
      <c r="AF76" s="25"/>
      <c r="AG76" s="9"/>
      <c r="AH76" s="25"/>
      <c r="AI76" s="9"/>
      <c r="AJ76" s="25"/>
      <c r="AK76" s="9"/>
      <c r="AL76" s="25"/>
      <c r="AM76" s="9"/>
      <c r="AN76" s="25"/>
      <c r="AO76" s="9"/>
      <c r="AP76" s="25"/>
      <c r="AQ76" s="9"/>
    </row>
    <row r="77" spans="1:43" x14ac:dyDescent="0.25">
      <c r="A77" s="35" t="s">
        <v>84</v>
      </c>
      <c r="B77" s="36" t="s">
        <v>177</v>
      </c>
      <c r="C77" s="13">
        <v>60297331</v>
      </c>
      <c r="D77" s="14">
        <v>8550000</v>
      </c>
      <c r="E77" s="15">
        <f t="shared" si="15"/>
        <v>0.1417973210124342</v>
      </c>
      <c r="F77" s="16">
        <f>19111224+5661107+5810000</f>
        <v>30582331</v>
      </c>
      <c r="G77" s="15">
        <f t="shared" si="16"/>
        <v>0.50719211767432959</v>
      </c>
      <c r="H77" s="26"/>
      <c r="I77" s="15">
        <f t="shared" si="17"/>
        <v>0</v>
      </c>
      <c r="J77" s="17">
        <v>0</v>
      </c>
      <c r="K77" s="15">
        <f t="shared" si="18"/>
        <v>0</v>
      </c>
      <c r="L77" s="18">
        <v>1.1100000000000001</v>
      </c>
      <c r="M77" s="17">
        <v>21165000</v>
      </c>
      <c r="N77" s="19">
        <f t="shared" si="19"/>
        <v>0.35101056131323621</v>
      </c>
      <c r="O77" s="20"/>
      <c r="P77" s="21"/>
      <c r="Q77" s="22"/>
      <c r="R77" s="23"/>
      <c r="S77" s="24"/>
      <c r="T77" s="27"/>
      <c r="U77" s="24"/>
      <c r="V77" s="27"/>
      <c r="W77" s="24"/>
      <c r="X77" s="25"/>
      <c r="Y77" s="22"/>
      <c r="Z77" s="25"/>
      <c r="AA77" s="9"/>
      <c r="AB77" s="25"/>
      <c r="AC77" s="9"/>
      <c r="AD77" s="25"/>
      <c r="AE77" s="9"/>
      <c r="AF77" s="25"/>
      <c r="AG77" s="9"/>
      <c r="AH77" s="25"/>
      <c r="AI77" s="9"/>
      <c r="AJ77" s="25"/>
      <c r="AK77" s="9"/>
      <c r="AL77" s="25"/>
      <c r="AM77" s="9"/>
      <c r="AN77" s="25"/>
      <c r="AO77" s="9"/>
      <c r="AP77" s="25"/>
      <c r="AQ77" s="9"/>
    </row>
    <row r="78" spans="1:43" x14ac:dyDescent="0.25">
      <c r="A78" s="35" t="s">
        <v>85</v>
      </c>
      <c r="B78" s="36" t="s">
        <v>178</v>
      </c>
      <c r="C78" s="13">
        <v>21640299</v>
      </c>
      <c r="D78" s="14">
        <v>3531000</v>
      </c>
      <c r="E78" s="15">
        <f t="shared" si="15"/>
        <v>0.16316780096245437</v>
      </c>
      <c r="F78" s="16">
        <f>2568000+552000+5850000</f>
        <v>8970000</v>
      </c>
      <c r="G78" s="15">
        <f t="shared" si="16"/>
        <v>0.41450443914846091</v>
      </c>
      <c r="H78" s="26"/>
      <c r="I78" s="15">
        <f t="shared" si="17"/>
        <v>0</v>
      </c>
      <c r="J78" s="17">
        <f>750000+444844+79350</f>
        <v>1274194</v>
      </c>
      <c r="K78" s="15">
        <f t="shared" si="18"/>
        <v>5.888060973649209E-2</v>
      </c>
      <c r="L78" s="18">
        <v>1.0330600000000001</v>
      </c>
      <c r="M78" s="17">
        <v>7865105</v>
      </c>
      <c r="N78" s="19">
        <f t="shared" si="19"/>
        <v>0.3634471501525926</v>
      </c>
      <c r="O78" s="20"/>
      <c r="P78" s="21"/>
      <c r="Q78" s="22"/>
      <c r="R78" s="23"/>
      <c r="S78" s="24"/>
      <c r="T78" s="27"/>
      <c r="U78" s="24"/>
      <c r="V78" s="27"/>
      <c r="W78" s="22"/>
      <c r="X78" s="25"/>
      <c r="Y78" s="9"/>
      <c r="Z78" s="25"/>
      <c r="AA78" s="9"/>
      <c r="AB78" s="25"/>
      <c r="AC78" s="9"/>
      <c r="AD78" s="25"/>
      <c r="AE78" s="9"/>
      <c r="AF78" s="25"/>
      <c r="AG78" s="9"/>
      <c r="AH78" s="25"/>
      <c r="AI78" s="9"/>
      <c r="AJ78" s="25"/>
      <c r="AK78" s="9"/>
      <c r="AL78" s="25"/>
      <c r="AM78" s="9"/>
      <c r="AN78" s="25"/>
      <c r="AO78" s="9"/>
      <c r="AP78" s="25"/>
      <c r="AQ78" s="9"/>
    </row>
    <row r="79" spans="1:43" x14ac:dyDescent="0.25">
      <c r="A79" s="35" t="s">
        <v>86</v>
      </c>
      <c r="B79" s="36" t="s">
        <v>179</v>
      </c>
      <c r="C79" s="13">
        <v>27160066</v>
      </c>
      <c r="D79" s="14">
        <f>6870000+850000</f>
        <v>7720000</v>
      </c>
      <c r="E79" s="15">
        <f t="shared" si="15"/>
        <v>0.28424084094641006</v>
      </c>
      <c r="F79" s="16">
        <v>0</v>
      </c>
      <c r="G79" s="15">
        <f t="shared" si="16"/>
        <v>0</v>
      </c>
      <c r="H79" s="26"/>
      <c r="I79" s="15">
        <f t="shared" si="17"/>
        <v>0</v>
      </c>
      <c r="J79" s="17">
        <f>5276534+2011600+1249341</f>
        <v>8537475</v>
      </c>
      <c r="K79" s="15">
        <f t="shared" si="18"/>
        <v>0.31433925823302489</v>
      </c>
      <c r="L79" s="18">
        <v>1.03</v>
      </c>
      <c r="M79" s="17">
        <v>10902591</v>
      </c>
      <c r="N79" s="19">
        <f t="shared" si="19"/>
        <v>0.401419900820565</v>
      </c>
      <c r="O79" s="20"/>
      <c r="P79" s="21"/>
      <c r="Q79" s="22"/>
      <c r="R79" s="23"/>
      <c r="S79" s="24"/>
      <c r="T79" s="27"/>
      <c r="U79" s="24"/>
      <c r="V79" s="27"/>
      <c r="W79" s="22"/>
      <c r="X79" s="25"/>
      <c r="Y79" s="9"/>
      <c r="Z79" s="25"/>
      <c r="AA79" s="9"/>
      <c r="AB79" s="25"/>
      <c r="AC79" s="9"/>
      <c r="AD79" s="25"/>
      <c r="AE79" s="9"/>
      <c r="AF79" s="25"/>
      <c r="AG79" s="9"/>
      <c r="AH79" s="25"/>
      <c r="AI79" s="9"/>
      <c r="AJ79" s="25"/>
      <c r="AK79" s="9"/>
      <c r="AL79" s="25"/>
      <c r="AM79" s="9"/>
      <c r="AN79" s="25"/>
      <c r="AO79" s="9"/>
      <c r="AP79" s="25"/>
      <c r="AQ79" s="9"/>
    </row>
    <row r="80" spans="1:43" x14ac:dyDescent="0.25">
      <c r="A80" s="35" t="s">
        <v>87</v>
      </c>
      <c r="B80" s="36" t="s">
        <v>180</v>
      </c>
      <c r="C80" s="13">
        <v>11354284</v>
      </c>
      <c r="D80" s="14">
        <v>175000</v>
      </c>
      <c r="E80" s="15">
        <f t="shared" si="15"/>
        <v>1.5412684762861313E-2</v>
      </c>
      <c r="F80" s="16">
        <f>2784995+3376999</f>
        <v>6161994</v>
      </c>
      <c r="G80" s="15">
        <f t="shared" si="16"/>
        <v>0.54270212018653052</v>
      </c>
      <c r="H80" s="26"/>
      <c r="I80" s="15">
        <f t="shared" si="17"/>
        <v>0</v>
      </c>
      <c r="J80" s="17">
        <f>550000+203298</f>
        <v>753298</v>
      </c>
      <c r="K80" s="15">
        <f t="shared" si="18"/>
        <v>6.6344826322822292E-2</v>
      </c>
      <c r="L80" s="18">
        <v>0.96</v>
      </c>
      <c r="M80" s="17">
        <v>4263992</v>
      </c>
      <c r="N80" s="19">
        <f t="shared" si="19"/>
        <v>0.3755403687277859</v>
      </c>
      <c r="O80" s="20"/>
      <c r="P80" s="21"/>
      <c r="Q80" s="22"/>
      <c r="R80" s="23"/>
      <c r="S80" s="24"/>
      <c r="T80" s="27"/>
      <c r="U80" s="24"/>
      <c r="V80" s="27"/>
      <c r="W80" s="22"/>
      <c r="X80" s="25"/>
      <c r="Y80" s="9"/>
      <c r="Z80" s="25"/>
      <c r="AA80" s="9"/>
      <c r="AB80" s="25"/>
      <c r="AC80" s="9"/>
      <c r="AD80" s="25"/>
      <c r="AE80" s="9"/>
      <c r="AF80" s="25"/>
      <c r="AG80" s="9"/>
      <c r="AH80" s="25"/>
      <c r="AI80" s="9"/>
      <c r="AJ80" s="25"/>
      <c r="AK80" s="9"/>
      <c r="AL80" s="25"/>
      <c r="AM80" s="9"/>
      <c r="AN80" s="25"/>
      <c r="AO80" s="9"/>
      <c r="AP80" s="25"/>
      <c r="AQ80" s="9"/>
    </row>
    <row r="81" spans="1:43" x14ac:dyDescent="0.25">
      <c r="A81" s="35" t="s">
        <v>88</v>
      </c>
      <c r="B81" s="36" t="s">
        <v>181</v>
      </c>
      <c r="C81" s="13">
        <v>16704680</v>
      </c>
      <c r="D81" s="14">
        <v>4429180</v>
      </c>
      <c r="E81" s="15">
        <f t="shared" si="15"/>
        <v>0.26514605487803417</v>
      </c>
      <c r="F81" s="16">
        <v>0</v>
      </c>
      <c r="G81" s="15">
        <f t="shared" si="16"/>
        <v>0</v>
      </c>
      <c r="H81" s="26"/>
      <c r="I81" s="15">
        <f t="shared" si="17"/>
        <v>0</v>
      </c>
      <c r="J81" s="17">
        <f>6278000+143067+473263+423000</f>
        <v>7317330</v>
      </c>
      <c r="K81" s="15">
        <f t="shared" si="18"/>
        <v>0.43804071673327477</v>
      </c>
      <c r="L81" s="18">
        <v>1</v>
      </c>
      <c r="M81" s="17">
        <v>4958170</v>
      </c>
      <c r="N81" s="19">
        <f t="shared" si="19"/>
        <v>0.29681322838869106</v>
      </c>
      <c r="O81" s="20"/>
      <c r="P81" s="21"/>
      <c r="Q81" s="22"/>
      <c r="R81" s="23"/>
      <c r="S81" s="24"/>
      <c r="T81" s="27"/>
      <c r="U81" s="24"/>
      <c r="V81" s="27"/>
      <c r="W81" s="22"/>
      <c r="X81" s="25"/>
      <c r="Y81" s="9"/>
      <c r="Z81" s="25"/>
      <c r="AA81" s="9"/>
      <c r="AB81" s="25"/>
      <c r="AC81" s="9"/>
      <c r="AD81" s="25"/>
      <c r="AE81" s="9"/>
      <c r="AF81" s="25"/>
      <c r="AG81" s="9"/>
      <c r="AH81" s="25"/>
      <c r="AI81" s="9"/>
      <c r="AJ81" s="25"/>
      <c r="AK81" s="9"/>
      <c r="AL81" s="25"/>
      <c r="AM81" s="9"/>
      <c r="AN81" s="25"/>
      <c r="AO81" s="9"/>
      <c r="AP81" s="25"/>
      <c r="AQ81" s="9"/>
    </row>
    <row r="82" spans="1:43" x14ac:dyDescent="0.25">
      <c r="A82" s="35" t="s">
        <v>89</v>
      </c>
      <c r="B82" s="36" t="s">
        <v>182</v>
      </c>
      <c r="C82" s="13">
        <v>11259459</v>
      </c>
      <c r="D82" s="14">
        <v>4800000</v>
      </c>
      <c r="E82" s="15">
        <f t="shared" si="15"/>
        <v>0.42630822670964919</v>
      </c>
      <c r="F82" s="16">
        <v>0</v>
      </c>
      <c r="G82" s="15">
        <f t="shared" si="16"/>
        <v>0</v>
      </c>
      <c r="H82" s="26"/>
      <c r="I82" s="15">
        <f t="shared" si="17"/>
        <v>0</v>
      </c>
      <c r="J82" s="17">
        <f>2282820+384000+287565+518302</f>
        <v>3472687</v>
      </c>
      <c r="K82" s="15">
        <f t="shared" si="18"/>
        <v>0.30842396601826072</v>
      </c>
      <c r="L82" s="18">
        <v>0.95</v>
      </c>
      <c r="M82" s="17">
        <v>2986772</v>
      </c>
      <c r="N82" s="19">
        <f t="shared" si="19"/>
        <v>0.26526780727209009</v>
      </c>
      <c r="O82" s="20"/>
      <c r="P82" s="21"/>
      <c r="Q82" s="22"/>
      <c r="R82" s="23"/>
      <c r="S82" s="24"/>
      <c r="T82" s="27"/>
      <c r="U82" s="24"/>
      <c r="V82" s="27"/>
      <c r="W82" s="22"/>
      <c r="X82" s="25"/>
      <c r="Y82" s="9"/>
      <c r="Z82" s="25"/>
      <c r="AA82" s="9"/>
      <c r="AB82" s="25"/>
      <c r="AC82" s="9"/>
      <c r="AD82" s="25"/>
      <c r="AE82" s="9"/>
      <c r="AF82" s="25"/>
      <c r="AG82" s="9"/>
      <c r="AH82" s="25"/>
      <c r="AI82" s="9"/>
      <c r="AJ82" s="25"/>
      <c r="AK82" s="9"/>
      <c r="AL82" s="25"/>
      <c r="AM82" s="9"/>
      <c r="AN82" s="25"/>
      <c r="AO82" s="9"/>
      <c r="AP82" s="25"/>
      <c r="AQ82" s="9"/>
    </row>
    <row r="83" spans="1:43" x14ac:dyDescent="0.25">
      <c r="A83" s="35" t="s">
        <v>90</v>
      </c>
      <c r="B83" s="36" t="s">
        <v>183</v>
      </c>
      <c r="C83" s="13">
        <v>8303138</v>
      </c>
      <c r="D83" s="14">
        <f>1499850+1073671</f>
        <v>2573521</v>
      </c>
      <c r="E83" s="15">
        <f t="shared" si="15"/>
        <v>0.30994558924589716</v>
      </c>
      <c r="F83" s="16">
        <v>1887653</v>
      </c>
      <c r="G83" s="15">
        <f t="shared" si="16"/>
        <v>0.22734212053322492</v>
      </c>
      <c r="H83" s="26"/>
      <c r="I83" s="15">
        <f t="shared" si="17"/>
        <v>0</v>
      </c>
      <c r="J83" s="17">
        <f>561348+85500</f>
        <v>646848</v>
      </c>
      <c r="K83" s="15">
        <f t="shared" si="18"/>
        <v>7.7904040616933026E-2</v>
      </c>
      <c r="L83" s="18">
        <v>1.0296000000000001</v>
      </c>
      <c r="M83" s="17">
        <v>3195116</v>
      </c>
      <c r="N83" s="19">
        <f t="shared" si="19"/>
        <v>0.38480824960394494</v>
      </c>
      <c r="O83" s="20"/>
      <c r="P83" s="21"/>
      <c r="Q83" s="22"/>
      <c r="R83" s="23"/>
      <c r="S83" s="24"/>
      <c r="T83" s="27"/>
      <c r="U83" s="24"/>
      <c r="V83" s="27"/>
      <c r="W83" s="22"/>
      <c r="X83" s="25"/>
      <c r="Y83" s="9"/>
      <c r="Z83" s="25"/>
      <c r="AA83" s="9"/>
      <c r="AB83" s="25"/>
      <c r="AC83" s="9"/>
      <c r="AD83" s="25"/>
      <c r="AE83" s="9"/>
      <c r="AF83" s="25"/>
      <c r="AG83" s="9"/>
      <c r="AH83" s="25"/>
      <c r="AI83" s="9"/>
      <c r="AJ83" s="25"/>
      <c r="AK83" s="9"/>
      <c r="AL83" s="25"/>
      <c r="AM83" s="9"/>
      <c r="AN83" s="25"/>
      <c r="AO83" s="9"/>
      <c r="AP83" s="25"/>
      <c r="AQ83" s="9"/>
    </row>
    <row r="84" spans="1:43" x14ac:dyDescent="0.25">
      <c r="A84" s="35" t="s">
        <v>91</v>
      </c>
      <c r="B84" s="36" t="s">
        <v>13</v>
      </c>
      <c r="C84" s="13">
        <v>11154534</v>
      </c>
      <c r="D84" s="14">
        <v>0</v>
      </c>
      <c r="E84" s="15">
        <f t="shared" ref="E84:E96" si="20">D84/C84</f>
        <v>0</v>
      </c>
      <c r="F84" s="16">
        <f>5494626+117324+664279</f>
        <v>6276229</v>
      </c>
      <c r="G84" s="15">
        <f t="shared" ref="G84:G96" si="21">F84/C84</f>
        <v>0.56266169433882218</v>
      </c>
      <c r="H84" s="26"/>
      <c r="I84" s="15">
        <f t="shared" ref="I84:I96" si="22">H84/C84</f>
        <v>0</v>
      </c>
      <c r="J84" s="17">
        <f>495531</f>
        <v>495531</v>
      </c>
      <c r="K84" s="15">
        <f t="shared" ref="K84:K96" si="23">J84/C84</f>
        <v>4.4424177648299784E-2</v>
      </c>
      <c r="L84" s="18">
        <v>1.05</v>
      </c>
      <c r="M84" s="17">
        <v>4382774</v>
      </c>
      <c r="N84" s="19">
        <f t="shared" ref="N84:N96" si="24">M84/C84</f>
        <v>0.39291412801287801</v>
      </c>
      <c r="O84" s="20"/>
      <c r="P84" s="21"/>
      <c r="Q84" s="22"/>
      <c r="R84" s="23"/>
      <c r="S84" s="24"/>
      <c r="T84" s="27"/>
      <c r="U84" s="22"/>
      <c r="V84" s="25"/>
      <c r="W84" s="22"/>
      <c r="X84" s="25"/>
      <c r="Y84" s="9"/>
      <c r="Z84" s="25"/>
      <c r="AA84" s="9"/>
      <c r="AB84" s="25"/>
      <c r="AC84" s="9"/>
      <c r="AD84" s="25"/>
      <c r="AE84" s="9"/>
      <c r="AF84" s="25"/>
      <c r="AG84" s="9"/>
      <c r="AH84" s="25"/>
      <c r="AI84" s="9"/>
      <c r="AJ84" s="25"/>
      <c r="AK84" s="9"/>
      <c r="AL84" s="25"/>
      <c r="AM84" s="9"/>
      <c r="AN84" s="25"/>
      <c r="AO84" s="9"/>
      <c r="AP84" s="25"/>
      <c r="AQ84" s="9"/>
    </row>
    <row r="85" spans="1:43" x14ac:dyDescent="0.25">
      <c r="A85" s="35" t="s">
        <v>92</v>
      </c>
      <c r="B85" s="36" t="s">
        <v>184</v>
      </c>
      <c r="C85" s="13">
        <v>19409720</v>
      </c>
      <c r="D85" s="14">
        <v>0</v>
      </c>
      <c r="E85" s="15">
        <f t="shared" si="20"/>
        <v>0</v>
      </c>
      <c r="F85" s="16">
        <f>8386000+2433300+500000+840000</f>
        <v>12159300</v>
      </c>
      <c r="G85" s="15">
        <f t="shared" si="21"/>
        <v>0.62645416832391199</v>
      </c>
      <c r="H85" s="26"/>
      <c r="I85" s="15">
        <f t="shared" si="22"/>
        <v>0</v>
      </c>
      <c r="J85" s="17">
        <f>805763+1203781</f>
        <v>2009544</v>
      </c>
      <c r="K85" s="15">
        <f t="shared" si="23"/>
        <v>0.10353286909857536</v>
      </c>
      <c r="L85" s="18">
        <v>0.94</v>
      </c>
      <c r="M85" s="17">
        <v>5240876</v>
      </c>
      <c r="N85" s="19">
        <f t="shared" si="24"/>
        <v>0.27001296257751273</v>
      </c>
      <c r="O85" s="20"/>
      <c r="P85" s="21"/>
      <c r="Q85" s="22"/>
      <c r="R85" s="23"/>
      <c r="S85" s="24"/>
      <c r="T85" s="27"/>
      <c r="U85" s="22"/>
      <c r="V85" s="25"/>
      <c r="W85" s="22"/>
      <c r="X85" s="25"/>
      <c r="Y85" s="9"/>
      <c r="Z85" s="25"/>
      <c r="AA85" s="9"/>
      <c r="AB85" s="25"/>
      <c r="AC85" s="9"/>
      <c r="AD85" s="25"/>
      <c r="AE85" s="9"/>
      <c r="AF85" s="25"/>
      <c r="AG85" s="9"/>
      <c r="AH85" s="25"/>
      <c r="AI85" s="9"/>
      <c r="AJ85" s="25"/>
      <c r="AK85" s="9"/>
      <c r="AL85" s="25"/>
      <c r="AM85" s="9"/>
      <c r="AN85" s="25"/>
      <c r="AO85" s="9"/>
      <c r="AP85" s="25"/>
      <c r="AQ85" s="9"/>
    </row>
    <row r="86" spans="1:43" x14ac:dyDescent="0.25">
      <c r="A86" s="35" t="s">
        <v>93</v>
      </c>
      <c r="B86" s="36" t="s">
        <v>185</v>
      </c>
      <c r="C86" s="13">
        <v>21236419</v>
      </c>
      <c r="D86" s="14">
        <f>5955000</f>
        <v>5955000</v>
      </c>
      <c r="E86" s="15">
        <f t="shared" si="20"/>
        <v>0.28041450867964135</v>
      </c>
      <c r="F86" s="16">
        <v>0</v>
      </c>
      <c r="G86" s="15">
        <f t="shared" si="21"/>
        <v>0</v>
      </c>
      <c r="H86" s="26">
        <v>3428200</v>
      </c>
      <c r="I86" s="15">
        <f t="shared" si="22"/>
        <v>0.16143022983300528</v>
      </c>
      <c r="J86" s="17">
        <f>3958473+826346+658000+79138</f>
        <v>5521957</v>
      </c>
      <c r="K86" s="15">
        <f t="shared" si="23"/>
        <v>0.26002298221748216</v>
      </c>
      <c r="L86" s="18">
        <v>1.05</v>
      </c>
      <c r="M86" s="17">
        <v>6331262</v>
      </c>
      <c r="N86" s="19">
        <f t="shared" si="24"/>
        <v>0.29813227926987124</v>
      </c>
      <c r="O86" s="20"/>
      <c r="P86" s="21"/>
      <c r="Q86" s="22"/>
      <c r="R86" s="23"/>
      <c r="S86" s="24"/>
      <c r="T86" s="27"/>
      <c r="U86" s="22"/>
      <c r="V86" s="25"/>
      <c r="W86" s="22"/>
      <c r="X86" s="25"/>
      <c r="Y86" s="9"/>
      <c r="Z86" s="25"/>
      <c r="AA86" s="9"/>
      <c r="AB86" s="25"/>
      <c r="AC86" s="9"/>
      <c r="AD86" s="25"/>
      <c r="AE86" s="9"/>
      <c r="AF86" s="25"/>
      <c r="AG86" s="9"/>
      <c r="AH86" s="25"/>
      <c r="AI86" s="9"/>
      <c r="AJ86" s="25"/>
      <c r="AK86" s="9"/>
      <c r="AL86" s="25"/>
      <c r="AM86" s="9"/>
      <c r="AN86" s="25"/>
      <c r="AO86" s="9"/>
      <c r="AP86" s="25"/>
      <c r="AQ86" s="9"/>
    </row>
    <row r="87" spans="1:43" x14ac:dyDescent="0.25">
      <c r="A87" s="35" t="s">
        <v>94</v>
      </c>
      <c r="B87" s="36" t="s">
        <v>186</v>
      </c>
      <c r="C87" s="13">
        <v>19390164</v>
      </c>
      <c r="D87" s="14">
        <v>7250000</v>
      </c>
      <c r="E87" s="15">
        <f t="shared" si="20"/>
        <v>0.37390091182312846</v>
      </c>
      <c r="F87" s="16">
        <f>3300000+2050000</f>
        <v>5350000</v>
      </c>
      <c r="G87" s="15">
        <f t="shared" si="21"/>
        <v>0.27591308665568792</v>
      </c>
      <c r="H87" s="26"/>
      <c r="I87" s="15">
        <f t="shared" si="22"/>
        <v>0</v>
      </c>
      <c r="J87" s="17">
        <v>249063</v>
      </c>
      <c r="K87" s="15">
        <f t="shared" si="23"/>
        <v>1.2844811420883289E-2</v>
      </c>
      <c r="L87" s="18">
        <v>0.97989999999999999</v>
      </c>
      <c r="M87" s="17">
        <v>6541101</v>
      </c>
      <c r="N87" s="19">
        <f t="shared" si="24"/>
        <v>0.33734119010030034</v>
      </c>
      <c r="O87" s="20"/>
      <c r="P87" s="21"/>
      <c r="Q87" s="22"/>
      <c r="R87" s="23"/>
      <c r="S87" s="24"/>
      <c r="T87" s="27"/>
      <c r="U87" s="22"/>
      <c r="V87" s="25"/>
      <c r="W87" s="22"/>
      <c r="X87" s="25"/>
      <c r="Y87" s="9"/>
      <c r="Z87" s="25"/>
      <c r="AA87" s="9"/>
      <c r="AB87" s="9"/>
      <c r="AC87" s="9"/>
      <c r="AD87" s="25"/>
      <c r="AE87" s="9"/>
      <c r="AF87" s="25"/>
      <c r="AG87" s="9"/>
      <c r="AH87" s="25"/>
      <c r="AI87" s="9"/>
      <c r="AJ87" s="25"/>
      <c r="AK87" s="9"/>
      <c r="AL87" s="25"/>
      <c r="AM87" s="9"/>
      <c r="AN87" s="25"/>
      <c r="AO87" s="9"/>
      <c r="AP87" s="25"/>
      <c r="AQ87" s="9"/>
    </row>
    <row r="88" spans="1:43" x14ac:dyDescent="0.25">
      <c r="A88" s="35" t="s">
        <v>95</v>
      </c>
      <c r="B88" s="36" t="s">
        <v>187</v>
      </c>
      <c r="C88" s="13">
        <v>45972181</v>
      </c>
      <c r="D88" s="14">
        <f>22351550+4000000</f>
        <v>26351550</v>
      </c>
      <c r="E88" s="15">
        <f t="shared" si="20"/>
        <v>0.57320643543102734</v>
      </c>
      <c r="F88" s="16">
        <v>0</v>
      </c>
      <c r="G88" s="15">
        <f t="shared" si="21"/>
        <v>0</v>
      </c>
      <c r="H88" s="26"/>
      <c r="I88" s="15">
        <f t="shared" si="22"/>
        <v>0</v>
      </c>
      <c r="J88" s="17">
        <v>792871</v>
      </c>
      <c r="K88" s="15">
        <f t="shared" si="23"/>
        <v>1.724675625026361E-2</v>
      </c>
      <c r="L88" s="18">
        <v>1.05</v>
      </c>
      <c r="M88" s="17">
        <v>18827760</v>
      </c>
      <c r="N88" s="19">
        <f t="shared" si="24"/>
        <v>0.4095468083187091</v>
      </c>
      <c r="O88" s="20"/>
      <c r="P88" s="21"/>
      <c r="Q88" s="22"/>
      <c r="R88" s="23"/>
      <c r="S88" s="22"/>
      <c r="T88" s="25"/>
      <c r="U88" s="22"/>
      <c r="V88" s="25"/>
      <c r="W88" s="22"/>
      <c r="X88" s="25"/>
      <c r="Y88" s="9"/>
      <c r="Z88" s="25"/>
      <c r="AA88" s="9"/>
      <c r="AB88" s="25"/>
      <c r="AC88" s="9"/>
      <c r="AD88" s="25"/>
      <c r="AE88" s="9"/>
      <c r="AF88" s="25"/>
      <c r="AG88" s="9"/>
      <c r="AH88" s="25"/>
      <c r="AI88" s="9"/>
      <c r="AJ88" s="25"/>
      <c r="AK88" s="9"/>
      <c r="AL88" s="25"/>
      <c r="AM88" s="9"/>
      <c r="AN88" s="25"/>
      <c r="AO88" s="9"/>
      <c r="AP88" s="25"/>
      <c r="AQ88" s="9"/>
    </row>
    <row r="89" spans="1:43" x14ac:dyDescent="0.25">
      <c r="A89" s="35" t="s">
        <v>96</v>
      </c>
      <c r="B89" s="36" t="s">
        <v>188</v>
      </c>
      <c r="C89" s="13">
        <v>8802808</v>
      </c>
      <c r="D89" s="14">
        <v>325000</v>
      </c>
      <c r="E89" s="15">
        <f t="shared" si="20"/>
        <v>3.6920037333541753E-2</v>
      </c>
      <c r="F89" s="16">
        <v>4560000</v>
      </c>
      <c r="G89" s="15">
        <f t="shared" si="21"/>
        <v>0.51801652381830887</v>
      </c>
      <c r="H89" s="30"/>
      <c r="I89" s="15">
        <f t="shared" si="22"/>
        <v>0</v>
      </c>
      <c r="J89" s="17">
        <v>750000</v>
      </c>
      <c r="K89" s="15">
        <f t="shared" si="23"/>
        <v>8.5200086154327115E-2</v>
      </c>
      <c r="L89" s="18">
        <v>0.95989999999999998</v>
      </c>
      <c r="M89" s="17">
        <v>3167808</v>
      </c>
      <c r="N89" s="19">
        <f t="shared" si="24"/>
        <v>0.35986335269382225</v>
      </c>
      <c r="O89" s="20"/>
      <c r="P89" s="21"/>
      <c r="Q89" s="22"/>
      <c r="R89" s="23"/>
      <c r="S89" s="24"/>
      <c r="T89" s="27"/>
      <c r="U89" s="22"/>
      <c r="V89" s="25"/>
      <c r="W89" s="22"/>
      <c r="X89" s="25"/>
      <c r="Y89" s="9"/>
      <c r="Z89" s="25"/>
      <c r="AA89" s="9"/>
      <c r="AB89" s="25"/>
      <c r="AC89" s="9"/>
      <c r="AD89" s="25"/>
      <c r="AE89" s="9"/>
      <c r="AF89" s="25"/>
      <c r="AG89" s="9"/>
      <c r="AH89" s="25"/>
      <c r="AI89" s="9"/>
      <c r="AJ89" s="25"/>
      <c r="AK89" s="9"/>
      <c r="AL89" s="25"/>
      <c r="AM89" s="9"/>
      <c r="AN89" s="25"/>
      <c r="AO89" s="9"/>
      <c r="AP89" s="25"/>
      <c r="AQ89" s="9"/>
    </row>
    <row r="90" spans="1:43" x14ac:dyDescent="0.25">
      <c r="A90" s="35" t="s">
        <v>97</v>
      </c>
      <c r="B90" s="36" t="s">
        <v>189</v>
      </c>
      <c r="C90" s="13">
        <v>19908028</v>
      </c>
      <c r="D90" s="14">
        <v>2454159</v>
      </c>
      <c r="E90" s="15">
        <f t="shared" si="20"/>
        <v>0.12327484168698176</v>
      </c>
      <c r="F90" s="16">
        <v>9600000</v>
      </c>
      <c r="G90" s="15">
        <f t="shared" si="21"/>
        <v>0.48221752551282326</v>
      </c>
      <c r="H90" s="43"/>
      <c r="I90" s="15">
        <f t="shared" si="22"/>
        <v>0</v>
      </c>
      <c r="J90" s="17">
        <v>827504</v>
      </c>
      <c r="K90" s="15">
        <f t="shared" si="23"/>
        <v>4.1566347003329514E-2</v>
      </c>
      <c r="L90" s="18">
        <v>1.0440100000000001</v>
      </c>
      <c r="M90" s="17">
        <v>7026365</v>
      </c>
      <c r="N90" s="19">
        <f t="shared" si="24"/>
        <v>0.35294128579686546</v>
      </c>
      <c r="O90" s="20"/>
      <c r="P90" s="21"/>
      <c r="Q90" s="22"/>
      <c r="R90" s="23"/>
      <c r="S90" s="24"/>
      <c r="T90" s="27"/>
      <c r="U90" s="22"/>
      <c r="V90" s="25"/>
      <c r="W90" s="22"/>
      <c r="X90" s="25"/>
      <c r="Y90" s="9"/>
      <c r="Z90" s="25"/>
      <c r="AA90" s="9"/>
      <c r="AB90" s="25"/>
      <c r="AC90" s="9"/>
      <c r="AD90" s="25"/>
      <c r="AE90" s="9"/>
      <c r="AF90" s="25"/>
      <c r="AG90" s="9"/>
      <c r="AH90" s="25"/>
      <c r="AI90" s="9"/>
      <c r="AJ90" s="25"/>
      <c r="AK90" s="9"/>
      <c r="AL90" s="25"/>
      <c r="AM90" s="9"/>
      <c r="AN90" s="25"/>
      <c r="AO90" s="9"/>
      <c r="AP90" s="25"/>
      <c r="AQ90" s="9"/>
    </row>
    <row r="91" spans="1:43" x14ac:dyDescent="0.25">
      <c r="A91" s="35" t="s">
        <v>98</v>
      </c>
      <c r="B91" s="36" t="s">
        <v>190</v>
      </c>
      <c r="C91" s="13">
        <v>13939559</v>
      </c>
      <c r="D91" s="14">
        <f>7890000+1200000</f>
        <v>9090000</v>
      </c>
      <c r="E91" s="15">
        <f t="shared" si="20"/>
        <v>0.65210097392607613</v>
      </c>
      <c r="F91" s="16">
        <v>0</v>
      </c>
      <c r="G91" s="15">
        <f t="shared" si="21"/>
        <v>0</v>
      </c>
      <c r="H91" s="43"/>
      <c r="I91" s="15">
        <f t="shared" si="22"/>
        <v>0</v>
      </c>
      <c r="J91" s="17">
        <f>348122+621617</f>
        <v>969739</v>
      </c>
      <c r="K91" s="15">
        <f t="shared" si="23"/>
        <v>6.9567408839834893E-2</v>
      </c>
      <c r="L91" s="18">
        <v>0.95899999999999996</v>
      </c>
      <c r="M91" s="17">
        <v>3879819</v>
      </c>
      <c r="N91" s="19">
        <f t="shared" si="24"/>
        <v>0.27833154549580802</v>
      </c>
      <c r="O91" s="20"/>
      <c r="P91" s="21"/>
      <c r="Q91" s="22"/>
      <c r="R91" s="23"/>
      <c r="S91" s="24"/>
      <c r="T91" s="27"/>
      <c r="U91" s="22"/>
      <c r="V91" s="25"/>
      <c r="W91" s="22"/>
      <c r="X91" s="25"/>
      <c r="Y91" s="9"/>
      <c r="Z91" s="25"/>
      <c r="AA91" s="9"/>
      <c r="AB91" s="25"/>
      <c r="AC91" s="9"/>
      <c r="AD91" s="25"/>
      <c r="AE91" s="9"/>
      <c r="AF91" s="25"/>
      <c r="AG91" s="9"/>
      <c r="AH91" s="25"/>
      <c r="AI91" s="9"/>
      <c r="AJ91" s="25"/>
      <c r="AK91" s="9"/>
      <c r="AL91" s="25"/>
      <c r="AM91" s="9"/>
      <c r="AN91" s="25"/>
      <c r="AO91" s="9"/>
      <c r="AP91" s="25"/>
      <c r="AQ91" s="9"/>
    </row>
    <row r="92" spans="1:43" x14ac:dyDescent="0.25">
      <c r="A92" s="35" t="s">
        <v>99</v>
      </c>
      <c r="B92" s="36" t="s">
        <v>191</v>
      </c>
      <c r="C92" s="13">
        <v>14202052</v>
      </c>
      <c r="D92" s="14">
        <f>7400000+1525000</f>
        <v>8925000</v>
      </c>
      <c r="E92" s="15">
        <f t="shared" si="20"/>
        <v>0.62843031415460249</v>
      </c>
      <c r="F92" s="16">
        <v>0</v>
      </c>
      <c r="G92" s="15">
        <f t="shared" si="21"/>
        <v>0</v>
      </c>
      <c r="H92" s="43"/>
      <c r="I92" s="15">
        <f t="shared" si="22"/>
        <v>0</v>
      </c>
      <c r="J92" s="17">
        <f>358964+585011</f>
        <v>943975</v>
      </c>
      <c r="K92" s="15">
        <f t="shared" si="23"/>
        <v>6.6467507653119429E-2</v>
      </c>
      <c r="L92" s="18">
        <v>0.95899999999999996</v>
      </c>
      <c r="M92" s="17">
        <v>4333077</v>
      </c>
      <c r="N92" s="19">
        <f t="shared" si="24"/>
        <v>0.30510217819227814</v>
      </c>
      <c r="O92" s="20"/>
      <c r="P92" s="21"/>
      <c r="Q92" s="22"/>
      <c r="R92" s="23"/>
      <c r="S92" s="24"/>
      <c r="T92" s="27"/>
      <c r="U92" s="22"/>
      <c r="V92" s="25"/>
      <c r="W92" s="22"/>
      <c r="X92" s="25"/>
      <c r="Y92" s="9"/>
      <c r="Z92" s="25"/>
      <c r="AA92" s="9"/>
      <c r="AB92" s="25"/>
      <c r="AC92" s="9"/>
      <c r="AD92" s="25"/>
      <c r="AE92" s="9"/>
      <c r="AF92" s="25"/>
      <c r="AG92" s="9"/>
      <c r="AH92" s="25"/>
      <c r="AI92" s="9"/>
      <c r="AJ92" s="25"/>
      <c r="AK92" s="9"/>
      <c r="AL92" s="25"/>
      <c r="AM92" s="9"/>
      <c r="AN92" s="25"/>
      <c r="AO92" s="9"/>
      <c r="AP92" s="25"/>
      <c r="AQ92" s="9"/>
    </row>
    <row r="93" spans="1:43" x14ac:dyDescent="0.25">
      <c r="A93" s="35" t="s">
        <v>100</v>
      </c>
      <c r="B93" s="36" t="s">
        <v>192</v>
      </c>
      <c r="C93" s="13">
        <v>18446441</v>
      </c>
      <c r="D93" s="14">
        <f>10160000+2225000</f>
        <v>12385000</v>
      </c>
      <c r="E93" s="15">
        <f t="shared" si="20"/>
        <v>0.67140322623751647</v>
      </c>
      <c r="F93" s="16">
        <v>0</v>
      </c>
      <c r="G93" s="15">
        <f t="shared" si="21"/>
        <v>0</v>
      </c>
      <c r="H93" s="43"/>
      <c r="I93" s="15">
        <f t="shared" si="22"/>
        <v>0</v>
      </c>
      <c r="J93" s="17">
        <f>612411+497161</f>
        <v>1109572</v>
      </c>
      <c r="K93" s="15">
        <f t="shared" si="23"/>
        <v>6.0151006906969208E-2</v>
      </c>
      <c r="L93" s="18">
        <v>0.95899999999999996</v>
      </c>
      <c r="M93" s="17">
        <v>4951869</v>
      </c>
      <c r="N93" s="19">
        <f t="shared" si="24"/>
        <v>0.2684457668555143</v>
      </c>
      <c r="O93" s="20"/>
      <c r="P93" s="21"/>
      <c r="Q93" s="22"/>
      <c r="R93" s="23"/>
      <c r="S93" s="24"/>
      <c r="T93" s="27"/>
      <c r="U93" s="22"/>
      <c r="V93" s="25"/>
      <c r="W93" s="22"/>
      <c r="X93" s="25"/>
      <c r="Y93" s="9"/>
      <c r="Z93" s="25"/>
      <c r="AA93" s="9"/>
      <c r="AB93" s="25"/>
      <c r="AC93" s="9"/>
      <c r="AD93" s="25"/>
      <c r="AE93" s="9"/>
      <c r="AF93" s="25"/>
      <c r="AG93" s="9"/>
      <c r="AH93" s="25"/>
      <c r="AI93" s="9"/>
      <c r="AJ93" s="25"/>
      <c r="AK93" s="9"/>
      <c r="AL93" s="25"/>
      <c r="AM93" s="9"/>
      <c r="AN93" s="25"/>
      <c r="AO93" s="9"/>
      <c r="AP93" s="25"/>
      <c r="AQ93" s="9"/>
    </row>
    <row r="94" spans="1:43" x14ac:dyDescent="0.25">
      <c r="A94" s="35" t="s">
        <v>101</v>
      </c>
      <c r="B94" s="36" t="s">
        <v>193</v>
      </c>
      <c r="C94" s="13">
        <v>10940992</v>
      </c>
      <c r="D94" s="14">
        <f>5060000+1300000</f>
        <v>6360000</v>
      </c>
      <c r="E94" s="15">
        <f t="shared" si="20"/>
        <v>0.58130012342573689</v>
      </c>
      <c r="F94" s="16">
        <v>0</v>
      </c>
      <c r="G94" s="15">
        <f t="shared" si="21"/>
        <v>0</v>
      </c>
      <c r="H94" s="43"/>
      <c r="I94" s="15">
        <f t="shared" si="22"/>
        <v>0</v>
      </c>
      <c r="J94" s="17">
        <f>535312+1030039</f>
        <v>1565351</v>
      </c>
      <c r="K94" s="15">
        <f t="shared" si="23"/>
        <v>0.14307212728059759</v>
      </c>
      <c r="L94" s="18">
        <v>0.95899999999999996</v>
      </c>
      <c r="M94" s="17">
        <v>3015641</v>
      </c>
      <c r="N94" s="19">
        <f t="shared" si="24"/>
        <v>0.27562774929366551</v>
      </c>
      <c r="O94" s="20"/>
      <c r="P94" s="21"/>
      <c r="Q94" s="22"/>
      <c r="R94" s="23"/>
      <c r="S94" s="24"/>
      <c r="T94" s="27"/>
      <c r="U94" s="22"/>
      <c r="V94" s="25"/>
      <c r="W94" s="22"/>
      <c r="X94" s="25"/>
      <c r="Y94" s="9"/>
      <c r="Z94" s="25"/>
      <c r="AA94" s="9"/>
      <c r="AB94" s="25"/>
      <c r="AC94" s="9"/>
      <c r="AD94" s="25"/>
      <c r="AE94" s="9"/>
      <c r="AF94" s="25"/>
      <c r="AG94" s="9"/>
      <c r="AH94" s="25"/>
      <c r="AI94" s="9"/>
      <c r="AJ94" s="25"/>
      <c r="AK94" s="9"/>
      <c r="AL94" s="25"/>
      <c r="AM94" s="9"/>
      <c r="AN94" s="25"/>
      <c r="AO94" s="9"/>
      <c r="AP94" s="25"/>
      <c r="AQ94" s="9"/>
    </row>
    <row r="95" spans="1:43" x14ac:dyDescent="0.25">
      <c r="A95" s="35" t="s">
        <v>102</v>
      </c>
      <c r="B95" s="36" t="s">
        <v>194</v>
      </c>
      <c r="C95" s="13">
        <v>10051943</v>
      </c>
      <c r="D95" s="14">
        <f>4570000+1250000</f>
        <v>5820000</v>
      </c>
      <c r="E95" s="15">
        <f t="shared" si="20"/>
        <v>0.57899253905438974</v>
      </c>
      <c r="F95" s="16">
        <v>0</v>
      </c>
      <c r="G95" s="15">
        <f t="shared" si="21"/>
        <v>0</v>
      </c>
      <c r="H95" s="43"/>
      <c r="I95" s="15">
        <f t="shared" si="22"/>
        <v>0</v>
      </c>
      <c r="J95" s="17">
        <f>559514+999590</f>
        <v>1559104</v>
      </c>
      <c r="K95" s="15">
        <f t="shared" si="23"/>
        <v>0.15510473945186518</v>
      </c>
      <c r="L95" s="18">
        <v>0.95899999999999996</v>
      </c>
      <c r="M95" s="17">
        <v>2672839</v>
      </c>
      <c r="N95" s="19">
        <f t="shared" si="24"/>
        <v>0.26590272149374505</v>
      </c>
      <c r="O95" s="20"/>
      <c r="P95" s="21"/>
      <c r="Q95" s="22"/>
      <c r="R95" s="23"/>
      <c r="S95" s="24"/>
      <c r="T95" s="27"/>
      <c r="U95" s="22"/>
      <c r="V95" s="25"/>
      <c r="W95" s="22"/>
      <c r="X95" s="25"/>
      <c r="Y95" s="9"/>
      <c r="Z95" s="25"/>
      <c r="AA95" s="9"/>
      <c r="AB95" s="25"/>
      <c r="AC95" s="9"/>
      <c r="AD95" s="25"/>
      <c r="AE95" s="9"/>
      <c r="AF95" s="25"/>
      <c r="AG95" s="9"/>
      <c r="AH95" s="25"/>
      <c r="AI95" s="9"/>
      <c r="AJ95" s="25"/>
      <c r="AK95" s="9"/>
      <c r="AL95" s="25"/>
      <c r="AM95" s="9"/>
      <c r="AN95" s="25"/>
      <c r="AO95" s="9"/>
      <c r="AP95" s="25"/>
      <c r="AQ95" s="9"/>
    </row>
    <row r="96" spans="1:43" x14ac:dyDescent="0.25">
      <c r="A96" s="35" t="s">
        <v>103</v>
      </c>
      <c r="B96" s="36" t="s">
        <v>195</v>
      </c>
      <c r="C96" s="44">
        <v>7861232</v>
      </c>
      <c r="D96" s="45">
        <v>436000</v>
      </c>
      <c r="E96" s="46">
        <f t="shared" si="20"/>
        <v>5.5462044626084055E-2</v>
      </c>
      <c r="F96" s="47">
        <f>3430000+734400</f>
        <v>4164400</v>
      </c>
      <c r="G96" s="46">
        <f t="shared" si="21"/>
        <v>0.52973885009372579</v>
      </c>
      <c r="H96" s="48"/>
      <c r="I96" s="46">
        <f t="shared" si="22"/>
        <v>0</v>
      </c>
      <c r="J96" s="49">
        <v>410787</v>
      </c>
      <c r="K96" s="46">
        <f t="shared" si="23"/>
        <v>5.2254786527099063E-2</v>
      </c>
      <c r="L96" s="50">
        <v>0.99990999999999997</v>
      </c>
      <c r="M96" s="49">
        <v>2850045</v>
      </c>
      <c r="N96" s="51">
        <f t="shared" si="24"/>
        <v>0.36254431875309112</v>
      </c>
      <c r="O96" s="20"/>
      <c r="P96" s="21"/>
      <c r="Q96" s="22"/>
      <c r="R96" s="23"/>
      <c r="S96" s="24"/>
      <c r="T96" s="27"/>
      <c r="U96" s="22"/>
      <c r="V96" s="25"/>
      <c r="W96" s="22"/>
      <c r="X96" s="25"/>
      <c r="Y96" s="9"/>
      <c r="Z96" s="25"/>
      <c r="AA96" s="9"/>
      <c r="AB96" s="25"/>
      <c r="AC96" s="9"/>
      <c r="AD96" s="25"/>
      <c r="AE96" s="9"/>
      <c r="AF96" s="25"/>
      <c r="AG96" s="9"/>
      <c r="AH96" s="25"/>
      <c r="AI96" s="9"/>
      <c r="AJ96" s="25"/>
      <c r="AK96" s="9"/>
      <c r="AL96" s="25"/>
      <c r="AM96" s="9"/>
      <c r="AN96" s="25"/>
      <c r="AO96" s="9"/>
      <c r="AP96" s="25"/>
      <c r="AQ96" s="9"/>
    </row>
    <row r="97" spans="1:43" x14ac:dyDescent="0.25">
      <c r="B97" s="52" t="s">
        <v>10</v>
      </c>
      <c r="C97" s="53">
        <f>SUM(C2:C96)</f>
        <v>2254838200</v>
      </c>
      <c r="D97" s="53">
        <f>SUM(D2:D96)</f>
        <v>904225143</v>
      </c>
      <c r="E97" s="54"/>
      <c r="F97" s="53">
        <f>SUM(F2:F96)</f>
        <v>315582118</v>
      </c>
      <c r="G97" s="55"/>
      <c r="H97" s="53">
        <f>SUM(H2:H96)</f>
        <v>37748796</v>
      </c>
      <c r="I97" s="55"/>
      <c r="J97" s="53">
        <f>SUM(J2:J96)</f>
        <v>307327375</v>
      </c>
      <c r="K97" s="15"/>
      <c r="L97" s="56"/>
      <c r="M97" s="53">
        <f>SUM(M2:M96)</f>
        <v>689954767</v>
      </c>
      <c r="N97" s="54"/>
      <c r="O97" s="20"/>
      <c r="P97" s="21"/>
      <c r="Q97" s="57"/>
      <c r="R97" s="58"/>
      <c r="S97" s="9"/>
      <c r="T97" s="25"/>
      <c r="U97" s="9"/>
      <c r="V97" s="25"/>
      <c r="W97" s="9"/>
      <c r="X97" s="25"/>
      <c r="Y97" s="9"/>
      <c r="Z97" s="25"/>
      <c r="AA97" s="9"/>
      <c r="AB97" s="25"/>
      <c r="AC97" s="9"/>
      <c r="AD97" s="25"/>
      <c r="AE97" s="9"/>
      <c r="AF97" s="25"/>
      <c r="AG97" s="9"/>
      <c r="AH97" s="25"/>
      <c r="AI97" s="9"/>
      <c r="AJ97" s="25"/>
      <c r="AK97" s="9"/>
      <c r="AL97" s="25"/>
      <c r="AM97" s="9"/>
      <c r="AN97" s="25"/>
      <c r="AO97" s="9"/>
      <c r="AP97" s="25"/>
      <c r="AQ97" s="9"/>
    </row>
    <row r="98" spans="1:43" x14ac:dyDescent="0.25">
      <c r="B98" s="52" t="s">
        <v>11</v>
      </c>
      <c r="C98" s="59">
        <f t="shared" ref="C98:N98" si="25">AVERAGE(C2:C96)</f>
        <v>23735138.947368421</v>
      </c>
      <c r="D98" s="59">
        <f t="shared" si="25"/>
        <v>9518159.4000000004</v>
      </c>
      <c r="E98" s="54">
        <f t="shared" si="25"/>
        <v>0.37265062895945011</v>
      </c>
      <c r="F98" s="59">
        <f t="shared" si="25"/>
        <v>3321917.0315789473</v>
      </c>
      <c r="G98" s="54">
        <f t="shared" si="25"/>
        <v>0.165524847109671</v>
      </c>
      <c r="H98" s="59">
        <f t="shared" si="25"/>
        <v>3774879.6</v>
      </c>
      <c r="I98" s="54">
        <f t="shared" si="25"/>
        <v>1.4080926523331474E-2</v>
      </c>
      <c r="J98" s="59">
        <f t="shared" si="25"/>
        <v>3235025</v>
      </c>
      <c r="K98" s="54">
        <f t="shared" si="25"/>
        <v>0.13840625769707118</v>
      </c>
      <c r="L98" s="60">
        <f t="shared" si="25"/>
        <v>0.98394494736842131</v>
      </c>
      <c r="M98" s="59">
        <f t="shared" si="25"/>
        <v>7262681.7578947367</v>
      </c>
      <c r="N98" s="54">
        <f t="shared" si="25"/>
        <v>0.30589899389595027</v>
      </c>
      <c r="O98" s="20"/>
      <c r="R98" s="62"/>
    </row>
    <row r="99" spans="1:43" x14ac:dyDescent="0.25">
      <c r="B99" s="52" t="s">
        <v>12</v>
      </c>
      <c r="D99" s="59"/>
      <c r="E99" s="54">
        <f>D97/TOTALTDC</f>
        <v>0.40101553317661554</v>
      </c>
      <c r="G99" s="54">
        <f>F97/TOTALTDC</f>
        <v>0.13995776637099727</v>
      </c>
      <c r="H99" s="59"/>
      <c r="I99" s="54">
        <f>H97/TOTALTDC</f>
        <v>1.6741243784143801E-2</v>
      </c>
      <c r="J99" s="59"/>
      <c r="K99" s="54">
        <f>J97/TOTALTDC</f>
        <v>0.13629686378384046</v>
      </c>
      <c r="L99" s="60"/>
      <c r="M99" s="59"/>
      <c r="N99" s="54">
        <f>M97/TOTALTDC</f>
        <v>0.30598859244091214</v>
      </c>
      <c r="O99" s="20"/>
    </row>
    <row r="100" spans="1:43" ht="2.25" customHeight="1" x14ac:dyDescent="0.25">
      <c r="A100" s="65"/>
      <c r="B100" s="66"/>
      <c r="C100" s="67"/>
      <c r="D100" s="67"/>
      <c r="E100" s="68"/>
      <c r="F100" s="67"/>
      <c r="G100" s="67"/>
      <c r="H100" s="67"/>
      <c r="I100" s="67"/>
      <c r="J100" s="67"/>
      <c r="K100" s="67"/>
      <c r="L100" s="69"/>
      <c r="M100" s="67"/>
      <c r="N100" s="68"/>
      <c r="O100" s="70"/>
      <c r="P100" s="71"/>
      <c r="Q100" s="72"/>
      <c r="R100" s="71"/>
      <c r="S100" s="72"/>
      <c r="T100" s="73"/>
      <c r="U100" s="72"/>
    </row>
    <row r="101" spans="1:43" x14ac:dyDescent="0.25">
      <c r="R101" s="74"/>
    </row>
    <row r="102" spans="1:43" ht="15" customHeight="1" x14ac:dyDescent="0.25">
      <c r="A102" s="78" t="s">
        <v>204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5"/>
    </row>
    <row r="103" spans="1:43" ht="15" customHeight="1" x14ac:dyDescent="0.25">
      <c r="A103" s="79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5"/>
    </row>
    <row r="105" spans="1:43" x14ac:dyDescent="0.25">
      <c r="D105" s="76"/>
      <c r="F105" s="63"/>
      <c r="H105" s="77"/>
    </row>
    <row r="106" spans="1:43" x14ac:dyDescent="0.25">
      <c r="F106" s="76"/>
      <c r="M106" s="76"/>
    </row>
    <row r="107" spans="1:43" x14ac:dyDescent="0.25">
      <c r="D107" s="63"/>
      <c r="F107" s="63"/>
    </row>
  </sheetData>
  <sortState ref="A2:AP96">
    <sortCondition ref="A2:A96"/>
  </sortState>
  <mergeCells count="2">
    <mergeCell ref="A102:N102"/>
    <mergeCell ref="A103:N103"/>
  </mergeCells>
  <printOptions horizontalCentered="1"/>
  <pageMargins left="0.5" right="0.5" top="0.75" bottom="0.75" header="0.3" footer="0.3"/>
  <pageSetup scale="60" fitToHeight="3" orientation="landscape" r:id="rId1"/>
  <headerFooter>
    <oddHeader>&amp;C&amp;"Times New Roman,Bold"&amp;12CALIFORNIA TAX CREDIT ALLOCATION COMMITTEE
Financing Breakdown for 2013 4% Allocations</oddHeader>
    <oddFooter>&amp;C&amp;"Times New Roman,Regular"&amp;10CALIFORNIA TAX CREDIT ALLOCATION COMMITTEE&amp;R&amp;"Times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4% Financing</vt:lpstr>
      <vt:lpstr>'4% Financing'!Print_Area</vt:lpstr>
      <vt:lpstr>'4%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Craig, Wendy</cp:lastModifiedBy>
  <cp:lastPrinted>2014-03-17T19:20:41Z</cp:lastPrinted>
  <dcterms:created xsi:type="dcterms:W3CDTF">2013-03-05T18:46:27Z</dcterms:created>
  <dcterms:modified xsi:type="dcterms:W3CDTF">2014-03-17T19:46:16Z</dcterms:modified>
</cp:coreProperties>
</file>