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19 Rocklin WJU/060 Funding Sources/a. Bonds/Application/CDLAC-TCAC Joint Application/"/>
    </mc:Choice>
  </mc:AlternateContent>
  <xr:revisionPtr revIDLastSave="903" documentId="8_{41117A20-37B6-4B29-A67E-24112A8EA098}" xr6:coauthVersionLast="47" xr6:coauthVersionMax="47" xr10:uidLastSave="{74FC1A1A-E409-4B49-8826-1DE5063637CF}"/>
  <bookViews>
    <workbookView xWindow="28680" yWindow="-120" windowWidth="29040" windowHeight="15840"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4" i="3" l="1"/>
  <c r="I89" i="4" l="1"/>
  <c r="I88" i="4"/>
  <c r="I75" i="4"/>
  <c r="E93" i="4"/>
  <c r="E92" i="4"/>
  <c r="E91" i="4"/>
  <c r="E90" i="4"/>
  <c r="E86" i="4"/>
  <c r="E85" i="4"/>
  <c r="E83" i="4"/>
  <c r="E79" i="4"/>
  <c r="E65" i="4"/>
  <c r="E61" i="4"/>
  <c r="E57" i="4"/>
  <c r="E56" i="4"/>
  <c r="E53" i="4"/>
  <c r="E51" i="4"/>
  <c r="E50" i="4"/>
  <c r="E47" i="4"/>
  <c r="E46" i="4"/>
  <c r="E45" i="4"/>
  <c r="E43" i="4"/>
  <c r="E40" i="4"/>
  <c r="E35" i="4"/>
  <c r="E32" i="4"/>
  <c r="E33" i="4"/>
  <c r="E31" i="4"/>
  <c r="G10" i="4"/>
  <c r="G13" i="4"/>
  <c r="E4" i="4"/>
  <c r="S99" i="4"/>
  <c r="S90" i="4"/>
  <c r="S91" i="4"/>
  <c r="S92" i="4"/>
  <c r="S93" i="4"/>
  <c r="S89" i="4"/>
  <c r="S86" i="4"/>
  <c r="S87" i="4"/>
  <c r="S85" i="4"/>
  <c r="S80" i="4"/>
  <c r="S79" i="4"/>
  <c r="S46" i="4" l="1"/>
  <c r="S47" i="4"/>
  <c r="S48" i="4"/>
  <c r="S49" i="4"/>
  <c r="S50" i="4"/>
  <c r="S51" i="4"/>
  <c r="S52" i="4"/>
  <c r="S53" i="4"/>
  <c r="S45" i="4"/>
  <c r="S43" i="4"/>
  <c r="S40" i="4"/>
  <c r="S30" i="4"/>
  <c r="S31" i="4"/>
  <c r="S32" i="4"/>
  <c r="S33" i="4"/>
  <c r="S34" i="4"/>
  <c r="S35" i="4"/>
  <c r="S36" i="4"/>
  <c r="S37" i="4"/>
  <c r="S29" i="4"/>
  <c r="S10" i="4"/>
  <c r="S13" i="4"/>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7" i="21"/>
  <c r="R53" i="21" a="1"/>
  <c r="R53" i="21" s="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4" i="8"/>
  <c r="I14" i="8"/>
  <c r="J13" i="8"/>
  <c r="I13" i="8"/>
  <c r="J12" i="8"/>
  <c r="I12" i="8"/>
  <c r="J11" i="8"/>
  <c r="I11" i="8"/>
  <c r="J9" i="8"/>
  <c r="I9" i="8"/>
  <c r="J8" i="8"/>
  <c r="I8" i="8"/>
  <c r="J6" i="8"/>
  <c r="I6" i="8"/>
  <c r="I4" i="8"/>
  <c r="J4" i="8" s="1"/>
  <c r="AH750" i="3"/>
  <c r="AH749" i="3"/>
  <c r="AH748" i="3"/>
  <c r="AH747" i="3"/>
  <c r="AH746" i="3"/>
  <c r="AH745" i="3"/>
  <c r="AH744" i="3"/>
  <c r="AH743" i="3"/>
  <c r="AH741" i="3"/>
  <c r="AH740" i="3"/>
  <c r="AH739" i="3"/>
  <c r="AH738" i="3"/>
  <c r="AH737" i="3"/>
  <c r="AH736" i="3"/>
  <c r="AH735" i="3"/>
  <c r="AH734" i="3"/>
  <c r="AH73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79" i="4"/>
  <c r="S70" i="4"/>
  <c r="E70" i="13" s="1"/>
  <c r="D81" i="4"/>
  <c r="F81" i="4"/>
  <c r="G81" i="4"/>
  <c r="H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F93" i="13" s="1"/>
  <c r="E92" i="13"/>
  <c r="F92" i="13" s="1"/>
  <c r="E91" i="13"/>
  <c r="F91" i="13" s="1"/>
  <c r="E90" i="13"/>
  <c r="F90" i="13" s="1"/>
  <c r="E89" i="13"/>
  <c r="F89" i="13" s="1"/>
  <c r="E87" i="13"/>
  <c r="E86" i="13"/>
  <c r="F86" i="13" s="1"/>
  <c r="E85" i="13"/>
  <c r="F85" i="13" s="1"/>
  <c r="E84" i="13"/>
  <c r="E79" i="13"/>
  <c r="F79" i="13" s="1"/>
  <c r="E65" i="13"/>
  <c r="E53" i="13"/>
  <c r="F53" i="13" s="1"/>
  <c r="E52" i="13"/>
  <c r="E51" i="13"/>
  <c r="F51" i="13" s="1"/>
  <c r="E50" i="13"/>
  <c r="F50" i="13" s="1"/>
  <c r="E49" i="13"/>
  <c r="E48" i="13"/>
  <c r="E47" i="13"/>
  <c r="F47" i="13" s="1"/>
  <c r="E46" i="13"/>
  <c r="F46" i="13" s="1"/>
  <c r="E45" i="13"/>
  <c r="F45" i="13" s="1"/>
  <c r="E43" i="13"/>
  <c r="F43" i="13" s="1"/>
  <c r="E41" i="13"/>
  <c r="E40" i="13"/>
  <c r="F40" i="13" s="1"/>
  <c r="F42" i="13" s="1"/>
  <c r="E37" i="13"/>
  <c r="E35" i="13"/>
  <c r="F35" i="13" s="1"/>
  <c r="E34" i="13"/>
  <c r="E33" i="13"/>
  <c r="F33" i="13" s="1"/>
  <c r="E32" i="13"/>
  <c r="F32" i="13" s="1"/>
  <c r="E31" i="13"/>
  <c r="F31" i="13" s="1"/>
  <c r="E30" i="13"/>
  <c r="F30" i="13" s="1"/>
  <c r="E29" i="13"/>
  <c r="F29" i="13" s="1"/>
  <c r="E27" i="13"/>
  <c r="E25" i="13"/>
  <c r="E23" i="13"/>
  <c r="E22" i="13"/>
  <c r="E21" i="13"/>
  <c r="E20" i="13"/>
  <c r="E19" i="13"/>
  <c r="E18" i="13"/>
  <c r="E17" i="13"/>
  <c r="E15" i="13"/>
  <c r="E14" i="13"/>
  <c r="E13" i="13"/>
  <c r="F13" i="13" s="1"/>
  <c r="E10" i="13"/>
  <c r="F10" i="13" s="1"/>
  <c r="B99" i="13"/>
  <c r="C99" i="13" s="1"/>
  <c r="C104" i="13" s="1"/>
  <c r="B95" i="13"/>
  <c r="B94" i="13"/>
  <c r="B93" i="13"/>
  <c r="C93" i="13" s="1"/>
  <c r="B92" i="13"/>
  <c r="C92" i="13" s="1"/>
  <c r="B91" i="13"/>
  <c r="C91" i="13" s="1"/>
  <c r="B90" i="13"/>
  <c r="C90" i="13" s="1"/>
  <c r="B89" i="13"/>
  <c r="C89" i="13" s="1"/>
  <c r="B88" i="13"/>
  <c r="C88" i="13" s="1"/>
  <c r="B87" i="13"/>
  <c r="B86" i="13"/>
  <c r="C86" i="13" s="1"/>
  <c r="B85" i="13"/>
  <c r="C85" i="13" s="1"/>
  <c r="B84" i="13"/>
  <c r="B83" i="13"/>
  <c r="C83" i="13" s="1"/>
  <c r="B79" i="13"/>
  <c r="C79" i="13" s="1"/>
  <c r="B76" i="13"/>
  <c r="B75" i="13"/>
  <c r="C75" i="13" s="1"/>
  <c r="C77" i="13" s="1"/>
  <c r="B74" i="13"/>
  <c r="B73" i="13"/>
  <c r="B72" i="13"/>
  <c r="B65" i="13"/>
  <c r="C65" i="13" s="1"/>
  <c r="C70" i="13" s="1"/>
  <c r="B61" i="13"/>
  <c r="C61" i="13" s="1"/>
  <c r="B60" i="13"/>
  <c r="B59" i="13"/>
  <c r="B58" i="13"/>
  <c r="B57" i="13"/>
  <c r="C57" i="13" s="1"/>
  <c r="B56" i="13"/>
  <c r="C56" i="13" s="1"/>
  <c r="B53" i="13"/>
  <c r="C53" i="13" s="1"/>
  <c r="B52" i="13"/>
  <c r="B51" i="13"/>
  <c r="C51" i="13" s="1"/>
  <c r="B50" i="13"/>
  <c r="C50" i="13" s="1"/>
  <c r="B49" i="13"/>
  <c r="B48" i="13"/>
  <c r="B47" i="13"/>
  <c r="C47" i="13" s="1"/>
  <c r="B46" i="13"/>
  <c r="C46" i="13" s="1"/>
  <c r="B45" i="13"/>
  <c r="C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C13" i="13" s="1"/>
  <c r="B14" i="13"/>
  <c r="B15" i="13"/>
  <c r="B4" i="13"/>
  <c r="C4" i="13" s="1"/>
  <c r="C8" i="13" s="1"/>
  <c r="J104" i="13"/>
  <c r="I104" i="13"/>
  <c r="G104" i="13"/>
  <c r="D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J5" i="8" s="1"/>
  <c r="A6" i="8"/>
  <c r="D6" i="8"/>
  <c r="A7" i="8"/>
  <c r="D7" i="8"/>
  <c r="I7" i="8" s="1"/>
  <c r="A8" i="8"/>
  <c r="D8" i="8"/>
  <c r="A9" i="8"/>
  <c r="D9" i="8"/>
  <c r="A10" i="8"/>
  <c r="D10" i="8"/>
  <c r="I10" i="8" s="1"/>
  <c r="A11" i="8"/>
  <c r="D11" i="8"/>
  <c r="A12" i="8"/>
  <c r="D12" i="8"/>
  <c r="A13" i="8"/>
  <c r="D13" i="8"/>
  <c r="A14" i="8"/>
  <c r="D14" i="8"/>
  <c r="A15" i="8"/>
  <c r="D15" i="8"/>
  <c r="I15" i="8" s="1"/>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K104" i="4"/>
  <c r="L104" i="4"/>
  <c r="Q104" i="4"/>
  <c r="E108" i="4"/>
  <c r="F108" i="4"/>
  <c r="G108" i="4"/>
  <c r="G29" i="4" s="1"/>
  <c r="F29" i="4" s="1"/>
  <c r="R29" i="4" s="1"/>
  <c r="H108" i="4"/>
  <c r="H99" i="4" s="1"/>
  <c r="I99" i="4" s="1"/>
  <c r="I104" i="4" s="1"/>
  <c r="I108" i="4"/>
  <c r="J108" i="4"/>
  <c r="J30" i="4" s="1"/>
  <c r="J38" i="4" s="1"/>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X734" i="3"/>
  <c r="X735" i="3"/>
  <c r="X736" i="3"/>
  <c r="X737" i="3"/>
  <c r="X738" i="3"/>
  <c r="X739" i="3"/>
  <c r="X740" i="3"/>
  <c r="X741" i="3"/>
  <c r="M832" i="3"/>
  <c r="Q832" i="3"/>
  <c r="U832" i="3"/>
  <c r="Y832" i="3"/>
  <c r="AC832" i="3"/>
  <c r="AG832" i="3"/>
  <c r="Z902" i="3"/>
  <c r="F81" i="13" l="1"/>
  <c r="B26" i="4"/>
  <c r="D35" i="11"/>
  <c r="C96" i="13"/>
  <c r="C62" i="13"/>
  <c r="C54" i="13"/>
  <c r="I80" i="4"/>
  <c r="E80" i="4" s="1"/>
  <c r="R80" i="4" s="1"/>
  <c r="R81" i="4" s="1"/>
  <c r="C81" i="13"/>
  <c r="F54" i="13"/>
  <c r="F96" i="13"/>
  <c r="C38" i="13"/>
  <c r="F38" i="13"/>
  <c r="F30" i="4"/>
  <c r="E30" i="4" s="1"/>
  <c r="J10" i="8"/>
  <c r="R99" i="4"/>
  <c r="H104" i="4"/>
  <c r="G38" i="4"/>
  <c r="G63" i="4" s="1"/>
  <c r="G97" i="4" s="1"/>
  <c r="G105" i="4" s="1"/>
  <c r="J15" i="8"/>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M53" i="7"/>
  <c r="K58" i="7"/>
  <c r="N188" i="23"/>
  <c r="C27" i="11"/>
  <c r="AB48" i="15"/>
  <c r="D46" i="11"/>
  <c r="B82" i="11"/>
  <c r="H63" i="4"/>
  <c r="H97"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I81" i="4"/>
  <c r="D105" i="11"/>
  <c r="F63" i="13"/>
  <c r="F97" i="13" s="1"/>
  <c r="F105" i="13" s="1"/>
  <c r="F107" i="13" s="1"/>
  <c r="J40" i="8"/>
  <c r="Z809" i="3" s="1"/>
  <c r="E81" i="4"/>
  <c r="I97" i="4"/>
  <c r="I105" i="4" s="1"/>
  <c r="H105" i="4"/>
  <c r="E38" i="4"/>
  <c r="E63" i="4" s="1"/>
  <c r="R30" i="4"/>
  <c r="R38" i="4" s="1"/>
  <c r="R63" i="4" s="1"/>
  <c r="R97" i="4" s="1"/>
  <c r="F38" i="4"/>
  <c r="F63" i="4" s="1"/>
  <c r="F97" i="4" s="1"/>
  <c r="F105" i="4" s="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4" i="21" s="1"/>
  <c r="P34" i="21" s="1" a="1"/>
  <c r="P34" i="21" s="1"/>
  <c r="S3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97" i="4" l="1"/>
  <c r="O20" i="21"/>
  <c r="O21" i="21"/>
  <c r="O30" i="21"/>
  <c r="P30" i="21" s="1" a="1"/>
  <c r="P30" i="21" s="1"/>
  <c r="S30" i="21" s="1"/>
  <c r="O27" i="21"/>
  <c r="P27" i="21" s="1" a="1"/>
  <c r="P27" i="21" s="1"/>
  <c r="S27" i="21" s="1"/>
  <c r="O29" i="21"/>
  <c r="P29" i="21" s="1" a="1"/>
  <c r="P29" i="21" s="1"/>
  <c r="S29" i="21" s="1"/>
  <c r="O28" i="21"/>
  <c r="P28" i="21" s="1" a="1"/>
  <c r="P28" i="21" s="1"/>
  <c r="S28" i="21" s="1"/>
  <c r="O22" i="21"/>
  <c r="P22" i="21" s="1" a="1"/>
  <c r="P22" i="21" s="1"/>
  <c r="S22" i="21" s="1"/>
  <c r="O32" i="21"/>
  <c r="P32" i="21" s="1" a="1"/>
  <c r="P32" i="21" s="1"/>
  <c r="S32" i="21" s="1"/>
  <c r="O24" i="21"/>
  <c r="P24" i="21" s="1" a="1"/>
  <c r="P24" i="21" s="1"/>
  <c r="S24" i="21" s="1"/>
  <c r="O25" i="21"/>
  <c r="P25" i="21" s="1" a="1"/>
  <c r="P25" i="21" s="1"/>
  <c r="S25" i="21" s="1"/>
  <c r="O23" i="21"/>
  <c r="P23" i="21" s="1" a="1"/>
  <c r="P23" i="21" s="1"/>
  <c r="S23" i="21" s="1"/>
  <c r="O31" i="21"/>
  <c r="P31" i="21" s="1" a="1"/>
  <c r="P31" i="21" s="1"/>
  <c r="S31" i="21" s="1"/>
  <c r="O33" i="21"/>
  <c r="P33" i="21" s="1" a="1"/>
  <c r="P33" i="21" s="1"/>
  <c r="S33" i="21" s="1"/>
  <c r="O26" i="21"/>
  <c r="P26" i="21" s="1" a="1"/>
  <c r="P26" i="21" s="1"/>
  <c r="S26" i="21" s="1"/>
  <c r="D64" i="11"/>
  <c r="B105" i="4"/>
  <c r="BE101" i="3"/>
  <c r="AK84" i="20"/>
  <c r="AK191" i="20" s="1"/>
  <c r="T811" i="20" s="1"/>
  <c r="AF811" i="20" s="1"/>
  <c r="BE76" i="3" s="1"/>
  <c r="D13" i="11"/>
  <c r="B97" i="13"/>
  <c r="B97" i="4"/>
  <c r="AZ1046" i="3"/>
  <c r="S105" i="4"/>
  <c r="E97" i="13"/>
  <c r="B105" i="13"/>
  <c r="AG269" i="20"/>
  <c r="O58" i="7"/>
  <c r="Q53" i="7"/>
  <c r="T105" i="4"/>
  <c r="H97" i="13"/>
  <c r="P20" i="21" a="1"/>
  <c r="P20" i="21" s="1"/>
  <c r="S20"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 r="R102" i="4" l="1"/>
  <c r="R104" i="4" s="1"/>
  <c r="R105" i="4" s="1"/>
  <c r="E104" i="4"/>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9D1626CD-2748-4DFA-9889-4CBDA5FB5745}">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<sst xmlns="http://schemas.openxmlformats.org/spreadsheetml/2006/main" count="5034" uniqueCount="2742">
  <si>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</si>
  <si>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</si>
  <si>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</si>
  <si>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</si>
  <si>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</si>
  <si>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</si>
  <si>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</si>
  <si>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</si>
  <si>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</si>
  <si>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</si>
  <si>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</si>
  <si>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</si>
  <si>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</si>
  <si>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</si>
  <si>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</si>
  <si>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</si>
  <si>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</si>
  <si>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</si>
  <si>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</si>
  <si>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</si>
  <si>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</si>
  <si>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</si>
  <si>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</si>
  <si>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</si>
  <si>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</si>
  <si>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</si>
  <si>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</si>
  <si>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</si>
  <si>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</si>
  <si>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</si>
  <si>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</si>
  <si>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</si>
  <si>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</si>
  <si>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</si>
  <si>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</si>
  <si>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</si>
  <si>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</si>
  <si>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</si>
  <si>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</si>
  <si>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</si>
  <si>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</si>
  <si>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</si>
  <si>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</si>
  <si>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</si>
  <si>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</si>
  <si>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</si>
  <si>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</si>
  <si>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</si>
  <si>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</si>
  <si>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</si>
  <si>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</si>
  <si>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</si>
  <si>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</si>
  <si>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</si>
  <si>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</si>
  <si>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</si>
  <si>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</si>
  <si>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</si>
  <si>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</si>
  <si>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</si>
  <si>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</si>
  <si>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</si>
  <si>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</si>
  <si>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</si>
  <si>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</si>
  <si>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</si>
  <si>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</si>
  <si>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</si>
  <si>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</si>
  <si>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</si>
  <si>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</si>
  <si>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</si>
  <si>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</si>
  <si>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</si>
  <si>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</si>
  <si>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</si>
  <si>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</si>
  <si>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</si>
  <si>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</si>
  <si>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</si>
  <si>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</si>
  <si>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</si>
  <si>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</si>
  <si>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</si>
  <si>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</si>
  <si>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</si>
  <si>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</si>
  <si>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</si>
  <si>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</si>
  <si>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</si>
  <si>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</si>
  <si>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</si>
  <si>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</si>
  <si>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</si>
  <si>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</si>
  <si>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</si>
  <si>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</si>
  <si>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</si>
  <si>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</si>
  <si>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</si>
  <si>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</si>
  <si>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</si>
  <si>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</si>
  <si>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</si>
  <si>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</si>
  <si>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</si>
  <si>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</si>
  <si>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</si>
  <si>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</si>
  <si>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</si>
  <si>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</si>
  <si>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</si>
  <si>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</si>
  <si>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</si>
  <si>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</si>
  <si>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</si>
  <si>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</si>
  <si>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</si>
  <si>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</si>
  <si>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</si>
  <si>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</si>
  <si>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</si>
  <si>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</si>
  <si>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</si>
  <si>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</si>
  <si>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</si>
  <si>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</si>
  <si>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</si>
  <si>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</si>
  <si>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</si>
  <si>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</si>
  <si>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</si>
  <si>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</si>
  <si>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</si>
  <si>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</si>
  <si>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</si>
  <si>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</si>
  <si>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</si>
  <si>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</si>
  <si>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</si>
  <si>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</si>
  <si>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</si>
  <si>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</si>
  <si>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</si>
  <si>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</si>
  <si>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</si>
  <si>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</si>
  <si>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</si>
  <si>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</si>
  <si>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</si>
  <si>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</si>
  <si>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</si>
  <si>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</si>
  <si>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</si>
  <si>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</si>
  <si>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</si>
  <si>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</si>
  <si>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</si>
  <si>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</si>
  <si>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</si>
  <si>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</si>
  <si>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</si>
  <si>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</si>
  <si>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</si>
  <si>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</si>
  <si>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</si>
  <si>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</si>
  <si>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</si>
  <si>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</si>
  <si>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</si>
  <si>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</si>
  <si>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</si>
  <si>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</si>
  <si>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</si>
  <si>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</si>
  <si>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</si>
  <si>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</si>
  <si>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</si>
  <si>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</si>
  <si>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</si>
  <si>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</si>
  <si>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</si>
  <si>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</si>
  <si>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</si>
  <si>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</si>
  <si>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</si>
  <si>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</si>
  <si>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</si>
  <si>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</si>
  <si>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</si>
  <si>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</si>
  <si>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</si>
  <si>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</si>
  <si>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</si>
  <si>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</si>
  <si>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</si>
  <si>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</si>
  <si>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</si>
  <si>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</si>
  <si>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</si>
  <si>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</si>
  <si>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</si>
  <si>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</si>
  <si>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</si>
  <si>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</si>
  <si>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</si>
  <si>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</si>
  <si>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</si>
  <si>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</si>
  <si>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</si>
  <si>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</si>
  <si>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</si>
  <si>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</si>
  <si>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</si>
  <si>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</si>
  <si>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</si>
  <si>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</si>
  <si>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</si>
  <si>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</si>
  <si>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</si>
  <si>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</si>
  <si>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</si>
  <si>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</si>
  <si>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</si>
  <si>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</si>
  <si>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</si>
  <si>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</si>
  <si>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</si>
  <si>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</si>
  <si>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</si>
  <si>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</si>
  <si>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</si>
  <si>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</si>
  <si>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</si>
  <si>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</si>
  <si>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</si>
  <si>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</si>
  <si>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</si>
  <si>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</si>
  <si>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</si>
  <si>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</si>
  <si>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</si>
  <si>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</si>
  <si>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</si>
  <si>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</si>
  <si>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</si>
  <si>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</si>
  <si>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</si>
  <si>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</si>
  <si>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</si>
  <si>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</si>
  <si>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</si>
  <si>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</si>
  <si>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</si>
  <si>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</si>
  <si>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</si>
  <si>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</si>
  <si>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</si>
  <si>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</si>
  <si>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</si>
  <si>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</si>
  <si>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</si>
  <si>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</si>
  <si>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</si>
  <si>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</si>
  <si>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</si>
  <si>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</si>
  <si>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</si>
  <si>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</si>
  <si>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</si>
  <si>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</si>
  <si>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</si>
  <si>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</si>
  <si>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</si>
  <si>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</si>
  <si>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</si>
  <si>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</si>
  <si>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</si>
  <si>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</si>
  <si>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</si>
  <si>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</si>
  <si>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</si>
  <si>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</si>
  <si>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</si>
  <si>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</si>
  <si>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</si>
  <si>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</si>
  <si>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</si>
  <si>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</si>
  <si>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</si>
  <si>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</si>
  <si>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</si>
  <si>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</si>
  <si>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</si>
  <si>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</si>
  <si>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</si>
  <si>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</si>
  <si>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</si>
  <si>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</si>
  <si>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</si>
  <si>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</si>
  <si>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</si>
  <si>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</si>
  <si>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</si>
  <si>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</si>
  <si>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</si>
  <si>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</si>
  <si>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</si>
  <si>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</si>
  <si>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</si>
  <si>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</si>
  <si>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</si>
  <si>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</si>
  <si>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</si>
  <si>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</si>
  <si>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</si>
  <si>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</si>
  <si>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</si>
  <si>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</si>
  <si>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</si>
  <si>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</si>
  <si>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</si>
  <si>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</si>
  <si>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</si>
  <si>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</si>
  <si>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</si>
  <si>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</si>
  <si>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</si>
  <si>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</si>
  <si>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</si>
  <si>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</si>
  <si>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</si>
  <si>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</si>
  <si>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</si>
  <si>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</si>
  <si>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</si>
  <si>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</si>
  <si>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</si>
  <si>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</si>
  <si>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</si>
  <si>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</si>
  <si>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</si>
  <si>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</si>
  <si>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</si>
  <si>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</si>
  <si>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</si>
  <si>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</si>
  <si>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</si>
  <si>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</si>
  <si>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</si>
  <si>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</si>
  <si>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</si>
  <si>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</si>
  <si>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</si>
  <si>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</si>
  <si>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</si>
  <si>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</si>
  <si>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</si>
  <si>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</si>
  <si>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</si>
  <si>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</si>
  <si>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</si>
  <si>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</si>
  <si>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</si>
  <si>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</si>
  <si>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</si>
  <si>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</si>
  <si>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</si>
  <si>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</si>
  <si>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</si>
  <si>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</si>
  <si>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</si>
  <si>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</si>
  <si>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</si>
  <si>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</si>
  <si>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</si>
  <si>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</si>
  <si>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</si>
  <si>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</si>
  <si>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</si>
  <si>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</si>
  <si>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</si>
  <si>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</si>
  <si>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</si>
  <si>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</si>
  <si>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</si>
  <si>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</si>
  <si>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</si>
  <si>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</si>
  <si>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</si>
  <si>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</si>
  <si>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</si>
  <si>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</si>
  <si>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</si>
  <si>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</si>
  <si>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</si>
  <si>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</si>
  <si>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</si>
  <si>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</si>
  <si>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</si>
  <si>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</si>
  <si>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</si>
  <si>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</si>
  <si>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</si>
  <si>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</si>
  <si>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</si>
  <si>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</si>
  <si>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</si>
  <si>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</si>
  <si>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</si>
  <si>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</si>
  <si>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</si>
  <si>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</si>
  <si>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</si>
  <si>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</si>
  <si>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</si>
  <si>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</si>
  <si>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</si>
  <si>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</si>
  <si>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</si>
  <si>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</si>
  <si>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</si>
  <si>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</si>
  <si>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</si>
  <si>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</si>
  <si>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</si>
  <si>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</si>
  <si>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</si>
  <si>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</si>
  <si>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</si>
  <si>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</si>
  <si>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</si>
  <si>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</si>
  <si>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</si>
  <si>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</si>
  <si>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</si>
  <si>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</si>
  <si>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</si>
  <si>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</si>
  <si>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</si>
  <si>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</si>
  <si>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</si>
  <si>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</si>
  <si>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</si>
  <si>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</si>
  <si>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</si>
  <si>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</si>
  <si>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</si>
  <si>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</si>
  <si>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</si>
  <si>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</si>
  <si>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</si>
  <si>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</si>
  <si>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</si>
  <si>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</si>
  <si>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</si>
  <si>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</si>
  <si>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</si>
  <si>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</si>
  <si>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</si>
  <si>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</si>
  <si>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</si>
  <si>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</si>
  <si>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</si>
  <si>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</si>
  <si>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</si>
  <si>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</si>
  <si>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</si>
  <si>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</si>
  <si>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</si>
  <si>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</si>
  <si>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</si>
  <si>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</si>
  <si>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</si>
  <si>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</si>
  <si>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</si>
  <si>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</si>
  <si>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</si>
  <si>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</si>
  <si>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</si>
  <si>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</si>
  <si>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</si>
  <si>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</si>
  <si>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</si>
  <si>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</si>
  <si>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</si>
  <si>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</si>
  <si>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</si>
  <si>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</si>
  <si>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</si>
  <si>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</si>
  <si>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</si>
  <si>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</si>
  <si>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</si>
  <si>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</si>
  <si>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</si>
  <si>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</si>
  <si>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</si>
  <si>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</si>
  <si>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</si>
  <si>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</si>
  <si>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</si>
  <si>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</si>
  <si>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</si>
  <si>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</si>
  <si>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</si>
  <si>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</si>
  <si>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</si>
  <si>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</si>
  <si>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</si>
  <si>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</si>
  <si>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</si>
  <si>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</si>
  <si>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</si>
  <si>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</si>
  <si>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</si>
  <si>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</si>
  <si>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</si>
  <si>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</si>
  <si>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</si>
  <si>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</si>
  <si>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</si>
  <si>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</si>
  <si>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</si>
  <si>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</si>
  <si>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</si>
  <si>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</si>
  <si>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</si>
  <si>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</si>
  <si>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</si>
  <si>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</si>
  <si>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</si>
  <si>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</si>
  <si>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</si>
  <si>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</si>
  <si>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</si>
  <si>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</si>
  <si>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</si>
  <si>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</si>
  <si>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</si>
  <si>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</si>
  <si>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</si>
  <si>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</si>
  <si>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</si>
  <si>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</si>
  <si>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</si>
  <si>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</si>
  <si>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</si>
  <si>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</si>
  <si>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</si>
  <si>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</si>
  <si>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</si>
  <si>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</si>
  <si>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</si>
  <si>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</si>
  <si>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</si>
  <si>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</si>
  <si>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</si>
  <si>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</si>
  <si>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</si>
  <si>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</si>
  <si>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</si>
  <si>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</si>
  <si>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</si>
  <si>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</si>
  <si>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</si>
  <si>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</si>
  <si>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</si>
  <si>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</si>
  <si>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</si>
  <si>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</si>
  <si>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</si>
  <si>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</si>
  <si>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</si>
  <si>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</si>
  <si>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</si>
  <si>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</si>
  <si>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</si>
  <si>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</si>
  <si>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</si>
  <si>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</si>
  <si>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</si>
  <si>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</si>
  <si>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</si>
  <si>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</si>
  <si>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</si>
  <si>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</si>
  <si>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</si>
  <si>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</si>
  <si>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</si>
  <si>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</si>
  <si>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</si>
  <si>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</si>
  <si>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</si>
  <si>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</si>
  <si>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</si>
  <si>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</si>
  <si>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</si>
  <si>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</si>
  <si>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</si>
  <si>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</si>
  <si>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</si>
  <si>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</si>
  <si>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</si>
  <si>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</si>
  <si>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</si>
  <si>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</si>
  <si>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</si>
  <si>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</si>
  <si>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</si>
  <si>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</si>
  <si>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</si>
  <si>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</si>
  <si>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</si>
  <si>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</si>
  <si>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</si>
  <si>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</si>
  <si>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</si>
  <si>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</si>
  <si>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</si>
  <si>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</si>
  <si>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</si>
  <si>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</si>
  <si>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</si>
  <si>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</si>
  <si>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</si>
  <si>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</si>
  <si>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</si>
  <si>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</si>
  <si>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</si>
  <si>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</si>
  <si>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</si>
  <si>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</si>
  <si>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</si>
  <si>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</si>
  <si>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</si>
  <si>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</si>
  <si>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</si>
  <si>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</si>
  <si>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</si>
  <si>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</si>
  <si>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</si>
  <si>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</si>
  <si>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</si>
  <si>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</si>
  <si>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</si>
  <si>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</si>
  <si>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</si>
  <si>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</si>
  <si>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</si>
  <si>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</si>
  <si>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</si>
  <si>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</si>
  <si>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</si>
  <si>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</si>
  <si>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</si>
  <si>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</si>
  <si>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</si>
  <si>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</si>
  <si>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</si>
  <si>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</si>
  <si>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</si>
  <si>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</si>
  <si>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</si>
  <si>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</si>
  <si>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</si>
  <si>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</si>
  <si>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</si>
  <si>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</si>
  <si>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</si>
  <si>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</si>
  <si>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</si>
  <si>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</si>
  <si>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</si>
  <si>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</si>
  <si>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</si>
  <si>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</si>
  <si>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</si>
  <si>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</si>
  <si>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</si>
  <si>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</si>
  <si>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</si>
  <si>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</si>
  <si>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</si>
  <si>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</si>
  <si>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</si>
  <si>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</si>
  <si>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</si>
  <si>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</si>
  <si>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</si>
  <si>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</si>
  <si>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</si>
  <si>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</si>
  <si>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</si>
  <si>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</si>
  <si>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</si>
  <si>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</si>
  <si>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</si>
  <si>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</si>
  <si>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</si>
  <si>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</si>
  <si>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</si>
  <si>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</si>
  <si>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</si>
  <si>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</si>
  <si>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</si>
  <si>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</si>
  <si>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</si>
  <si>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</si>
  <si>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</si>
  <si>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</si>
  <si>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</si>
  <si>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</si>
  <si>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</si>
  <si>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</si>
  <si>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</si>
  <si>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</si>
  <si>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</si>
  <si>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</si>
  <si>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</si>
  <si>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</si>
  <si>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</si>
  <si>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</si>
  <si>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</si>
  <si>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</si>
  <si>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</si>
  <si>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</si>
  <si>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</si>
  <si>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</si>
  <si>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</si>
  <si>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</si>
  <si>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</si>
  <si>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</si>
  <si>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</si>
  <si>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</si>
  <si>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</si>
  <si>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</si>
  <si>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</si>
  <si>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</si>
  <si>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</si>
  <si>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</si>
  <si>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</si>
  <si>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</si>
  <si>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</si>
  <si>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</si>
  <si>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</si>
  <si>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</si>
  <si>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</si>
  <si>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</si>
  <si>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</si>
  <si>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</si>
  <si>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</si>
  <si>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</si>
  <si>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</si>
  <si>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</si>
  <si>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</si>
  <si>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</si>
  <si>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</si>
  <si>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</si>
  <si>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</si>
  <si>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</si>
  <si>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</si>
  <si>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</si>
  <si>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</si>
  <si>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</si>
  <si>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</si>
  <si>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</si>
  <si>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</si>
  <si>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</si>
  <si>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</si>
  <si>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</si>
  <si>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</si>
  <si>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</si>
  <si>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</si>
  <si>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</si>
  <si>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</si>
  <si>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</si>
  <si>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</si>
  <si>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</si>
  <si>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</si>
  <si>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</si>
  <si>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</si>
  <si>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</si>
  <si>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</si>
  <si>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</si>
  <si>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</si>
  <si>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</si>
  <si>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</si>
  <si>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</si>
  <si>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</si>
  <si>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</si>
  <si>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</si>
  <si>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</si>
  <si>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</si>
  <si>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</si>
  <si>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</si>
  <si>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</si>
  <si>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</si>
  <si>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</si>
  <si>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</si>
  <si>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</si>
  <si>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</si>
  <si>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</si>
  <si>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</si>
  <si>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</si>
  <si>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</si>
  <si>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</si>
  <si>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</si>
  <si>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</si>
  <si>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</si>
  <si>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</si>
  <si>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</si>
  <si>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</si>
  <si>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</si>
  <si>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</si>
  <si>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</si>
  <si>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</si>
  <si>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</si>
  <si>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</si>
  <si>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</si>
  <si>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</si>
  <si>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</si>
  <si>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</si>
  <si>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</si>
  <si>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</si>
  <si>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</si>
  <si>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</si>
  <si>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</si>
  <si>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</si>
  <si>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</si>
  <si>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</si>
  <si>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</si>
  <si>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</si>
  <si>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</si>
  <si>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</si>
  <si>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</si>
  <si>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</si>
  <si>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</si>
  <si>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</si>
  <si>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</si>
  <si>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</si>
  <si>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</si>
  <si>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</si>
  <si>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</si>
  <si>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</si>
  <si>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</si>
  <si>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</si>
  <si>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</si>
  <si>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</si>
  <si>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</si>
  <si>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</si>
  <si>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</si>
  <si>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</si>
  <si>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</si>
  <si>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</si>
  <si>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</si>
  <si>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</si>
  <si>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</si>
  <si>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</si>
  <si>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</si>
  <si>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</si>
  <si>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</si>
  <si>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</si>
  <si>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</si>
  <si>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</si>
  <si>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</si>
  <si>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</si>
  <si>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</si>
  <si>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</si>
  <si>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</si>
  <si>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</si>
  <si>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</si>
  <si>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</si>
  <si>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</si>
  <si>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</si>
  <si>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</si>
  <si>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</si>
  <si>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</si>
  <si>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</si>
  <si>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</si>
  <si>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</si>
  <si>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</si>
  <si>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</si>
  <si>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</si>
  <si>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</si>
  <si>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</si>
  <si>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</si>
  <si>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</si>
  <si>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</si>
  <si>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</si>
  <si>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</si>
  <si>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</si>
  <si>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</si>
  <si>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</si>
  <si>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</si>
  <si>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</si>
  <si>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</si>
  <si>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</si>
  <si>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</si>
  <si>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</si>
  <si>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</si>
  <si>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</si>
  <si>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</si>
  <si>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</si>
  <si>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</si>
  <si>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</si>
  <si>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</si>
  <si>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</si>
  <si>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</si>
  <si>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</si>
  <si>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</si>
  <si>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</si>
  <si>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</si>
  <si>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</si>
  <si>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</si>
  <si>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</si>
  <si>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</si>
  <si>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</si>
  <si>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</si>
  <si>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</si>
  <si>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</si>
  <si>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</si>
  <si>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</si>
  <si>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</si>
  <si>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</si>
  <si>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</si>
  <si>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</si>
  <si>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</si>
  <si>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</si>
  <si>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</si>
  <si>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</si>
  <si>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</si>
  <si>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</si>
  <si>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</si>
  <si>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</si>
  <si>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</si>
  <si>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</si>
  <si>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</si>
  <si>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</si>
  <si>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</si>
  <si>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</si>
  <si>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</si>
  <si>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</si>
  <si>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</si>
  <si>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</si>
  <si>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</si>
  <si>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</si>
  <si>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</si>
  <si>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</si>
  <si>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</si>
  <si>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</si>
  <si>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</si>
  <si>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</si>
  <si>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</si>
  <si>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</si>
  <si>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</si>
  <si>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</si>
  <si>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</si>
  <si>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</si>
  <si>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</si>
  <si>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</si>
  <si>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</si>
  <si>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</si>
  <si>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</si>
  <si>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</si>
  <si>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</si>
  <si>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</si>
  <si>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</si>
  <si>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</si>
  <si>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</si>
  <si>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</si>
  <si>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</si>
  <si>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</si>
  <si>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</si>
  <si>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</si>
  <si>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</si>
  <si>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</si>
  <si>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</si>
  <si>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</si>
  <si>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</si>
  <si>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</si>
  <si>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</si>
  <si>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</si>
  <si>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</si>
  <si>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</si>
  <si>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</si>
  <si>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</si>
  <si>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</si>
  <si>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</si>
  <si>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</si>
  <si>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</si>
  <si>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</si>
  <si>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</si>
  <si>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</si>
  <si>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</si>
  <si>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</si>
  <si>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</si>
  <si>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</si>
  <si>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</si>
  <si>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</si>
  <si>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</si>
  <si>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</si>
  <si>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</si>
  <si>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</si>
  <si>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</si>
  <si>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</si>
  <si>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</si>
  <si>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</si>
  <si>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</si>
  <si>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</si>
  <si>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</si>
  <si>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</si>
  <si>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</si>
  <si>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</si>
  <si>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</si>
  <si>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</si>
  <si>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</si>
  <si>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</si>
  <si>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</si>
  <si>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</si>
  <si>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</si>
  <si>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</si>
  <si>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</si>
  <si>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</si>
  <si>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</si>
  <si>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</si>
  <si>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</si>
  <si>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</si>
  <si>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</si>
  <si>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</si>
  <si>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</si>
  <si>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</si>
  <si>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</si>
  <si>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</si>
  <si>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</si>
  <si>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</si>
  <si>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</si>
  <si>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</si>
  <si>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</si>
  <si>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</si>
  <si>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</si>
  <si>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</si>
  <si>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</si>
  <si>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</si>
  <si>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</si>
  <si>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</si>
  <si>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</si>
  <si>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</si>
  <si>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</si>
  <si>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</si>
  <si>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</si>
  <si>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</si>
  <si>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</si>
  <si>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</si>
  <si>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</si>
  <si>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</si>
  <si>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</si>
  <si>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</si>
  <si>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</si>
  <si>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</si>
  <si>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</si>
  <si>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</si>
  <si>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</si>
  <si>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</si>
  <si>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</si>
  <si>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</si>
  <si>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</si>
  <si>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</si>
  <si>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</si>
  <si>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</si>
  <si>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</si>
  <si>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</si>
  <si>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</si>
  <si>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</si>
  <si>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</si>
  <si>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</si>
  <si>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</si>
  <si>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</si>
  <si>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</si>
  <si>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</si>
  <si>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</si>
  <si>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</si>
  <si>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</si>
  <si>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</si>
  <si>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</si>
  <si>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</si>
  <si>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</si>
  <si>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</si>
  <si>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</si>
  <si>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</si>
  <si>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</si>
  <si>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</si>
  <si>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</si>
  <si>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</si>
  <si>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</si>
  <si>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</si>
  <si>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</si>
  <si>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</si>
  <si>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</si>
  <si>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</si>
  <si>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</si>
  <si>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</si>
  <si>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</si>
  <si>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</si>
  <si>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</si>
  <si>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</si>
  <si>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</si>
  <si>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</si>
  <si>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</si>
  <si>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</si>
  <si>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</si>
  <si>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</si>
  <si>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</si>
  <si>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</si>
  <si>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</si>
  <si>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</si>
  <si>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</si>
  <si>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</si>
  <si>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</si>
  <si>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</si>
  <si>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</si>
  <si>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</si>
  <si>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</si>
  <si>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</si>
  <si>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</si>
  <si>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</si>
  <si>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</si>
  <si>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</si>
  <si>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</si>
  <si>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</si>
  <si>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</si>
  <si>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</si>
  <si>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</si>
  <si>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</si>
  <si>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</si>
  <si>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</si>
  <si>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</si>
  <si>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</si>
  <si>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</si>
  <si>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</si>
  <si>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</si>
  <si>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</si>
  <si>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</si>
  <si>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</si>
  <si>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</si>
  <si>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</si>
  <si>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</si>
  <si>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</si>
  <si>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</si>
  <si>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</si>
  <si>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</si>
  <si>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</si>
  <si>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</si>
  <si>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</si>
  <si>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</si>
  <si>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</si>
  <si>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</si>
  <si>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</si>
  <si>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</si>
  <si>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</si>
  <si>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</si>
  <si>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</si>
  <si>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</si>
  <si>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</si>
  <si>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</si>
  <si>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</si>
  <si>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</si>
  <si>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</si>
  <si>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</si>
  <si>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</si>
  <si>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</si>
  <si>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</si>
  <si>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</si>
  <si>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</si>
  <si>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</si>
  <si>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</si>
  <si>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</si>
  <si>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</si>
  <si>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</si>
  <si>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</si>
  <si>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</si>
  <si>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</si>
  <si>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</si>
  <si>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</si>
  <si>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</si>
  <si>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</si>
  <si>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</si>
  <si>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</si>
  <si>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</si>
  <si>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</si>
  <si>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</si>
  <si>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</si>
  <si>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</si>
  <si>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</si>
  <si>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</si>
  <si>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</si>
  <si>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</si>
  <si>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</si>
  <si>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</si>
  <si>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</si>
  <si>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</si>
  <si>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</si>
  <si>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</si>
  <si>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</si>
  <si>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</si>
  <si>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</si>
  <si>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</si>
  <si>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</si>
  <si>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</si>
  <si>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</si>
  <si>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</si>
  <si>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</si>
  <si>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</si>
  <si>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</si>
  <si>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</si>
  <si>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</si>
  <si>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</si>
  <si>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</si>
  <si>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</si>
  <si>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</si>
  <si>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</si>
  <si>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</si>
  <si>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</si>
  <si>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</si>
  <si>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</si>
  <si>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</si>
  <si>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</si>
  <si>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</si>
  <si>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</si>
  <si>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</si>
  <si>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</si>
  <si>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</si>
  <si>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</si>
  <si>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</si>
  <si>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</si>
  <si>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</si>
  <si>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</si>
  <si>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</si>
  <si>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</si>
  <si>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</si>
  <si>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</si>
  <si>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</si>
  <si>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</si>
  <si>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</si>
  <si>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</si>
  <si>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</si>
  <si>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</si>
  <si>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</si>
  <si>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</si>
  <si>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</si>
  <si>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</si>
  <si>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</si>
  <si>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</si>
  <si>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</si>
  <si>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</si>
  <si>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</si>
  <si>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</si>
  <si>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</si>
  <si>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</si>
  <si>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</si>
  <si>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</si>
  <si>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</si>
  <si>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</si>
  <si>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</si>
  <si>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</si>
  <si>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</si>
  <si>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</si>
  <si>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</si>
  <si>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</si>
  <si>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</si>
  <si>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</si>
  <si>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</si>
  <si>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</si>
  <si>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</si>
  <si>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</si>
  <si>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</si>
  <si>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</si>
  <si>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</si>
  <si>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</si>
  <si>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</si>
  <si>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</si>
  <si>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</si>
  <si>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</si>
  <si>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</si>
  <si>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</si>
  <si>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</si>
  <si>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</si>
  <si>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</si>
  <si>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</si>
  <si>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</si>
  <si>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</si>
  <si>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</si>
  <si>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</si>
  <si>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</si>
  <si>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</si>
  <si>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</si>
  <si>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</si>
  <si>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</si>
  <si>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</si>
  <si>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</si>
  <si>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</si>
  <si>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</si>
  <si>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</si>
  <si>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</si>
  <si>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</si>
  <si>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</si>
  <si>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</si>
  <si>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</si>
  <si>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</si>
  <si>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</si>
  <si>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</si>
  <si>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</si>
  <si>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</si>
  <si>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</si>
  <si>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</si>
  <si>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</si>
  <si>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</si>
  <si>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</si>
  <si>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</si>
  <si>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</si>
  <si>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</si>
  <si>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</si>
  <si>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</si>
  <si>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</si>
  <si>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</si>
  <si>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</si>
  <si>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</si>
  <si>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</si>
  <si>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</si>
  <si>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</si>
  <si>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</si>
  <si>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</si>
  <si>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</si>
  <si>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</si>
  <si>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</si>
  <si>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</si>
  <si>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</si>
  <si>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</si>
  <si>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</si>
  <si>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</si>
  <si>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</si>
  <si>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</si>
  <si>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</si>
  <si>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</si>
  <si>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</si>
  <si>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</si>
  <si>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</si>
  <si>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</si>
  <si>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</si>
  <si>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</si>
  <si>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</si>
  <si>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</si>
  <si>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</si>
  <si>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</si>
  <si>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</si>
  <si>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</si>
  <si>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</si>
  <si>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</si>
  <si>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</si>
  <si>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</si>
  <si>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</si>
  <si>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</si>
  <si>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</si>
  <si>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</si>
  <si>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</si>
  <si>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</si>
  <si>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</si>
  <si>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</si>
  <si>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</si>
  <si>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</si>
  <si>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</si>
  <si>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</si>
  <si>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</si>
  <si>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</si>
  <si>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</si>
  <si>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</si>
  <si>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</si>
  <si>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</si>
  <si>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</si>
  <si>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</si>
  <si>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</si>
  <si>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</si>
  <si>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</si>
  <si>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</si>
  <si>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</si>
  <si>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</si>
  <si>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</si>
  <si>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</si>
  <si>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</si>
  <si>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</si>
  <si>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</si>
  <si>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</si>
  <si>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</si>
  <si>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</si>
  <si>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</si>
  <si>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</si>
  <si>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</si>
  <si>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</si>
  <si>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</si>
  <si>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</si>
  <si>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</si>
  <si>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</si>
  <si>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</si>
  <si>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</si>
  <si>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</si>
  <si>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</si>
  <si>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</si>
  <si>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</si>
  <si>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</si>
  <si>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</si>
  <si>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</si>
  <si>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</si>
  <si>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</si>
  <si>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</si>
  <si>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</si>
  <si>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</si>
  <si>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</si>
  <si>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</si>
  <si>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</si>
  <si>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</si>
  <si>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</si>
  <si>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</si>
  <si>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</si>
  <si>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</si>
  <si>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</si>
  <si>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</si>
  <si>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</si>
  <si>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</si>
  <si>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</si>
  <si>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</si>
  <si>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</si>
  <si>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</si>
  <si>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</si>
  <si>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</si>
  <si>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</si>
  <si>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</si>
  <si>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</si>
  <si>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</si>
  <si>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</si>
  <si>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</si>
  <si>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</si>
  <si>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</si>
  <si>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</si>
  <si>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</si>
  <si>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</si>
  <si>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</si>
  <si>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</si>
  <si>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</si>
  <si>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</si>
  <si>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</si>
  <si>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</si>
  <si>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</si>
  <si>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</si>
  <si>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</si>
  <si>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</si>
  <si>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</si>
  <si>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</si>
  <si>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</si>
  <si>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</si>
  <si>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</si>
  <si>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</si>
  <si>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</si>
  <si>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</si>
  <si>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</si>
  <si>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</si>
  <si>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</si>
  <si>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</si>
  <si>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</si>
  <si>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</si>
  <si>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</si>
  <si>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</si>
  <si>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</si>
  <si>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</si>
  <si>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</si>
  <si>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</si>
  <si>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</si>
  <si>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</si>
  <si>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</si>
  <si>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</si>
  <si>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</si>
  <si>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</si>
  <si>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</si>
  <si>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</si>
  <si>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</si>
  <si>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</si>
  <si>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</si>
  <si>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</si>
  <si>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</si>
  <si>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</si>
  <si>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</si>
  <si>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</si>
  <si>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</si>
  <si>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</si>
  <si>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</si>
  <si>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</si>
  <si>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</si>
  <si>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</si>
  <si>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</si>
  <si>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</si>
  <si>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</si>
  <si>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</si>
  <si>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</si>
  <si>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</si>
  <si>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</si>
  <si>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</si>
  <si>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</si>
  <si>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</si>
  <si>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</si>
  <si>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</si>
  <si>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</si>
  <si>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</si>
  <si>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</si>
  <si>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</si>
  <si>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</si>
  <si>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</si>
  <si>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</si>
  <si>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</si>
  <si>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</si>
  <si>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</si>
  <si>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</si>
  <si>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</si>
  <si>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</si>
  <si>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</si>
  <si>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</si>
  <si>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</si>
  <si>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</si>
  <si>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</si>
  <si>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</si>
  <si>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</si>
  <si>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</si>
  <si>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</si>
  <si>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</si>
  <si>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</si>
  <si>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</si>
  <si>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</si>
  <si>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</si>
  <si>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</si>
  <si>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</si>
  <si>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</si>
  <si>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</si>
  <si>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</si>
  <si>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</si>
  <si>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</si>
  <si>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</si>
  <si>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</si>
  <si>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</si>
  <si>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</si>
  <si>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</si>
  <si>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</si>
  <si>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</si>
  <si>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</si>
  <si>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</si>
  <si>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</si>
  <si>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</si>
  <si>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</si>
  <si>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</si>
  <si>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</si>
  <si>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</si>
  <si>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</si>
  <si>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</si>
  <si>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</si>
  <si>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</si>
  <si>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</si>
  <si>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</si>
  <si>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</si>
  <si>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</si>
  <si>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</si>
  <si>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</si>
  <si>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</si>
  <si>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</si>
  <si>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</si>
  <si>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</si>
  <si>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</si>
  <si>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</si>
  <si>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</si>
  <si>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</si>
  <si>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</si>
  <si>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</si>
  <si>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</si>
  <si>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</si>
  <si>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</si>
  <si>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</si>
  <si>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</si>
  <si>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</si>
  <si>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</si>
  <si>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</si>
  <si>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</si>
  <si>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</si>
  <si>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</si>
  <si>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</si>
  <si>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</si>
  <si>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</si>
  <si>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</si>
  <si>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</si>
  <si>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</si>
  <si>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</si>
  <si>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</si>
  <si>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</si>
  <si>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</si>
  <si>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</si>
  <si>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</si>
  <si>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</si>
  <si>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</si>
  <si>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</si>
  <si>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</si>
  <si>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</si>
  <si>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</si>
  <si>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</si>
  <si>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</si>
  <si>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</si>
  <si>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</si>
  <si>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</si>
  <si>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</si>
  <si>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</si>
  <si>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</si>
  <si>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</si>
  <si>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</si>
  <si>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</si>
  <si>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</si>
  <si>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</si>
  <si>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</si>
  <si>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</si>
  <si>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</si>
  <si>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</si>
  <si>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</si>
  <si>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</si>
  <si>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</si>
  <si>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</si>
  <si>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</si>
  <si>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</si>
  <si>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</si>
  <si>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</si>
  <si>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</si>
  <si>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</si>
  <si>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</si>
  <si>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</si>
  <si>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</si>
  <si>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</si>
  <si>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</si>
  <si>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</si>
  <si>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</si>
  <si>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</si>
  <si>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</si>
  <si>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</si>
  <si>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</si>
  <si>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</si>
  <si>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</si>
  <si>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</si>
  <si>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</si>
  <si>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</si>
  <si>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</si>
  <si>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</si>
  <si>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</si>
  <si>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</si>
  <si>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</si>
  <si>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</si>
  <si>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</si>
  <si>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</si>
  <si>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</si>
  <si>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</si>
  <si>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</si>
  <si>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</si>
  <si>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</si>
  <si>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</si>
  <si>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</si>
  <si>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</si>
  <si>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</si>
  <si>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</si>
  <si>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</si>
  <si>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</si>
  <si>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</si>
  <si>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</si>
  <si>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</si>
  <si>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</si>
  <si>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</si>
  <si>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</si>
  <si>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</si>
  <si>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</si>
  <si>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</si>
  <si>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</si>
  <si>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</si>
  <si>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</si>
  <si>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</si>
  <si>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</si>
  <si>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</si>
  <si>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</si>
  <si>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</si>
  <si>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</si>
  <si>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</si>
  <si>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</si>
  <si>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</si>
  <si>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</si>
  <si>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</si>
  <si>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</si>
  <si>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</si>
  <si>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</si>
  <si>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</si>
  <si>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</si>
  <si>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</si>
  <si>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</si>
  <si>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</si>
  <si>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</si>
  <si>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</si>
  <si>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</si>
  <si>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</si>
  <si>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</si>
  <si>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</si>
  <si>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</si>
  <si>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</si>
  <si>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</si>
  <si>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</si>
  <si>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</si>
  <si>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</si>
  <si>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</si>
  <si>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</si>
  <si>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</si>
  <si>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</si>
  <si>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</si>
  <si>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</si>
  <si>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</si>
  <si>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</si>
  <si>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</si>
  <si>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</si>
  <si>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</si>
  <si>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</si>
  <si>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</si>
  <si>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</si>
  <si>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</si>
  <si>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</si>
  <si>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</si>
  <si>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</si>
  <si>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</si>
  <si>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</si>
  <si>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</si>
  <si>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</si>
  <si>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</si>
  <si>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</si>
  <si>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</si>
  <si>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</si>
  <si>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</si>
  <si>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</si>
  <si>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</si>
  <si>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</si>
  <si>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</si>
  <si>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</si>
  <si>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</si>
  <si>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</si>
  <si>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</si>
  <si>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</si>
  <si>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</si>
  <si>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</si>
  <si>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</si>
  <si>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</si>
  <si>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</si>
  <si>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</si>
  <si>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</si>
  <si>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</si>
  <si>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</si>
  <si>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</si>
  <si>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</si>
  <si>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</si>
  <si>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</si>
  <si>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</si>
  <si>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</si>
  <si>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</si>
  <si>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</si>
  <si>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</si>
  <si>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</si>
  <si>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</si>
  <si>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</si>
  <si>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</si>
  <si>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</si>
  <si>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</si>
  <si>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</si>
  <si>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</si>
  <si>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</si>
  <si>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</si>
  <si>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</si>
  <si>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</si>
  <si>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</si>
  <si>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</si>
  <si>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</si>
  <si>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</si>
  <si>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</si>
  <si>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</si>
  <si>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</si>
  <si>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</si>
  <si>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</si>
  <si>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</si>
  <si>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</si>
  <si>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</si>
  <si>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</si>
  <si>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</si>
  <si>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</si>
  <si>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</si>
  <si>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</si>
  <si>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</si>
  <si>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</si>
  <si>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</si>
  <si>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</si>
  <si>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</si>
  <si>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</si>
  <si>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</si>
  <si>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</si>
  <si>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</si>
  <si>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</si>
  <si>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</si>
  <si>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</si>
  <si>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</si>
  <si>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</si>
  <si>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</si>
  <si>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</si>
  <si>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</si>
  <si>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</si>
  <si>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</si>
  <si>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</si>
  <si>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</si>
  <si>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</si>
  <si>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</si>
  <si>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</si>
  <si>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</si>
  <si>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</si>
  <si>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</si>
  <si>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</si>
  <si>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</si>
  <si>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</si>
  <si>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</si>
  <si>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</si>
  <si>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</si>
  <si>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</si>
  <si>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</si>
  <si>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</si>
  <si>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</si>
  <si>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</si>
  <si>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</si>
  <si>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</si>
  <si>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</si>
  <si>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</si>
  <si>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</si>
  <si>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</si>
  <si>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</si>
  <si>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</si>
  <si>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</si>
  <si>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</si>
  <si>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</si>
  <si>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</si>
  <si>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</si>
  <si>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</si>
  <si>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</si>
  <si>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</si>
  <si>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</si>
  <si>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</si>
  <si>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</si>
  <si>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</si>
  <si>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</si>
  <si>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</si>
  <si>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</si>
  <si>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</si>
  <si>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</si>
  <si>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</si>
  <si>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</si>
  <si>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</si>
  <si>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</si>
  <si>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</si>
  <si>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</si>
  <si>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</si>
  <si>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</si>
  <si>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</si>
  <si>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</si>
  <si>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</si>
  <si>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</si>
  <si>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</si>
  <si>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</si>
  <si>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</si>
  <si>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</si>
  <si>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</si>
  <si>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</si>
  <si>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</si>
  <si>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</si>
  <si>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</si>
  <si>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</si>
  <si>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</si>
  <si>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</si>
  <si>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</si>
  <si>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</si>
  <si>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</si>
  <si>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</si>
  <si>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</si>
  <si>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</si>
  <si>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</si>
  <si>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</si>
  <si>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</si>
  <si>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</si>
  <si>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</si>
  <si>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</si>
  <si>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</si>
  <si>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</si>
  <si>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</si>
  <si>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</si>
  <si>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</si>
  <si>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</si>
  <si>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</si>
  <si>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</si>
  <si>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</si>
  <si>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</si>
  <si>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</si>
  <si>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</si>
  <si>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</si>
  <si>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</si>
  <si>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</si>
  <si>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</si>
  <si>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</si>
  <si>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</si>
  <si>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</si>
  <si>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</si>
  <si>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</si>
  <si>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</si>
  <si>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</si>
  <si>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</si>
  <si>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</si>
  <si>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</si>
  <si>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</si>
  <si>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</si>
  <si>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</si>
  <si>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</si>
  <si>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</si>
  <si>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</si>
  <si>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</si>
  <si>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</si>
  <si>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</si>
  <si>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</si>
  <si>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</si>
  <si>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</si>
  <si>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</si>
  <si>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</si>
  <si>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</si>
  <si>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</si>
  <si>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</si>
  <si>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</si>
  <si>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</si>
  <si>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</si>
  <si>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</si>
  <si>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</si>
  <si>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</si>
  <si>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</si>
  <si>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</si>
  <si>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</si>
  <si>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</si>
  <si>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</si>
  <si>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</si>
  <si>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</si>
  <si>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</si>
  <si>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</si>
  <si>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</si>
  <si>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</si>
  <si>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</si>
  <si>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</si>
  <si>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</si>
  <si>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</si>
  <si>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</si>
  <si>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</si>
  <si>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</si>
  <si>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</si>
  <si>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</si>
  <si>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</si>
  <si>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</si>
  <si>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</si>
  <si>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</si>
  <si>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</si>
  <si>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</si>
  <si>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</si>
  <si>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</si>
  <si>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</si>
  <si>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</si>
  <si>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</si>
  <si>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</si>
  <si>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</si>
  <si>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</si>
  <si>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</si>
  <si>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</si>
  <si>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</si>
  <si>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</si>
  <si>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</si>
  <si>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</si>
  <si>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</si>
  <si>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</si>
  <si>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</si>
  <si>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</si>
  <si>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</si>
  <si>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</si>
  <si>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</si>
  <si>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</si>
  <si>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</si>
  <si>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</si>
  <si>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</si>
  <si>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</si>
  <si>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</si>
  <si>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</si>
  <si>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</si>
  <si>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</si>
  <si>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</si>
  <si>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</si>
  <si>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</si>
  <si>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</si>
  <si>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</si>
  <si>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</si>
  <si>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</si>
  <si>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</si>
  <si>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</si>
  <si>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</si>
  <si>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</si>
  <si>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</si>
  <si>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</si>
  <si>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</si>
  <si>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</si>
  <si>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</si>
  <si>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</si>
  <si>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</si>
  <si>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</si>
  <si>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</si>
  <si>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</si>
  <si>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</si>
  <si>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</si>
  <si>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</si>
  <si>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</si>
  <si>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</si>
  <si>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</si>
  <si>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</si>
  <si>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</si>
  <si>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</si>
  <si>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</si>
  <si>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</si>
  <si>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</si>
  <si>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</si>
  <si>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</si>
  <si>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</si>
  <si>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</si>
  <si>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</si>
  <si>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</si>
  <si>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</si>
  <si>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</si>
  <si>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</si>
  <si>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</si>
  <si>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</si>
  <si>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</si>
  <si>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</si>
  <si>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</si>
  <si>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</si>
  <si>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</si>
  <si>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</si>
  <si>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</si>
  <si>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</si>
  <si>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</si>
  <si>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</si>
  <si>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</si>
  <si>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</si>
  <si>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</si>
  <si>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</si>
  <si>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</si>
  <si>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</si>
  <si>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</si>
  <si>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</si>
  <si>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</si>
  <si>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</si>
  <si>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</si>
  <si>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</si>
  <si>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</si>
  <si>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</si>
  <si>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</si>
  <si>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</si>
  <si>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</si>
  <si>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</si>
  <si>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</si>
  <si>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</si>
  <si>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</si>
  <si>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</si>
  <si>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</si>
  <si>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</si>
  <si>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</si>
  <si>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</si>
  <si>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</si>
  <si>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</si>
  <si>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</si>
  <si>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</si>
  <si>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</si>
  <si>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</si>
  <si>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</si>
  <si>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</si>
  <si>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</si>
  <si>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</si>
  <si>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</si>
  <si>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</si>
  <si>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</si>
  <si>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</si>
  <si>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</si>
  <si>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</si>
  <si>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</si>
  <si>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</si>
  <si>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</si>
  <si>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</si>
  <si>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</si>
  <si>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</si>
  <si>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</si>
  <si>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</si>
  <si>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</si>
  <si>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</si>
  <si>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</si>
  <si>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</si>
  <si>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</si>
  <si>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</si>
  <si>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</si>
  <si>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</si>
  <si>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</si>
  <si>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</si>
  <si>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</si>
  <si>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</si>
  <si>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</si>
  <si>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</si>
  <si>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</si>
  <si>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</si>
  <si>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</si>
  <si>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</si>
  <si>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</si>
  <si>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</si>
  <si>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</si>
  <si>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</si>
  <si>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</si>
  <si>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</si>
  <si>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</si>
  <si>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</si>
  <si>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</si>
  <si>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</si>
  <si>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</si>
  <si>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</si>
  <si>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</si>
  <si>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</si>
  <si>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</si>
  <si>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</si>
  <si>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</si>
  <si>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</si>
  <si>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</si>
  <si>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</si>
  <si>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</si>
  <si>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</si>
  <si>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</si>
  <si>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</si>
  <si>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</si>
  <si>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</si>
  <si>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</si>
  <si>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</si>
  <si>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</si>
  <si>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</si>
  <si>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</si>
  <si>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</si>
  <si>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</si>
  <si>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</si>
  <si>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</si>
  <si>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</si>
  <si>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</si>
  <si>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</si>
  <si>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</si>
  <si>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</si>
  <si>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</si>
  <si>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</si>
  <si>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</si>
  <si>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</si>
  <si>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</si>
  <si>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</si>
  <si>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</si>
  <si>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</si>
  <si>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</si>
  <si>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</si>
  <si>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</si>
  <si>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</si>
  <si>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</si>
  <si>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</si>
  <si>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</si>
  <si>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</si>
  <si>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</si>
  <si>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</si>
  <si>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</si>
  <si>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</si>
  <si>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</si>
  <si>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</si>
  <si>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</si>
  <si>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</si>
  <si>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</si>
  <si>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</si>
  <si>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</si>
  <si>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</si>
  <si>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</si>
  <si>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</si>
  <si>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</si>
  <si>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</si>
  <si>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</si>
  <si>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</si>
  <si>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</si>
  <si>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</si>
  <si>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</si>
  <si>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</si>
  <si>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</si>
  <si>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</si>
  <si>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</si>
  <si>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</si>
  <si>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</si>
  <si>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</si>
  <si>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</si>
  <si>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</si>
  <si>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</si>
  <si>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</si>
  <si>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</si>
  <si>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</si>
  <si>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</si>
  <si>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</si>
  <si>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</si>
  <si>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</si>
  <si>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</si>
  <si>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</si>
  <si>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</si>
  <si>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</si>
  <si>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</si>
  <si>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</si>
  <si>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</si>
  <si>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</si>
  <si>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</si>
  <si>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</si>
  <si>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</si>
  <si>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</si>
  <si>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</si>
  <si>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</si>
  <si>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</si>
  <si>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</si>
  <si>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</si>
  <si>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</si>
  <si>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</si>
  <si>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</si>
  <si>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</si>
  <si>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</si>
  <si>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</si>
  <si>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</si>
  <si>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</si>
  <si>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</si>
  <si>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</si>
  <si>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</si>
  <si>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</si>
  <si>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</si>
  <si>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</si>
  <si>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</si>
  <si>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</si>
  <si>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</si>
  <si>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</si>
  <si>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</si>
  <si>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</si>
  <si>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</si>
  <si>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</si>
  <si>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</si>
  <si>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</si>
  <si>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</si>
  <si>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</si>
  <si>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</si>
  <si>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</si>
  <si>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</si>
  <si>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</si>
  <si>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</si>
  <si>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</si>
  <si>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</si>
  <si>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</si>
  <si>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</si>
  <si>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</si>
  <si>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</si>
  <si>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</si>
  <si>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</si>
  <si>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</si>
  <si>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</si>
  <si>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</si>
  <si>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</si>
  <si>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</si>
  <si>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</si>
  <si>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</si>
  <si>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</si>
  <si>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</si>
  <si>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</si>
  <si>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</si>
  <si>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</si>
  <si>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</si>
  <si>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</si>
  <si>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</si>
  <si>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</si>
  <si>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</si>
  <si>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</si>
  <si>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</si>
  <si>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</si>
  <si>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</si>
  <si>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</si>
  <si>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</si>
  <si>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</si>
  <si>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</si>
  <si>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</si>
  <si>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</si>
  <si>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</si>
  <si>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</si>
  <si>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</si>
  <si>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</si>
  <si>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</si>
  <si>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</si>
  <si>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</si>
  <si>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</si>
  <si>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</si>
  <si>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</si>
  <si>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</si>
  <si>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</si>
  <si>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</si>
  <si>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</si>
  <si>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</si>
  <si>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</si>
  <si>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</si>
  <si>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</si>
  <si>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</si>
  <si>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</si>
  <si>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</si>
  <si>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</si>
  <si>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</si>
  <si>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</si>
  <si>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</si>
  <si>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</si>
  <si>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</si>
  <si>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</si>
  <si>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</si>
  <si>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</si>
  <si>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</si>
  <si>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</si>
  <si>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</si>
  <si>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</si>
  <si>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</si>
  <si>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</si>
  <si>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</si>
  <si>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</si>
  <si>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</si>
  <si>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</si>
  <si>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</si>
  <si>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</si>
  <si>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</si>
  <si>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</si>
  <si>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</si>
  <si>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</si>
  <si>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</si>
  <si>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</si>
  <si>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</si>
  <si>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</si>
  <si>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</si>
  <si>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</si>
  <si>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</si>
  <si>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</si>
  <si>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</si>
  <si>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</si>
  <si>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</si>
  <si>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</si>
  <si>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</si>
  <si>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</si>
  <si>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</si>
  <si>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</si>
  <si>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</si>
  <si>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</si>
  <si>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</si>
  <si>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</si>
  <si>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</si>
  <si>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</si>
  <si>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</si>
  <si>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</si>
  <si>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</si>
  <si>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</si>
  <si>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</si>
  <si>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</si>
  <si>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</si>
  <si>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</si>
  <si>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</si>
  <si>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</si>
  <si>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</si>
  <si>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</si>
  <si>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</si>
  <si>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</si>
  <si>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</si>
  <si>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</si>
  <si>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</si>
  <si>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</si>
  <si>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</si>
  <si>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</si>
  <si>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</si>
  <si>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</si>
  <si>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</si>
  <si>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</si>
  <si>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</si>
  <si>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</si>
  <si>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</si>
  <si>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</si>
  <si>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</si>
  <si>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</si>
  <si>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</si>
  <si>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</si>
  <si>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</si>
  <si>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</si>
  <si>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</si>
  <si>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</si>
  <si>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</si>
  <si>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</si>
  <si>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</si>
  <si>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</si>
  <si>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</si>
  <si>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</si>
  <si>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</si>
  <si>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</si>
  <si>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</si>
  <si>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</si>
  <si>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</si>
  <si>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</si>
  <si>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</si>
  <si>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</si>
  <si>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</si>
  <si>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</si>
  <si>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</si>
  <si>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</si>
  <si>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</si>
  <si>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</si>
  <si>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</si>
  <si>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</si>
  <si>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</si>
  <si>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</si>
  <si>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</si>
  <si>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</si>
  <si>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</si>
  <si>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</si>
  <si>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</si>
  <si>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</si>
  <si>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</si>
  <si>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</si>
  <si>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</si>
  <si>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</si>
  <si>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</si>
  <si>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</si>
  <si>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</si>
  <si>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</si>
  <si>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</si>
  <si>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</si>
  <si>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</si>
  <si>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</si>
  <si>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</si>
  <si>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</si>
  <si>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</si>
  <si>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</si>
  <si>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</si>
  <si>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</si>
  <si>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</si>
  <si>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</si>
  <si>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</si>
  <si>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</si>
  <si>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</si>
  <si>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</si>
  <si>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</si>
  <si>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</si>
  <si>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</si>
  <si>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</si>
  <si>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</si>
  <si>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</si>
  <si>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</si>
  <si>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</si>
  <si>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</si>
  <si>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</si>
  <si>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</si>
  <si>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</si>
  <si>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</si>
  <si>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</si>
  <si>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</si>
  <si>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</si>
  <si>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</si>
  <si>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</si>
  <si>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</si>
  <si>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</si>
  <si>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</si>
  <si>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</si>
  <si>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</si>
  <si>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</si>
  <si>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</si>
  <si>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</si>
  <si>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</si>
  <si>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</si>
  <si>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</si>
  <si>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</si>
  <si>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</si>
  <si>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</si>
  <si>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</si>
  <si>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</si>
  <si>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</si>
  <si>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</si>
  <si>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</si>
  <si>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</si>
  <si>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</si>
  <si>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</si>
  <si>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</si>
  <si>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</si>
  <si>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</si>
  <si>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</si>
  <si>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</si>
  <si>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</si>
  <si>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</si>
  <si>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</si>
  <si>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</si>
  <si>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</si>
  <si>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</si>
  <si>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</si>
  <si>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</si>
  <si>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</si>
  <si>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</si>
  <si>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</si>
  <si>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</si>
  <si>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</si>
  <si>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</si>
  <si>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</si>
  <si>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</si>
  <si>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</si>
  <si>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</si>
  <si>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</si>
  <si>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</si>
  <si>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</si>
  <si>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</si>
  <si>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</si>
  <si>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</si>
  <si>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</si>
  <si>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</si>
  <si>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</si>
  <si>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</si>
  <si>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</si>
  <si>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</si>
  <si>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</si>
  <si>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</si>
  <si>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</si>
  <si>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</si>
  <si>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</si>
  <si>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</si>
  <si>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</si>
  <si>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</si>
  <si>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</si>
  <si>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</si>
  <si>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</si>
  <si>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</si>
  <si>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</si>
  <si>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</si>
  <si>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</si>
  <si>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</si>
  <si>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</si>
  <si>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</si>
  <si>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</si>
  <si>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</si>
  <si>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</si>
  <si>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</si>
  <si>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</si>
  <si>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</si>
  <si>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</si>
  <si>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</si>
  <si>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</si>
  <si>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</si>
  <si>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</si>
  <si>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</si>
  <si>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</si>
  <si>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</si>
  <si>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</si>
  <si>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</si>
  <si>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</si>
  <si>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</si>
  <si>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</si>
  <si>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</si>
  <si>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</si>
  <si>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</si>
  <si>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</si>
  <si>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</si>
  <si>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</si>
  <si>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</si>
  <si>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</si>
  <si>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</si>
  <si>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</si>
  <si>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</si>
  <si>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</si>
  <si>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</si>
  <si>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</si>
  <si>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</si>
  <si>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</si>
  <si>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</si>
  <si>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</si>
  <si>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</si>
  <si>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</si>
  <si>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</si>
  <si>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</si>
  <si>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</si>
  <si>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</si>
  <si>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</si>
  <si>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</si>
  <si>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</si>
  <si>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</si>
  <si>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</si>
  <si>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</si>
  <si>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</si>
  <si>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</si>
  <si>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</si>
  <si>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</si>
  <si>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</si>
  <si>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</si>
  <si>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</si>
  <si>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</si>
  <si>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</si>
  <si>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</si>
  <si>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</si>
  <si>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</si>
  <si>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</si>
  <si>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</si>
  <si>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WJU Holding 719, L.P.</t>
  </si>
  <si>
    <t xml:space="preserve">USA University Avenue </t>
  </si>
  <si>
    <t>Roseville</t>
  </si>
  <si>
    <t>Darren Bobrowsky</t>
  </si>
  <si>
    <t>Executive Vice President</t>
  </si>
  <si>
    <t>City of Rocklin</t>
  </si>
  <si>
    <t>Aly Zimmerman</t>
  </si>
  <si>
    <t>3970 Rocklin Road</t>
  </si>
  <si>
    <t>Rocklin</t>
  </si>
  <si>
    <t>916-625-5583</t>
  </si>
  <si>
    <t>916-625-5095</t>
  </si>
  <si>
    <t>alyz@rocklin.ca.us</t>
  </si>
  <si>
    <t>University Avenue</t>
  </si>
  <si>
    <t>University Avenue between Sunsent Blvd. and Whitney Ranch Pkwy</t>
  </si>
  <si>
    <t>017-276-005; 017-276-006</t>
  </si>
  <si>
    <t>40%/60% Average Income</t>
  </si>
  <si>
    <t>3200 Douglas Blvd., Suite 200</t>
  </si>
  <si>
    <t>CA</t>
  </si>
  <si>
    <t>USA Rocklin WJU 719, Inc.</t>
  </si>
  <si>
    <t>Administrative GP</t>
  </si>
  <si>
    <t>916-865-3981</t>
  </si>
  <si>
    <t>916-773-5366</t>
  </si>
  <si>
    <t>dbobrowsky@usapropfund.com</t>
  </si>
  <si>
    <t>USA Properties Fund, Inc.</t>
  </si>
  <si>
    <t>Riverside Charitable Corporation</t>
  </si>
  <si>
    <t>Managing GP</t>
  </si>
  <si>
    <t>14131 Yorba Street, Suite 204</t>
  </si>
  <si>
    <t>Tustin</t>
  </si>
  <si>
    <t>Recinda Shafer</t>
  </si>
  <si>
    <t>recinda@riversidecharitable.org</t>
  </si>
  <si>
    <t>916-773-5866</t>
  </si>
  <si>
    <t>Parent Company</t>
  </si>
  <si>
    <t>USA Multi-Family Development, Inc.</t>
  </si>
  <si>
    <t>3200 Douglas Blvd. Suite 200</t>
  </si>
  <si>
    <t>Roseville, CA 95661</t>
  </si>
  <si>
    <t>Bocarsly Emden Cowan Esmail &amp; Arndt LLP</t>
  </si>
  <si>
    <t>633 West Fifth St. Suite 5880</t>
  </si>
  <si>
    <t>Los Angeles, CA 90071</t>
  </si>
  <si>
    <t>Kyle Arndt</t>
  </si>
  <si>
    <t>213-239-8048</t>
  </si>
  <si>
    <t>213-293-0410</t>
  </si>
  <si>
    <t>karndt@bocarsly.com</t>
  </si>
  <si>
    <t>USA Construction Management, Inc.</t>
  </si>
  <si>
    <t>Antonio Piscitello</t>
  </si>
  <si>
    <t>916-724-3856</t>
  </si>
  <si>
    <t>tpiscitello@usapropfund.com</t>
  </si>
  <si>
    <t xml:space="preserve">Not Applicable. </t>
  </si>
  <si>
    <t>Novogradac &amp; Company LLP</t>
  </si>
  <si>
    <t>1160 Battery St., East Bldg, 4th Fl</t>
  </si>
  <si>
    <t>San Francisco, CA 94111</t>
  </si>
  <si>
    <t>Mike Morrison</t>
  </si>
  <si>
    <t>415-356-0825</t>
  </si>
  <si>
    <t>mike.morrison@novoco.com</t>
  </si>
  <si>
    <t>WNC &amp; Associates</t>
  </si>
  <si>
    <t>17782 Sky Park Circle</t>
  </si>
  <si>
    <t>Irvine</t>
  </si>
  <si>
    <t>Jessica Captanis</t>
  </si>
  <si>
    <t>949-439-2616</t>
  </si>
  <si>
    <t>Jcaptanis@wnc.com</t>
  </si>
  <si>
    <t>Kinetic Valuation Group</t>
  </si>
  <si>
    <t>3901 S 147th St., Suite 144</t>
  </si>
  <si>
    <t>Omaha, NE 68144</t>
  </si>
  <si>
    <t>Jay Wortmann</t>
  </si>
  <si>
    <t>402-202-0771</t>
  </si>
  <si>
    <t>jay@kvgteam.com</t>
  </si>
  <si>
    <t>California Municipal Finance Authority</t>
  </si>
  <si>
    <t>2111 Palomar Airport Rd., Suite 320</t>
  </si>
  <si>
    <t>Carlsbad, CA 92011</t>
  </si>
  <si>
    <t>John P. Stoecker</t>
  </si>
  <si>
    <t>760-930-1221</t>
  </si>
  <si>
    <t>760-683-3390</t>
  </si>
  <si>
    <t>jstoecker@cmfa-ca.com</t>
  </si>
  <si>
    <t>USA Multifamily Management, Inc.</t>
  </si>
  <si>
    <t>April Atkinson</t>
  </si>
  <si>
    <t>916-724-3939</t>
  </si>
  <si>
    <t>aatkinson@usapropfund.com</t>
  </si>
  <si>
    <t>August</t>
  </si>
  <si>
    <t>LPAS</t>
  </si>
  <si>
    <t>723 S Street</t>
  </si>
  <si>
    <t>Sacramento, CA 95811</t>
  </si>
  <si>
    <t>Chris Kelly</t>
  </si>
  <si>
    <t>ckelly@lpas.com</t>
  </si>
  <si>
    <t>Redwood Energy</t>
  </si>
  <si>
    <t>1887 Q Street</t>
  </si>
  <si>
    <t>Arcata, CA 95521</t>
  </si>
  <si>
    <t>Sean Armstrong</t>
  </si>
  <si>
    <t>seanarmstrongpm@gmail.com</t>
  </si>
  <si>
    <t>Other (Specify below)</t>
  </si>
  <si>
    <t>3-story garden walk up</t>
  </si>
  <si>
    <t>Citi Community Capital</t>
  </si>
  <si>
    <t>Variable</t>
  </si>
  <si>
    <t>Fixed</t>
  </si>
  <si>
    <t>Deferred Costs</t>
  </si>
  <si>
    <t>Safehold, Inc.</t>
  </si>
  <si>
    <t>WNC &amp; Associates, Inc.</t>
  </si>
  <si>
    <t>Improvement Allowance</t>
  </si>
  <si>
    <t>16601 Ventura Blvd., Suite 200</t>
  </si>
  <si>
    <t>Encino</t>
  </si>
  <si>
    <t>Mike Hemmens</t>
  </si>
  <si>
    <t>Developer Fee Deferral</t>
  </si>
  <si>
    <t>CUAC - California Energy Commission - Redwood Energy</t>
  </si>
  <si>
    <t>Asst. Community Manager/Leasing Agent/Compliance</t>
  </si>
  <si>
    <t>3970 Rocklin Rd.</t>
  </si>
  <si>
    <t>Sherri Conway</t>
  </si>
  <si>
    <t>1114 Avenue of Americas</t>
  </si>
  <si>
    <t>New York</t>
  </si>
  <si>
    <t>Ethan Torbati</t>
  </si>
  <si>
    <t>NSF, Credit Checks &amp;other Administrative Services</t>
  </si>
  <si>
    <t>Tenant Relations</t>
  </si>
  <si>
    <t>Business License and Permits</t>
  </si>
  <si>
    <t xml:space="preserve">Tax-Exempt Recycled Bonds </t>
  </si>
  <si>
    <t>1 bedroom</t>
  </si>
  <si>
    <t>2 bedroom</t>
  </si>
  <si>
    <t>3 bedroom</t>
  </si>
  <si>
    <t>Construction Inspection Fees</t>
  </si>
  <si>
    <t>Interest Prior to Conversion</t>
  </si>
  <si>
    <t>Other: Development Expense</t>
  </si>
  <si>
    <t>CUAC - Electric</t>
  </si>
  <si>
    <t>Secured by Leasehold Interest</t>
  </si>
  <si>
    <t>William Jessup University</t>
  </si>
  <si>
    <t>John Jackson</t>
  </si>
  <si>
    <t>President</t>
  </si>
  <si>
    <t>6/28/20204</t>
  </si>
  <si>
    <t xml:space="preserve"> Planned Development Residential 22 DU's Minimum (PD-22+)</t>
  </si>
  <si>
    <t>50 feet maximum</t>
  </si>
  <si>
    <t>1.38 spaces/unit, 449 total spaces per State Density Bonus Law</t>
  </si>
  <si>
    <t>Zone Change</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</si>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</sst>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43" borderId="4" xfId="0" applyFont="1"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8" sqref="I1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7" t="s">
        <v>1586</v>
      </c>
      <c r="B1" s="2667"/>
      <c r="C1" s="2667"/>
      <c r="D1" s="2667"/>
      <c r="E1" s="2667"/>
      <c r="F1" s="2667"/>
      <c r="G1" s="2667"/>
      <c r="H1" s="2667"/>
      <c r="I1" s="2667"/>
      <c r="J1" s="2667"/>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73353276</v>
      </c>
      <c r="I3" s="1105"/>
    </row>
    <row r="4" spans="1:13" s="1051" customFormat="1" ht="20.100000000000001" customHeight="1">
      <c r="B4" s="1094"/>
      <c r="D4" s="1108"/>
      <c r="F4" s="1092" t="s">
        <v>1992</v>
      </c>
      <c r="G4" s="1091" t="s">
        <v>1991</v>
      </c>
      <c r="H4" s="1093">
        <f>I18</f>
        <v>37518860.294117644</v>
      </c>
      <c r="I4" s="1095"/>
      <c r="K4" s="1055"/>
    </row>
    <row r="5" spans="1:13" s="1051" customFormat="1" ht="20.100000000000001" customHeight="1" thickBot="1">
      <c r="B5" s="1096"/>
      <c r="C5" s="1097"/>
      <c r="D5" s="1109"/>
      <c r="E5" s="1098"/>
      <c r="F5" s="1109" t="s">
        <v>1942</v>
      </c>
      <c r="G5" s="1110"/>
      <c r="H5" s="1106">
        <f>IFERROR(H3/H4,0)</f>
        <v>1.9551040576651155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1940</v>
      </c>
      <c r="C8" s="2671"/>
      <c r="D8" s="2671"/>
      <c r="E8" s="2672"/>
      <c r="G8" s="2647" t="s">
        <v>1941</v>
      </c>
      <c r="H8" s="2648"/>
      <c r="I8" s="2649"/>
      <c r="K8" s="1057"/>
    </row>
    <row r="9" spans="1:13" ht="15" customHeight="1">
      <c r="A9" s="1046"/>
      <c r="B9" s="2668" t="s">
        <v>1974</v>
      </c>
      <c r="C9" s="2668"/>
      <c r="D9" s="2668"/>
      <c r="E9" s="1059">
        <f>G33</f>
        <v>20112500</v>
      </c>
      <c r="G9" s="2660" t="s">
        <v>1972</v>
      </c>
      <c r="H9" s="2660"/>
      <c r="I9" s="1060">
        <f>SUMIF(Application!M554:M565,"Loan, Tax-Exempt",Application!AM554:AM565)</f>
        <v>36990000</v>
      </c>
      <c r="K9" s="1061"/>
      <c r="M9" s="1062"/>
    </row>
    <row r="10" spans="1:13" ht="15" customHeight="1" thickBot="1">
      <c r="A10" s="1046"/>
      <c r="B10" s="2668" t="s">
        <v>1975</v>
      </c>
      <c r="C10" s="2668"/>
      <c r="D10" s="2668"/>
      <c r="E10" s="1060">
        <f>G47</f>
        <v>32448276.000000007</v>
      </c>
      <c r="G10" s="2674" t="s">
        <v>1943</v>
      </c>
      <c r="H10" s="2674"/>
      <c r="I10" s="1140">
        <f>'Basis &amp; Credits'!AB78</f>
        <v>0</v>
      </c>
      <c r="M10" s="1062"/>
    </row>
    <row r="11" spans="1:13" ht="15" customHeight="1">
      <c r="A11" s="1046"/>
      <c r="B11" s="2661" t="s">
        <v>2263</v>
      </c>
      <c r="C11" s="2662"/>
      <c r="D11" s="2663"/>
      <c r="E11" s="1060">
        <f>SUM(E12,E13)</f>
        <v>680000</v>
      </c>
      <c r="G11" s="2659" t="s">
        <v>1983</v>
      </c>
      <c r="H11" s="2659"/>
      <c r="I11" s="1139">
        <f>I9+I10</f>
        <v>36990000</v>
      </c>
      <c r="M11" s="1062"/>
    </row>
    <row r="12" spans="1:13" ht="15" customHeight="1">
      <c r="A12" s="1063"/>
      <c r="B12" s="2669" t="s">
        <v>2265</v>
      </c>
      <c r="C12" s="2669"/>
      <c r="D12" s="2669"/>
      <c r="E12" s="1165">
        <f>G56</f>
        <v>0</v>
      </c>
      <c r="M12" s="1062"/>
    </row>
    <row r="13" spans="1:13" ht="15" customHeight="1">
      <c r="A13" s="1049"/>
      <c r="B13" s="2669" t="s">
        <v>2266</v>
      </c>
      <c r="C13" s="2669"/>
      <c r="D13" s="2669"/>
      <c r="E13" s="1165">
        <f>G65</f>
        <v>680000</v>
      </c>
      <c r="G13" s="2647" t="s">
        <v>2006</v>
      </c>
      <c r="H13" s="2648"/>
      <c r="I13" s="2649"/>
      <c r="M13" s="1062"/>
    </row>
    <row r="14" spans="1:13" ht="15" customHeight="1">
      <c r="A14" s="1049"/>
      <c r="B14" s="2661" t="s">
        <v>2264</v>
      </c>
      <c r="C14" s="2662"/>
      <c r="D14" s="2663"/>
      <c r="E14" s="1167">
        <f>MAX(E15,E16)+E17</f>
        <v>20112500</v>
      </c>
      <c r="G14" s="2660" t="s">
        <v>139</v>
      </c>
      <c r="H14" s="2660"/>
      <c r="I14" s="1064">
        <f>15%*(AND(G120="Yes",G122&lt;&gt;""))</f>
        <v>0</v>
      </c>
      <c r="M14" s="1062"/>
    </row>
    <row r="15" spans="1:13" ht="15" customHeight="1">
      <c r="A15" s="1049"/>
      <c r="B15" s="2644" t="s">
        <v>2270</v>
      </c>
      <c r="C15" s="2645"/>
      <c r="D15" s="2646"/>
      <c r="E15" s="1165">
        <f>G80</f>
        <v>12067500</v>
      </c>
      <c r="G15" s="1137" t="s">
        <v>1984</v>
      </c>
      <c r="H15" s="1137"/>
      <c r="I15" s="1064">
        <f>IF(Application!AJ1032&gt;0,10%,IF(Application!AJ1036&gt;0,5%,0))</f>
        <v>0</v>
      </c>
      <c r="M15" s="1062"/>
    </row>
    <row r="16" spans="1:13" ht="15" customHeight="1">
      <c r="A16" s="1049"/>
      <c r="B16" s="2644" t="s">
        <v>2269</v>
      </c>
      <c r="C16" s="2645"/>
      <c r="D16" s="2646"/>
      <c r="E16" s="1165">
        <f>G90</f>
        <v>0</v>
      </c>
      <c r="G16" s="2660" t="s">
        <v>1985</v>
      </c>
      <c r="H16" s="2660"/>
      <c r="I16" s="1064">
        <f>G132</f>
        <v>-1.4297385620915032E-2</v>
      </c>
    </row>
    <row r="17" spans="1:21" ht="15" customHeight="1" thickBot="1">
      <c r="A17" s="1049"/>
      <c r="B17" s="2644" t="s">
        <v>2268</v>
      </c>
      <c r="C17" s="2645"/>
      <c r="D17" s="2646"/>
      <c r="E17" s="1165">
        <f>G115</f>
        <v>8045000</v>
      </c>
      <c r="G17" s="2660" t="s">
        <v>2278</v>
      </c>
      <c r="H17" s="2660"/>
      <c r="I17" s="1064">
        <f>IF(AND(G139="Yes",OR(G136,G137)),IF(G143&gt;15%,15%,G143),0)</f>
        <v>0</v>
      </c>
    </row>
    <row r="18" spans="1:21" ht="15" customHeight="1">
      <c r="A18" s="1046"/>
      <c r="B18" s="2673" t="s">
        <v>1939</v>
      </c>
      <c r="C18" s="2673"/>
      <c r="D18" s="2673"/>
      <c r="E18" s="1111">
        <f>SUM(E9:E11,E14)</f>
        <v>73353276</v>
      </c>
      <c r="G18" s="1138" t="s">
        <v>1973</v>
      </c>
      <c r="H18" s="1138"/>
      <c r="I18" s="1112">
        <f>I11-((I11*I14)+(I11*I15)+(I11*I16)+(I11*I17))</f>
        <v>37518860.294117644</v>
      </c>
      <c r="M18" s="1065">
        <f>SUM(Cdlac[Quantity])</f>
        <v>321</v>
      </c>
      <c r="O18" s="1084" t="s">
        <v>583</v>
      </c>
      <c r="P18" s="1044">
        <f>MATCH(Application!T189,Application!CB160:CB217,0)</f>
        <v>31</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v>
      </c>
      <c r="N20" s="1071">
        <f>Application!AC718</f>
        <v>0.3</v>
      </c>
      <c r="O20" s="1071">
        <f>IF(Cdlac[[#This Row],[Quantity]]&gt;0,IF(Cdlac[[#This Row],[Federal]],30%,IF(AND(OR(NOT($G$38),$G$38=""),$G$43),40%,Cdlac[[#This Row],[iAMI]])),"")</f>
        <v>0.3</v>
      </c>
      <c r="P20" s="1065" cm="1">
        <f t="array" ref="P20">IF(Cdlac[[#This Row],[Quantity]]&gt;0,INDEX(TcacRents,$P$18,Cdlac[[#This Row],[Bedrooms]]+1)*Cdlac[[#This Row],[AMI]],"")</f>
        <v>723.6</v>
      </c>
      <c r="Q20" s="1164"/>
      <c r="R20" s="1065" cm="1">
        <f t="array" ref="R20">IF(Cdlac[[#This Row],[Quantity]]&gt;0,INDEX(HudFmrs,$P$18,Cdlac[[#This Row],[Bedrooms]]+1),"")</f>
        <v>1777</v>
      </c>
      <c r="S20" s="1065">
        <f>IF(Cdlac[[#This Row],[Quantity]]&gt;0,MAX(0,Cdlac[[#This Row],[Fair Market Rent]]-IF(AND($G$37,$G$38,$G$38&lt;&gt;"",NOT(Cdlac[[#This Row],[Federal]]),Cdlac[[#This Row],[Preservation Rent]]&lt;&gt;""),Cdlac[[#This Row],[Preservation Rent]],Cdlac[[#This Row],[Restricted Rent]])),"")</f>
        <v>1053.4000000000001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v>
      </c>
      <c r="N21" s="1071">
        <f>Application!AC719</f>
        <v>0.3</v>
      </c>
      <c r="O21" s="1071">
        <f>IF(Cdlac[[#This Row],[Quantity]]&gt;0,IF(Cdlac[[#This Row],[Federal]],30%,IF(AND(OR(NOT($G$38),$G$38=""),$G$43),40%,Cdlac[[#This Row],[iAMI]])),"")</f>
        <v>0.3</v>
      </c>
      <c r="P21" s="1065" cm="1">
        <f t="array" ref="P21">IF(Cdlac[[#This Row],[Quantity]]&gt;0,INDEX(TcacRents,$P$18,Cdlac[[#This Row],[Bedrooms]]+1)*Cdlac[[#This Row],[AMI]],"")</f>
        <v>723.6</v>
      </c>
      <c r="Q21" s="1164"/>
      <c r="R21" s="1065" cm="1">
        <f t="array" ref="R21">IF(Cdlac[[#This Row],[Quantity]]&gt;0,INDEX(HudFmrs,$P$18,Cdlac[[#This Row],[Bedrooms]]+1),"")</f>
        <v>1777</v>
      </c>
      <c r="S21" s="1065">
        <f>IF(Cdlac[[#This Row],[Quantity]]&gt;0,MAX(0,Cdlac[[#This Row],[Fair Market Rent]]-IF(AND($G$37,$G$38,$G$38&lt;&gt;"",NOT(Cdlac[[#This Row],[Federal]]),Cdlac[[#This Row],[Preservation Rent]]&lt;&gt;""),Cdlac[[#This Row],[Preservation Rent]],Cdlac[[#This Row],[Restricted Rent]])),"")</f>
        <v>1053.4000000000001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1" t="s">
        <v>1987</v>
      </c>
      <c r="D22" s="2651" t="s">
        <v>1988</v>
      </c>
      <c r="E22" s="2651" t="s">
        <v>1989</v>
      </c>
      <c r="F22" s="2651" t="s">
        <v>2609</v>
      </c>
      <c r="G22" s="2651" t="s">
        <v>1986</v>
      </c>
      <c r="H22" s="1070"/>
      <c r="I22" s="1069"/>
      <c r="L22" s="1044">
        <f>IFERROR(MIN(4,MATCH(Application!B720,UnitSizes,0)-1),"")</f>
        <v>1</v>
      </c>
      <c r="M22" s="1065">
        <f>Application!G720</f>
        <v>16</v>
      </c>
      <c r="N22" s="1071">
        <f>Application!AC720</f>
        <v>0.5</v>
      </c>
      <c r="O22" s="1071">
        <f>IF(Cdlac[[#This Row],[Quantity]]&gt;0,IF(Cdlac[[#This Row],[Federal]],30%,IF(AND(OR(NOT($G$38),$G$38=""),$G$43),40%,Cdlac[[#This Row],[iAMI]])),"")</f>
        <v>0.5</v>
      </c>
      <c r="P22" s="1065" cm="1">
        <f t="array" ref="P22">IF(Cdlac[[#This Row],[Quantity]]&gt;0,INDEX(TcacRents,$P$18,Cdlac[[#This Row],[Bedrooms]]+1)*Cdlac[[#This Row],[AMI]],"")</f>
        <v>1206</v>
      </c>
      <c r="Q22" s="1164"/>
      <c r="R22" s="1065" cm="1">
        <f t="array" ref="R22">IF(Cdlac[[#This Row],[Quantity]]&gt;0,INDEX(HudFmrs,$P$18,Cdlac[[#This Row],[Bedrooms]]+1),"")</f>
        <v>1777</v>
      </c>
      <c r="S22" s="1065">
        <f>IF(Cdlac[[#This Row],[Quantity]]&gt;0,MAX(0,Cdlac[[#This Row],[Fair Market Rent]]-IF(AND($G$37,$G$38,$G$38&lt;&gt;"",NOT(Cdlac[[#This Row],[Federal]]),Cdlac[[#This Row],[Preservation Rent]]&lt;&gt;""),Cdlac[[#This Row],[Preservation Rent]],Cdlac[[#This Row],[Restricted Rent]])),"")</f>
        <v>571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27</v>
      </c>
      <c r="N23" s="1071">
        <f>Application!AC721</f>
        <v>0.6</v>
      </c>
      <c r="O23" s="1071">
        <f>IF(Cdlac[[#This Row],[Quantity]]&gt;0,IF(Cdlac[[#This Row],[Federal]],30%,IF(AND(OR(NOT($G$38),$G$38=""),$G$43),40%,Cdlac[[#This Row],[iAMI]])),"")</f>
        <v>0.6</v>
      </c>
      <c r="P23" s="1065" cm="1">
        <f t="array" ref="P23">IF(Cdlac[[#This Row],[Quantity]]&gt;0,INDEX(TcacRents,$P$18,Cdlac[[#This Row],[Bedrooms]]+1)*Cdlac[[#This Row],[AMI]],"")</f>
        <v>1447.2</v>
      </c>
      <c r="Q23" s="1164"/>
      <c r="R23" s="1065" cm="1">
        <f t="array" ref="R23">IF(Cdlac[[#This Row],[Quantity]]&gt;0,INDEX(HudFmrs,$P$18,Cdlac[[#This Row],[Bedrooms]]+1),"")</f>
        <v>1777</v>
      </c>
      <c r="S23" s="1065">
        <f>IF(Cdlac[[#This Row],[Quantity]]&gt;0,MAX(0,Cdlac[[#This Row],[Fair Market Rent]]-IF(AND($G$37,$G$38,$G$38&lt;&gt;"",NOT(Cdlac[[#This Row],[Federal]]),Cdlac[[#This Row],[Preservation Rent]]&lt;&gt;""),Cdlac[[#This Row],[Preservation Rent]],Cdlac[[#This Row],[Restricted Rent]])),"")</f>
        <v>329.79999999999995</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27</v>
      </c>
      <c r="N24" s="1071">
        <f>Application!AC722</f>
        <v>0.7</v>
      </c>
      <c r="O24" s="1071">
        <f>IF(Cdlac[[#This Row],[Quantity]]&gt;0,IF(Cdlac[[#This Row],[Federal]],30%,IF(AND(OR(NOT($G$38),$G$38=""),$G$43),40%,Cdlac[[#This Row],[iAMI]])),"")</f>
        <v>0.7</v>
      </c>
      <c r="P24" s="1065" cm="1">
        <f t="array" ref="P24">IF(Cdlac[[#This Row],[Quantity]]&gt;0,INDEX(TcacRents,$P$18,Cdlac[[#This Row],[Bedrooms]]+1)*Cdlac[[#This Row],[AMI]],"")</f>
        <v>1688.3999999999999</v>
      </c>
      <c r="Q24" s="1164"/>
      <c r="R24" s="1065" cm="1">
        <f t="array" ref="R24">IF(Cdlac[[#This Row],[Quantity]]&gt;0,INDEX(HudFmrs,$P$18,Cdlac[[#This Row],[Bedrooms]]+1),"")</f>
        <v>1777</v>
      </c>
      <c r="S24" s="1065">
        <f>IF(Cdlac[[#This Row],[Quantity]]&gt;0,MAX(0,Cdlac[[#This Row],[Fair Market Rent]]-IF(AND($G$37,$G$38,$G$38&lt;&gt;"",NOT(Cdlac[[#This Row],[Federal]]),Cdlac[[#This Row],[Preservation Rent]]&lt;&gt;""),Cdlac[[#This Row],[Preservation Rent]],Cdlac[[#This Row],[Restricted Rent]])),"")</f>
        <v>88.600000000000136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77</v>
      </c>
      <c r="F25" s="1072">
        <f>E25</f>
        <v>77</v>
      </c>
      <c r="G25" s="1072">
        <f>D25*F25</f>
        <v>77</v>
      </c>
      <c r="L25" s="1044">
        <f>IFERROR(MIN(4,MATCH(Application!B723,UnitSizes,0)-1),"")</f>
        <v>2</v>
      </c>
      <c r="M25" s="1065">
        <f>Application!G723</f>
        <v>15</v>
      </c>
      <c r="N25" s="1071">
        <f>Application!AC723</f>
        <v>0.3</v>
      </c>
      <c r="O25" s="1071">
        <f>IF(Cdlac[[#This Row],[Quantity]]&gt;0,IF(Cdlac[[#This Row],[Federal]],30%,IF(AND(OR(NOT($G$38),$G$38=""),$G$43),40%,Cdlac[[#This Row],[iAMI]])),"")</f>
        <v>0.3</v>
      </c>
      <c r="P25" s="1065" cm="1">
        <f t="array" ref="P25">IF(Cdlac[[#This Row],[Quantity]]&gt;0,INDEX(TcacRents,$P$18,Cdlac[[#This Row],[Bedrooms]]+1)*Cdlac[[#This Row],[AMI]],"")</f>
        <v>868.19999999999993</v>
      </c>
      <c r="Q25" s="1164"/>
      <c r="R25" s="1065" cm="1">
        <f t="array" ref="R25">IF(Cdlac[[#This Row],[Quantity]]&gt;0,INDEX(HudFmrs,$P$18,Cdlac[[#This Row],[Bedrooms]]+1),"")</f>
        <v>2206</v>
      </c>
      <c r="S25" s="1065">
        <f>IF(Cdlac[[#This Row],[Quantity]]&gt;0,MAX(0,Cdlac[[#This Row],[Fair Market Rent]]-IF(AND($G$37,$G$38,$G$38&lt;&gt;"",NOT(Cdlac[[#This Row],[Federal]]),Cdlac[[#This Row],[Preservation Rent]]&lt;&gt;""),Cdlac[[#This Row],[Preservation Rent]],Cdlac[[#This Row],[Restricted Rent]])),"")</f>
        <v>1337.8000000000002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163</v>
      </c>
      <c r="F26" s="1075">
        <f>SUM(E26:E28)-SUM(F27:F28)</f>
        <v>163</v>
      </c>
      <c r="G26" s="1072">
        <f>D26*F26</f>
        <v>203.75</v>
      </c>
      <c r="H26" s="1074"/>
      <c r="I26" s="1074"/>
      <c r="L26" s="1044">
        <f>IFERROR(MIN(4,MATCH(Application!B724,UnitSizes,0)-1),"")</f>
        <v>2</v>
      </c>
      <c r="M26" s="1065">
        <f>Application!G724</f>
        <v>4</v>
      </c>
      <c r="N26" s="1071">
        <f>Application!AC724</f>
        <v>0.3</v>
      </c>
      <c r="O26" s="1071">
        <f>IF(Cdlac[[#This Row],[Quantity]]&gt;0,IF(Cdlac[[#This Row],[Federal]],30%,IF(AND(OR(NOT($G$38),$G$38=""),$G$43),40%,Cdlac[[#This Row],[iAMI]])),"")</f>
        <v>0.3</v>
      </c>
      <c r="P26" s="1065" cm="1">
        <f t="array" ref="P26">IF(Cdlac[[#This Row],[Quantity]]&gt;0,INDEX(TcacRents,$P$18,Cdlac[[#This Row],[Bedrooms]]+1)*Cdlac[[#This Row],[AMI]],"")</f>
        <v>868.19999999999993</v>
      </c>
      <c r="Q26" s="1164"/>
      <c r="R26" s="1065" cm="1">
        <f t="array" ref="R26">IF(Cdlac[[#This Row],[Quantity]]&gt;0,INDEX(HudFmrs,$P$18,Cdlac[[#This Row],[Bedrooms]]+1),"")</f>
        <v>2206</v>
      </c>
      <c r="S26" s="1065">
        <f>IF(Cdlac[[#This Row],[Quantity]]&gt;0,MAX(0,Cdlac[[#This Row],[Fair Market Rent]]-IF(AND($G$37,$G$38,$G$38&lt;&gt;"",NOT(Cdlac[[#This Row],[Federal]]),Cdlac[[#This Row],[Preservation Rent]]&lt;&gt;""),Cdlac[[#This Row],[Preservation Rent]],Cdlac[[#This Row],[Restricted Rent]])),"")</f>
        <v>1337.8000000000002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81</v>
      </c>
      <c r="F27" s="1075">
        <f>MIN(E27,ROUNDDOWN(E29*30%,0))</f>
        <v>81</v>
      </c>
      <c r="G27" s="1072">
        <f>D27*F27</f>
        <v>121.5</v>
      </c>
      <c r="H27" s="1074"/>
      <c r="I27" s="1074"/>
      <c r="L27" s="1044">
        <f>IFERROR(MIN(4,MATCH(Application!B725,UnitSizes,0)-1),"")</f>
        <v>2</v>
      </c>
      <c r="M27" s="1065">
        <f>Application!G725</f>
        <v>33</v>
      </c>
      <c r="N27" s="1071">
        <f>Application!AC725</f>
        <v>0.5</v>
      </c>
      <c r="O27" s="1071">
        <f>IF(Cdlac[[#This Row],[Quantity]]&gt;0,IF(Cdlac[[#This Row],[Federal]],30%,IF(AND(OR(NOT($G$38),$G$38=""),$G$43),40%,Cdlac[[#This Row],[iAMI]])),"")</f>
        <v>0.5</v>
      </c>
      <c r="P27" s="1065" cm="1">
        <f t="array" ref="P27">IF(Cdlac[[#This Row],[Quantity]]&gt;0,INDEX(TcacRents,$P$18,Cdlac[[#This Row],[Bedrooms]]+1)*Cdlac[[#This Row],[AMI]],"")</f>
        <v>1447</v>
      </c>
      <c r="Q27" s="1164"/>
      <c r="R27" s="1065" cm="1">
        <f t="array" ref="R27">IF(Cdlac[[#This Row],[Quantity]]&gt;0,INDEX(HudFmrs,$P$18,Cdlac[[#This Row],[Bedrooms]]+1),"")</f>
        <v>2206</v>
      </c>
      <c r="S27" s="1065">
        <f>IF(Cdlac[[#This Row],[Quantity]]&gt;0,MAX(0,Cdlac[[#This Row],[Fair Market Rent]]-IF(AND($G$37,$G$38,$G$38&lt;&gt;"",NOT(Cdlac[[#This Row],[Federal]]),Cdlac[[#This Row],[Preservation Rent]]&lt;&gt;""),Cdlac[[#This Row],[Preservation Rent]],Cdlac[[#This Row],[Restricted Rent]])),"")</f>
        <v>759</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36</v>
      </c>
      <c r="N28" s="1071">
        <f>Application!AC726</f>
        <v>0.6</v>
      </c>
      <c r="O28" s="1071">
        <f>IF(Cdlac[[#This Row],[Quantity]]&gt;0,IF(Cdlac[[#This Row],[Federal]],30%,IF(AND(OR(NOT($G$38),$G$38=""),$G$43),40%,Cdlac[[#This Row],[iAMI]])),"")</f>
        <v>0.6</v>
      </c>
      <c r="P28" s="1065" cm="1">
        <f t="array" ref="P28">IF(Cdlac[[#This Row],[Quantity]]&gt;0,INDEX(TcacRents,$P$18,Cdlac[[#This Row],[Bedrooms]]+1)*Cdlac[[#This Row],[AMI]],"")</f>
        <v>1736.3999999999999</v>
      </c>
      <c r="Q28" s="1164"/>
      <c r="R28" s="1065" cm="1">
        <f t="array" ref="R28">IF(Cdlac[[#This Row],[Quantity]]&gt;0,INDEX(HudFmrs,$P$18,Cdlac[[#This Row],[Bedrooms]]+1),"")</f>
        <v>2206</v>
      </c>
      <c r="S28" s="1065">
        <f>IF(Cdlac[[#This Row],[Quantity]]&gt;0,MAX(0,Cdlac[[#This Row],[Fair Market Rent]]-IF(AND($G$37,$G$38,$G$38&lt;&gt;"",NOT(Cdlac[[#This Row],[Federal]]),Cdlac[[#This Row],[Preservation Rent]]&lt;&gt;""),Cdlac[[#This Row],[Preservation Rent]],Cdlac[[#This Row],[Restricted Rent]])),"")</f>
        <v>469.60000000000014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1587</v>
      </c>
      <c r="D29" s="2654"/>
      <c r="E29" s="1089">
        <f>SUM(E24:E28)</f>
        <v>321</v>
      </c>
      <c r="F29" s="1089">
        <f>SUM(F24:F28)</f>
        <v>321</v>
      </c>
      <c r="G29" s="1090">
        <f>SUMPRODUCT(D24:D28,F24:F28)</f>
        <v>402.25</v>
      </c>
      <c r="H29" s="1074"/>
      <c r="I29" s="1074"/>
      <c r="L29" s="1044">
        <f>IFERROR(MIN(4,MATCH(Application!B727,UnitSizes,0)-1),"")</f>
        <v>2</v>
      </c>
      <c r="M29" s="1065">
        <f>Application!G727</f>
        <v>75</v>
      </c>
      <c r="N29" s="1071">
        <f>Application!AC727</f>
        <v>0.7</v>
      </c>
      <c r="O29" s="1071">
        <f>IF(Cdlac[[#This Row],[Quantity]]&gt;0,IF(Cdlac[[#This Row],[Federal]],30%,IF(AND(OR(NOT($G$38),$G$38=""),$G$43),40%,Cdlac[[#This Row],[iAMI]])),"")</f>
        <v>0.7</v>
      </c>
      <c r="P29" s="1065" cm="1">
        <f t="array" ref="P29">IF(Cdlac[[#This Row],[Quantity]]&gt;0,INDEX(TcacRents,$P$18,Cdlac[[#This Row],[Bedrooms]]+1)*Cdlac[[#This Row],[AMI]],"")</f>
        <v>2025.8</v>
      </c>
      <c r="Q29" s="1164"/>
      <c r="R29" s="1065" cm="1">
        <f t="array" ref="R29">IF(Cdlac[[#This Row],[Quantity]]&gt;0,INDEX(HudFmrs,$P$18,Cdlac[[#This Row],[Bedrooms]]+1),"")</f>
        <v>2206</v>
      </c>
      <c r="S29" s="1065">
        <f>IF(Cdlac[[#This Row],[Quantity]]&gt;0,MAX(0,Cdlac[[#This Row],[Fair Market Rent]]-IF(AND($G$37,$G$38,$G$38&lt;&gt;"",NOT(Cdlac[[#This Row],[Federal]]),Cdlac[[#This Row],[Preservation Rent]]&lt;&gt;""),Cdlac[[#This Row],[Preservation Rent]],Cdlac[[#This Row],[Restricted Rent]])),"")</f>
        <v>180.20000000000005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6</v>
      </c>
      <c r="N30" s="1071">
        <f>Application!AC728</f>
        <v>0.3</v>
      </c>
      <c r="O30" s="1071">
        <f>IF(Cdlac[[#This Row],[Quantity]]&gt;0,IF(Cdlac[[#This Row],[Federal]],30%,IF(AND(OR(NOT($G$38),$G$38=""),$G$43),40%,Cdlac[[#This Row],[iAMI]])),"")</f>
        <v>0.3</v>
      </c>
      <c r="P30" s="1065" cm="1">
        <f t="array" ref="P30">IF(Cdlac[[#This Row],[Quantity]]&gt;0,INDEX(TcacRents,$P$18,Cdlac[[#This Row],[Bedrooms]]+1)*Cdlac[[#This Row],[AMI]],"")</f>
        <v>1002.5999999999999</v>
      </c>
      <c r="Q30" s="1164"/>
      <c r="R30" s="1065" cm="1">
        <f t="array" ref="R30">IF(Cdlac[[#This Row],[Quantity]]&gt;0,INDEX(HudFmrs,$P$18,Cdlac[[#This Row],[Bedrooms]]+1),"")</f>
        <v>2992</v>
      </c>
      <c r="S30" s="1065">
        <f>IF(Cdlac[[#This Row],[Quantity]]&gt;0,MAX(0,Cdlac[[#This Row],[Fair Market Rent]]-IF(AND($G$37,$G$38,$G$38&lt;&gt;"",NOT(Cdlac[[#This Row],[Federal]]),Cdlac[[#This Row],[Preservation Rent]]&lt;&gt;""),Cdlac[[#This Row],[Preservation Rent]],Cdlac[[#This Row],[Restricted Rent]])),"")</f>
        <v>1989.4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402.25</v>
      </c>
      <c r="H31" s="1074"/>
      <c r="I31" s="1074"/>
      <c r="L31" s="1044">
        <f>IFERROR(MIN(4,MATCH(Application!B729,UnitSizes,0)-1),"")</f>
        <v>3</v>
      </c>
      <c r="M31" s="1065">
        <f>Application!G729</f>
        <v>2</v>
      </c>
      <c r="N31" s="1071">
        <f>Application!AC729</f>
        <v>0.3</v>
      </c>
      <c r="O31" s="1071">
        <f>IF(Cdlac[[#This Row],[Quantity]]&gt;0,IF(Cdlac[[#This Row],[Federal]],30%,IF(AND(OR(NOT($G$38),$G$38=""),$G$43),40%,Cdlac[[#This Row],[iAMI]])),"")</f>
        <v>0.3</v>
      </c>
      <c r="P31" s="1065" cm="1">
        <f t="array" ref="P31">IF(Cdlac[[#This Row],[Quantity]]&gt;0,INDEX(TcacRents,$P$18,Cdlac[[#This Row],[Bedrooms]]+1)*Cdlac[[#This Row],[AMI]],"")</f>
        <v>1002.5999999999999</v>
      </c>
      <c r="Q31" s="1164"/>
      <c r="R31" s="1065" cm="1">
        <f t="array" ref="R31">IF(Cdlac[[#This Row],[Quantity]]&gt;0,INDEX(HudFmrs,$P$18,Cdlac[[#This Row],[Bedrooms]]+1),"")</f>
        <v>2992</v>
      </c>
      <c r="S31" s="1065">
        <f>IF(Cdlac[[#This Row],[Quantity]]&gt;0,MAX(0,Cdlac[[#This Row],[Fair Market Rent]]-IF(AND($G$37,$G$38,$G$38&lt;&gt;"",NOT(Cdlac[[#This Row],[Federal]]),Cdlac[[#This Row],[Preservation Rent]]&lt;&gt;""),Cdlac[[#This Row],[Preservation Rent]],Cdlac[[#This Row],[Restricted Rent]])),"")</f>
        <v>1989.4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1</v>
      </c>
    </row>
    <row r="32" spans="1:21" ht="15" customHeight="1">
      <c r="A32" s="1074"/>
      <c r="E32" s="1117" t="s">
        <v>1945</v>
      </c>
      <c r="F32" s="1113" t="s">
        <v>1993</v>
      </c>
      <c r="G32" s="1115">
        <v>50000</v>
      </c>
      <c r="H32" s="1074"/>
      <c r="I32" s="1074"/>
      <c r="L32" s="1044">
        <f>IFERROR(MIN(4,MATCH(Application!B730,UnitSizes,0)-1),"")</f>
        <v>3</v>
      </c>
      <c r="M32" s="1065">
        <f>Application!G730</f>
        <v>8</v>
      </c>
      <c r="N32" s="1071">
        <f>Application!AC730</f>
        <v>0.5</v>
      </c>
      <c r="O32" s="1071">
        <f>IF(Cdlac[[#This Row],[Quantity]]&gt;0,IF(Cdlac[[#This Row],[Federal]],30%,IF(AND(OR(NOT($G$38),$G$38=""),$G$43),40%,Cdlac[[#This Row],[iAMI]])),"")</f>
        <v>0.5</v>
      </c>
      <c r="P32" s="1065" cm="1">
        <f t="array" ref="P32">IF(Cdlac[[#This Row],[Quantity]]&gt;0,INDEX(TcacRents,$P$18,Cdlac[[#This Row],[Bedrooms]]+1)*Cdlac[[#This Row],[AMI]],"")</f>
        <v>1671</v>
      </c>
      <c r="Q32" s="1164"/>
      <c r="R32" s="1065" cm="1">
        <f t="array" ref="R32">IF(Cdlac[[#This Row],[Quantity]]&gt;0,INDEX(HudFmrs,$P$18,Cdlac[[#This Row],[Bedrooms]]+1),"")</f>
        <v>2992</v>
      </c>
      <c r="S32" s="1065">
        <f>IF(Cdlac[[#This Row],[Quantity]]&gt;0,MAX(0,Cdlac[[#This Row],[Fair Market Rent]]-IF(AND($G$37,$G$38,$G$38&lt;&gt;"",NOT(Cdlac[[#This Row],[Federal]]),Cdlac[[#This Row],[Preservation Rent]]&lt;&gt;""),Cdlac[[#This Row],[Preservation Rent]],Cdlac[[#This Row],[Restricted Rent]])),"")</f>
        <v>1321</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20112500</v>
      </c>
      <c r="H33" s="1074"/>
      <c r="I33" s="1074"/>
      <c r="L33" s="1044">
        <f>IFERROR(MIN(4,MATCH(Application!B731,UnitSizes,0)-1),"")</f>
        <v>3</v>
      </c>
      <c r="M33" s="1065">
        <f>Application!G731</f>
        <v>8</v>
      </c>
      <c r="N33" s="1071">
        <f>Application!AC731</f>
        <v>0.6</v>
      </c>
      <c r="O33" s="1071">
        <f>IF(Cdlac[[#This Row],[Quantity]]&gt;0,IF(Cdlac[[#This Row],[Federal]],30%,IF(AND(OR(NOT($G$38),$G$38=""),$G$43),40%,Cdlac[[#This Row],[iAMI]])),"")</f>
        <v>0.6</v>
      </c>
      <c r="P33" s="1065" cm="1">
        <f t="array" ref="P33">IF(Cdlac[[#This Row],[Quantity]]&gt;0,INDEX(TcacRents,$P$18,Cdlac[[#This Row],[Bedrooms]]+1)*Cdlac[[#This Row],[AMI]],"")</f>
        <v>2005.1999999999998</v>
      </c>
      <c r="Q33" s="1164"/>
      <c r="R33" s="1065" cm="1">
        <f t="array" ref="R33">IF(Cdlac[[#This Row],[Quantity]]&gt;0,INDEX(HudFmrs,$P$18,Cdlac[[#This Row],[Bedrooms]]+1),"")</f>
        <v>2992</v>
      </c>
      <c r="S33" s="1065">
        <f>IF(Cdlac[[#This Row],[Quantity]]&gt;0,MAX(0,Cdlac[[#This Row],[Fair Market Rent]]-IF(AND($G$37,$G$38,$G$38&lt;&gt;"",NOT(Cdlac[[#This Row],[Federal]]),Cdlac[[#This Row],[Preservation Rent]]&lt;&gt;""),Cdlac[[#This Row],[Preservation Rent]],Cdlac[[#This Row],[Restricted Rent]])),"")</f>
        <v>986.80000000000018</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57</v>
      </c>
      <c r="N34" s="1071">
        <f>Application!AC732</f>
        <v>0.7</v>
      </c>
      <c r="O34" s="1071">
        <f>IF(Cdlac[[#This Row],[Quantity]]&gt;0,IF(Cdlac[[#This Row],[Federal]],30%,IF(AND(OR(NOT($G$38),$G$38=""),$G$43),40%,Cdlac[[#This Row],[iAMI]])),"")</f>
        <v>0.7</v>
      </c>
      <c r="P34" s="1065" cm="1">
        <f t="array" ref="P34">IF(Cdlac[[#This Row],[Quantity]]&gt;0,INDEX(TcacRents,$P$18,Cdlac[[#This Row],[Bedrooms]]+1)*Cdlac[[#This Row],[AMI]],"")</f>
        <v>2339.3999999999996</v>
      </c>
      <c r="Q34" s="1164"/>
      <c r="R34" s="1065" cm="1">
        <f t="array" ref="R34">IF(Cdlac[[#This Row],[Quantity]]&gt;0,INDEX(HudFmrs,$P$18,Cdlac[[#This Row],[Bedrooms]]+1),"")</f>
        <v>2992</v>
      </c>
      <c r="S34" s="1065">
        <f>IF(Cdlac[[#This Row],[Quantity]]&gt;0,MAX(0,Cdlac[[#This Row],[Fair Market Rent]]-IF(AND($G$37,$G$38,$G$38&lt;&gt;"",NOT(Cdlac[[#This Row],[Federal]]),Cdlac[[#This Row],[Preservation Rent]]&lt;&gt;""),Cdlac[[#This Row],[Preservation Rent]],Cdlac[[#This Row],[Restricted Rent]])),"")</f>
        <v>652.60000000000036</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0.60766773162939303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180268.20000000004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32448276.000000007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160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34</v>
      </c>
    </row>
    <row r="61" spans="2:21" ht="15" customHeight="1">
      <c r="E61" s="1117" t="s">
        <v>1995</v>
      </c>
      <c r="G61" s="1079">
        <f>ROUNDDOWN(E29*50%,0)</f>
        <v>160</v>
      </c>
    </row>
    <row r="62" spans="2:21" ht="15" customHeight="1">
      <c r="E62" s="1117"/>
      <c r="G62" s="1079"/>
    </row>
    <row r="63" spans="2:21" ht="15" customHeight="1">
      <c r="E63" s="1117" t="s">
        <v>1955</v>
      </c>
      <c r="G63" s="1114">
        <f>MIN(G60:G61)</f>
        <v>34</v>
      </c>
    </row>
    <row r="64" spans="2:21" ht="15" customHeight="1">
      <c r="E64" s="1117" t="s">
        <v>1945</v>
      </c>
      <c r="F64" s="1113" t="s">
        <v>1993</v>
      </c>
      <c r="G64" s="1124">
        <v>20000</v>
      </c>
    </row>
    <row r="65" spans="2:14" ht="15" customHeight="1">
      <c r="E65" s="1118" t="s">
        <v>1977</v>
      </c>
      <c r="F65" s="1046"/>
      <c r="G65" s="1123">
        <f>G63*G64</f>
        <v>680000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Highest Resource</v>
      </c>
      <c r="L72" s="2664" t="s">
        <v>1970</v>
      </c>
      <c r="M72" s="2665"/>
      <c r="N72" s="1131">
        <v>30000</v>
      </c>
    </row>
    <row r="73" spans="2:14" ht="15" customHeight="1">
      <c r="C73" s="2666" t="s">
        <v>2262</v>
      </c>
      <c r="D73" s="2666"/>
      <c r="E73" s="2666"/>
      <c r="F73" s="2666"/>
      <c r="G73" s="1043" t="s">
        <v>670</v>
      </c>
      <c r="L73" s="2675" t="s">
        <v>1938</v>
      </c>
      <c r="M73" s="2676"/>
      <c r="N73" s="1132">
        <v>20000</v>
      </c>
    </row>
    <row r="74" spans="2:14" ht="15" customHeight="1" thickBot="1">
      <c r="C74" s="2666"/>
      <c r="D74" s="2666"/>
      <c r="E74" s="2666"/>
      <c r="F74" s="2666"/>
      <c r="L74" s="2677" t="s">
        <v>1971</v>
      </c>
      <c r="M74" s="2678"/>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402.25</v>
      </c>
    </row>
    <row r="80" spans="2:14" ht="15" customHeight="1">
      <c r="D80" s="1046"/>
      <c r="E80" s="1118" t="s">
        <v>2267</v>
      </c>
      <c r="F80" s="1046"/>
      <c r="G80" s="1123">
        <f>G79*G78*G76</f>
        <v>12067500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402.25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4</v>
      </c>
    </row>
    <row r="95" spans="2:9" ht="15" customHeight="1">
      <c r="E95" s="1084" t="s">
        <v>1945</v>
      </c>
      <c r="F95" s="1113" t="s">
        <v>1993</v>
      </c>
      <c r="G95" s="1076">
        <v>4000</v>
      </c>
    </row>
    <row r="96" spans="2:9" ht="15" customHeight="1" thickBot="1">
      <c r="E96" s="1084" t="s">
        <v>1997</v>
      </c>
      <c r="F96" s="1113" t="s">
        <v>1993</v>
      </c>
      <c r="G96" s="1126">
        <f>G29</f>
        <v>402.25</v>
      </c>
    </row>
    <row r="97" spans="2:14" ht="15" customHeight="1">
      <c r="E97" s="1118" t="s">
        <v>1962</v>
      </c>
      <c r="F97" s="1046"/>
      <c r="G97" s="1123">
        <f>G94*G95*G96</f>
        <v>6436000</v>
      </c>
      <c r="L97" s="1127" t="str">
        <f>'Points System'!H638</f>
        <v>(i)</v>
      </c>
      <c r="M97" s="2683" t="s">
        <v>1406</v>
      </c>
      <c r="N97" s="2684"/>
    </row>
    <row r="98" spans="2:14" ht="15" customHeight="1">
      <c r="C98" s="1077"/>
      <c r="G98" s="1114"/>
      <c r="L98" s="1128" t="str">
        <f>'Points System'!H650</f>
        <v>N/A</v>
      </c>
      <c r="M98" s="2679" t="s">
        <v>1957</v>
      </c>
      <c r="N98" s="2680"/>
    </row>
    <row r="99" spans="2:14" ht="15" customHeight="1">
      <c r="E99" s="1084" t="s">
        <v>1998</v>
      </c>
      <c r="G99" s="1126">
        <f>COUNTIFS(L97:L104,"(i)")</f>
        <v>1</v>
      </c>
      <c r="L99" s="1128" t="str">
        <f>'Points System'!H685</f>
        <v>N/A</v>
      </c>
      <c r="M99" s="2679" t="s">
        <v>1958</v>
      </c>
      <c r="N99" s="2680"/>
    </row>
    <row r="100" spans="2:14" ht="15" customHeight="1">
      <c r="E100" s="1084" t="s">
        <v>1945</v>
      </c>
      <c r="F100" s="1113" t="s">
        <v>1993</v>
      </c>
      <c r="G100" s="1124">
        <v>4000</v>
      </c>
      <c r="L100" s="1128" t="str">
        <f>IF(OR('Points System'!H709="(ii)",'Points System'!H709="(i)"),"(i)","N/A")</f>
        <v>N/A</v>
      </c>
      <c r="M100" s="2679" t="s">
        <v>1959</v>
      </c>
      <c r="N100" s="2680"/>
    </row>
    <row r="101" spans="2:14" ht="15" customHeight="1">
      <c r="E101" s="1118" t="s">
        <v>1963</v>
      </c>
      <c r="F101" s="1046"/>
      <c r="G101" s="1123">
        <f>G96*G99*G100</f>
        <v>1609000</v>
      </c>
      <c r="L101" s="1129" t="str">
        <f>'Points System'!H723</f>
        <v>N/A</v>
      </c>
      <c r="M101" s="2679" t="s">
        <v>1432</v>
      </c>
      <c r="N101" s="2680"/>
    </row>
    <row r="102" spans="2:14" ht="15" customHeight="1">
      <c r="L102" s="1128" t="str">
        <f>'Points System'!H735</f>
        <v>N/A</v>
      </c>
      <c r="M102" s="2679" t="s">
        <v>1960</v>
      </c>
      <c r="N102" s="2680"/>
    </row>
    <row r="103" spans="2:14" ht="15" customHeight="1">
      <c r="C103" s="1080" t="s">
        <v>1965</v>
      </c>
      <c r="L103" s="1128" t="str">
        <f>'Points System'!H751</f>
        <v>N/A</v>
      </c>
      <c r="M103" s="2679" t="s">
        <v>1961</v>
      </c>
      <c r="N103" s="2680"/>
    </row>
    <row r="104" spans="2:14" ht="15" customHeight="1" thickBot="1">
      <c r="C104" s="1077" t="s">
        <v>1966</v>
      </c>
      <c r="G104" s="1043"/>
      <c r="L104" s="1130" t="str">
        <f>'Points System'!H763</f>
        <v>N/A</v>
      </c>
      <c r="M104" s="2681" t="s">
        <v>1435</v>
      </c>
      <c r="N104" s="2682"/>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402.25</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8045000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2227</v>
      </c>
      <c r="D119" s="2655"/>
      <c r="E119" s="2655"/>
      <c r="F119" s="2655"/>
    </row>
    <row r="120" spans="2:9" ht="15" customHeight="1">
      <c r="C120" s="2655"/>
      <c r="D120" s="2655"/>
      <c r="E120" s="2655"/>
      <c r="F120" s="2655"/>
      <c r="G120" s="1043"/>
    </row>
    <row r="121" spans="2:9" ht="15" customHeight="1"/>
    <row r="122" spans="2:9" ht="15" customHeight="1">
      <c r="C122" s="1044" t="s">
        <v>2229</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Placer</v>
      </c>
    </row>
    <row r="129" spans="2:9">
      <c r="E129" s="1084"/>
      <c r="G129" s="1078"/>
    </row>
    <row r="130" spans="2:9">
      <c r="E130" s="1084" t="str">
        <f>"2-Bedroom "&amp;G128&amp;" County Basis Limit"</f>
        <v>2-Bedroom Placer County Basis Limit</v>
      </c>
      <c r="G130" s="1078">
        <f>Application!R988</f>
        <v>461600</v>
      </c>
    </row>
    <row r="131" spans="2:9">
      <c r="E131" s="1084" t="s">
        <v>2001</v>
      </c>
      <c r="G131" s="1078">
        <f>MEDIAN((Application!CU160:CU217))</f>
        <v>489600</v>
      </c>
    </row>
    <row r="132" spans="2:9" ht="15">
      <c r="D132" s="1046"/>
      <c r="E132" s="1118" t="s">
        <v>2003</v>
      </c>
      <c r="F132" s="1134"/>
      <c r="G132" s="1135">
        <f>((G130-G131)/G131)*0.25</f>
        <v>-1.4297385620915032E-2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0" t="s">
        <v>2275</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5548500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M16" sqref="M16"/>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5</v>
      </c>
      <c r="C4" s="1162"/>
      <c r="D4" s="428">
        <f>Application!O718</f>
        <v>711</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v>
      </c>
      <c r="C5" s="1162" t="s">
        <v>385</v>
      </c>
      <c r="D5" s="428">
        <f>Application!O719</f>
        <v>711</v>
      </c>
      <c r="E5" s="429"/>
      <c r="F5" s="1083">
        <v>2340</v>
      </c>
      <c r="G5" s="428">
        <f t="shared" ref="G5:G38" si="2">F5*B5</f>
        <v>4680</v>
      </c>
      <c r="H5" s="429"/>
      <c r="I5" s="428">
        <f t="shared" si="0"/>
        <v>1629</v>
      </c>
      <c r="J5" s="428">
        <f t="shared" si="1"/>
        <v>3258</v>
      </c>
      <c r="K5" s="204"/>
      <c r="L5" s="305"/>
    </row>
    <row r="6" spans="1:12">
      <c r="A6" s="428" t="str">
        <f>Application!B720</f>
        <v>1 Bedroom</v>
      </c>
      <c r="B6" s="1082">
        <f>Application!G720</f>
        <v>16</v>
      </c>
      <c r="C6" s="1162"/>
      <c r="D6" s="428">
        <f>Application!O720</f>
        <v>1194</v>
      </c>
      <c r="E6" s="429"/>
      <c r="F6" s="1083"/>
      <c r="G6" s="428">
        <f t="shared" si="2"/>
        <v>0</v>
      </c>
      <c r="H6" s="429"/>
      <c r="I6" s="428" t="str">
        <f t="shared" si="0"/>
        <v/>
      </c>
      <c r="J6" s="428" t="str">
        <f t="shared" si="1"/>
        <v/>
      </c>
      <c r="K6" s="204"/>
      <c r="L6" s="305"/>
    </row>
    <row r="7" spans="1:12">
      <c r="A7" s="428" t="str">
        <f>Application!B721</f>
        <v>1 Bedroom</v>
      </c>
      <c r="B7" s="1082">
        <f>Application!G721</f>
        <v>27</v>
      </c>
      <c r="C7" s="1162"/>
      <c r="D7" s="428">
        <f>Application!O721</f>
        <v>1435</v>
      </c>
      <c r="E7" s="429"/>
      <c r="F7" s="1083"/>
      <c r="G7" s="428">
        <f t="shared" si="2"/>
        <v>0</v>
      </c>
      <c r="H7" s="429"/>
      <c r="I7" s="428" t="str">
        <f t="shared" si="0"/>
        <v/>
      </c>
      <c r="J7" s="428" t="str">
        <f t="shared" si="1"/>
        <v/>
      </c>
      <c r="K7" s="204"/>
      <c r="L7" s="305"/>
    </row>
    <row r="8" spans="1:12">
      <c r="A8" s="428" t="str">
        <f>Application!B722</f>
        <v>1 Bedroom</v>
      </c>
      <c r="B8" s="1082">
        <f>Application!G722</f>
        <v>27</v>
      </c>
      <c r="C8" s="1162"/>
      <c r="D8" s="428">
        <f>Application!O722</f>
        <v>1676</v>
      </c>
      <c r="E8" s="429"/>
      <c r="F8" s="1083"/>
      <c r="G8" s="428">
        <f t="shared" si="2"/>
        <v>0</v>
      </c>
      <c r="H8" s="429"/>
      <c r="I8" s="428" t="str">
        <f t="shared" si="0"/>
        <v/>
      </c>
      <c r="J8" s="428" t="str">
        <f t="shared" si="1"/>
        <v/>
      </c>
      <c r="K8" s="204"/>
      <c r="L8" s="305"/>
    </row>
    <row r="9" spans="1:12">
      <c r="A9" s="428" t="str">
        <f>Application!B723</f>
        <v>2 Bedrooms</v>
      </c>
      <c r="B9" s="1082">
        <f>Application!G723</f>
        <v>15</v>
      </c>
      <c r="C9" s="1162"/>
      <c r="D9" s="428">
        <f>Application!O723</f>
        <v>856</v>
      </c>
      <c r="E9" s="429"/>
      <c r="F9" s="1083"/>
      <c r="G9" s="428">
        <f t="shared" si="2"/>
        <v>0</v>
      </c>
      <c r="H9" s="429"/>
      <c r="I9" s="428" t="str">
        <f t="shared" si="0"/>
        <v/>
      </c>
      <c r="J9" s="428" t="str">
        <f t="shared" si="1"/>
        <v/>
      </c>
      <c r="K9" s="204"/>
      <c r="L9" s="305"/>
    </row>
    <row r="10" spans="1:12">
      <c r="A10" s="428" t="str">
        <f>Application!B724</f>
        <v>2 Bedrooms</v>
      </c>
      <c r="B10" s="1082">
        <f>Application!G724</f>
        <v>4</v>
      </c>
      <c r="C10" s="1162" t="s">
        <v>385</v>
      </c>
      <c r="D10" s="428">
        <f>Application!O724</f>
        <v>856</v>
      </c>
      <c r="E10" s="429"/>
      <c r="F10" s="1083">
        <v>2900</v>
      </c>
      <c r="G10" s="428">
        <f t="shared" si="2"/>
        <v>11600</v>
      </c>
      <c r="H10" s="429"/>
      <c r="I10" s="428">
        <f t="shared" si="0"/>
        <v>2044</v>
      </c>
      <c r="J10" s="428">
        <f t="shared" si="1"/>
        <v>8176</v>
      </c>
      <c r="K10" s="204"/>
      <c r="L10" s="305"/>
    </row>
    <row r="11" spans="1:12">
      <c r="A11" s="428" t="str">
        <f>Application!B725</f>
        <v>2 Bedrooms</v>
      </c>
      <c r="B11" s="1082">
        <f>Application!G725</f>
        <v>33</v>
      </c>
      <c r="C11" s="1162"/>
      <c r="D11" s="428">
        <f>Application!O725</f>
        <v>1435</v>
      </c>
      <c r="E11" s="429"/>
      <c r="F11" s="1083"/>
      <c r="G11" s="428">
        <f t="shared" si="2"/>
        <v>0</v>
      </c>
      <c r="H11" s="429"/>
      <c r="I11" s="428" t="str">
        <f t="shared" si="0"/>
        <v/>
      </c>
      <c r="J11" s="428" t="str">
        <f t="shared" si="1"/>
        <v/>
      </c>
      <c r="K11" s="204"/>
      <c r="L11" s="305"/>
    </row>
    <row r="12" spans="1:12">
      <c r="A12" s="428" t="str">
        <f>Application!B726</f>
        <v>2 Bedrooms</v>
      </c>
      <c r="B12" s="1082">
        <f>Application!G726</f>
        <v>36</v>
      </c>
      <c r="C12" s="1162"/>
      <c r="D12" s="428">
        <f>Application!O726</f>
        <v>1725</v>
      </c>
      <c r="E12" s="429"/>
      <c r="F12" s="1083"/>
      <c r="G12" s="428">
        <f t="shared" si="2"/>
        <v>0</v>
      </c>
      <c r="H12" s="429"/>
      <c r="I12" s="428" t="str">
        <f t="shared" si="0"/>
        <v/>
      </c>
      <c r="J12" s="428" t="str">
        <f t="shared" si="1"/>
        <v/>
      </c>
      <c r="K12" s="204"/>
      <c r="L12" s="305"/>
    </row>
    <row r="13" spans="1:12">
      <c r="A13" s="428" t="str">
        <f>Application!B727</f>
        <v>2 Bedrooms</v>
      </c>
      <c r="B13" s="1082">
        <f>Application!G727</f>
        <v>75</v>
      </c>
      <c r="C13" s="1162"/>
      <c r="D13" s="428">
        <f>Application!O727</f>
        <v>2014</v>
      </c>
      <c r="E13" s="429"/>
      <c r="F13" s="1083"/>
      <c r="G13" s="428">
        <f t="shared" si="2"/>
        <v>0</v>
      </c>
      <c r="H13" s="429"/>
      <c r="I13" s="428" t="str">
        <f t="shared" si="0"/>
        <v/>
      </c>
      <c r="J13" s="428" t="str">
        <f t="shared" si="1"/>
        <v/>
      </c>
      <c r="K13" s="204"/>
      <c r="L13" s="305"/>
    </row>
    <row r="14" spans="1:12">
      <c r="A14" s="428" t="str">
        <f>Application!B728</f>
        <v>3 Bedrooms</v>
      </c>
      <c r="B14" s="1082">
        <f>Application!G728</f>
        <v>6</v>
      </c>
      <c r="C14" s="1162"/>
      <c r="D14" s="428">
        <f>Application!O728</f>
        <v>991</v>
      </c>
      <c r="E14" s="429"/>
      <c r="F14" s="1083"/>
      <c r="G14" s="428">
        <f t="shared" si="2"/>
        <v>0</v>
      </c>
      <c r="H14" s="429"/>
      <c r="I14" s="428" t="str">
        <f t="shared" si="0"/>
        <v/>
      </c>
      <c r="J14" s="428" t="str">
        <f t="shared" si="1"/>
        <v/>
      </c>
      <c r="K14" s="204"/>
      <c r="L14" s="305"/>
    </row>
    <row r="15" spans="1:12">
      <c r="A15" s="428" t="str">
        <f>Application!B729</f>
        <v>3 Bedrooms</v>
      </c>
      <c r="B15" s="1082">
        <f>Application!G729</f>
        <v>2</v>
      </c>
      <c r="C15" s="1162" t="s">
        <v>385</v>
      </c>
      <c r="D15" s="428">
        <f>Application!O729</f>
        <v>991</v>
      </c>
      <c r="E15" s="429"/>
      <c r="F15" s="1083">
        <v>3930</v>
      </c>
      <c r="G15" s="428">
        <f t="shared" si="2"/>
        <v>7860</v>
      </c>
      <c r="H15" s="429"/>
      <c r="I15" s="428">
        <f t="shared" si="0"/>
        <v>2939</v>
      </c>
      <c r="J15" s="428">
        <f t="shared" si="1"/>
        <v>5878</v>
      </c>
      <c r="K15" s="204"/>
      <c r="L15" s="305"/>
    </row>
    <row r="16" spans="1:12">
      <c r="A16" s="428" t="str">
        <f>Application!B730</f>
        <v>3 Bedrooms</v>
      </c>
      <c r="B16" s="1082">
        <f>Application!G730</f>
        <v>8</v>
      </c>
      <c r="C16" s="1162"/>
      <c r="D16" s="428">
        <f>Application!O730</f>
        <v>1659</v>
      </c>
      <c r="E16" s="429"/>
      <c r="F16" s="1083"/>
      <c r="G16" s="428">
        <f t="shared" si="2"/>
        <v>0</v>
      </c>
      <c r="H16" s="429"/>
      <c r="I16" s="428" t="str">
        <f t="shared" si="0"/>
        <v/>
      </c>
      <c r="J16" s="428" t="str">
        <f t="shared" si="1"/>
        <v/>
      </c>
      <c r="K16" s="204"/>
      <c r="L16" s="305"/>
    </row>
    <row r="17" spans="1:12">
      <c r="A17" s="428" t="str">
        <f>Application!B731</f>
        <v>3 Bedrooms</v>
      </c>
      <c r="B17" s="1082">
        <f>Application!G731</f>
        <v>8</v>
      </c>
      <c r="C17" s="1162"/>
      <c r="D17" s="428">
        <f>Application!O731</f>
        <v>1994</v>
      </c>
      <c r="E17" s="429"/>
      <c r="F17" s="1083"/>
      <c r="G17" s="428">
        <f t="shared" si="2"/>
        <v>0</v>
      </c>
      <c r="H17" s="429"/>
      <c r="I17" s="428" t="str">
        <f t="shared" si="0"/>
        <v/>
      </c>
      <c r="J17" s="428" t="str">
        <f t="shared" si="1"/>
        <v/>
      </c>
      <c r="K17" s="204"/>
      <c r="L17" s="305"/>
    </row>
    <row r="18" spans="1:12">
      <c r="A18" s="428" t="str">
        <f>Application!B732</f>
        <v>3 Bedrooms</v>
      </c>
      <c r="B18" s="1082">
        <f>Application!G732</f>
        <v>57</v>
      </c>
      <c r="C18" s="1162"/>
      <c r="D18" s="428">
        <f>Application!O732</f>
        <v>2328</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554695</v>
      </c>
      <c r="E40" s="429"/>
      <c r="F40" s="429"/>
      <c r="G40" s="432">
        <f>SUM(G4:G38)*12</f>
        <v>289680</v>
      </c>
      <c r="H40" s="433"/>
      <c r="I40" s="431"/>
      <c r="J40" s="432">
        <f>SUM(J4:J38)*12</f>
        <v>207744</v>
      </c>
      <c r="K40" s="204"/>
      <c r="L40" s="306"/>
    </row>
    <row r="41" spans="1:12" ht="15">
      <c r="A41" s="430"/>
      <c r="B41" s="431"/>
      <c r="C41" s="431"/>
      <c r="D41" s="433"/>
      <c r="E41" s="429"/>
      <c r="F41" s="429"/>
      <c r="G41" s="433"/>
      <c r="H41" s="433"/>
      <c r="I41" s="431"/>
      <c r="J41" s="433"/>
      <c r="K41" s="204"/>
      <c r="L41" s="306"/>
    </row>
    <row r="42" spans="1:12">
      <c r="A42" s="304" t="s">
        <v>2257</v>
      </c>
    </row>
    <row r="43" spans="1:12">
      <c r="A43" s="2686" t="s">
        <v>2496</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2258</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3" workbookViewId="0">
      <selection activeCell="E27" sqref="E2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6746340</v>
      </c>
      <c r="G4" s="219">
        <f>E4*$C$4</f>
        <v>6914998.4999999991</v>
      </c>
      <c r="I4" s="219">
        <f>G4*$C$4</f>
        <v>7087873.4624999985</v>
      </c>
      <c r="K4" s="219">
        <f>I4*$C$4</f>
        <v>7265070.2990624979</v>
      </c>
      <c r="M4" s="219">
        <f>K4*$C$4</f>
        <v>7446697.0565390596</v>
      </c>
      <c r="O4" s="219">
        <f>M4*$C$4</f>
        <v>7632864.4829525352</v>
      </c>
      <c r="Q4" s="219">
        <f>O4*$C$4</f>
        <v>7823686.0950263478</v>
      </c>
      <c r="S4" s="219">
        <f>Q4*$C$4</f>
        <v>8019278.2474020058</v>
      </c>
      <c r="U4" s="219">
        <f>S4*$C$4</f>
        <v>8219760.2035870552</v>
      </c>
      <c r="W4" s="219">
        <f>U4*$C$4</f>
        <v>8425254.2086767312</v>
      </c>
      <c r="Y4" s="219">
        <f>W4*$C$4</f>
        <v>8635885.5638936479</v>
      </c>
      <c r="AA4" s="219">
        <f>Y4*$C$4</f>
        <v>8851782.7029909883</v>
      </c>
      <c r="AC4" s="219">
        <f>AA4*$C$4</f>
        <v>9073077.2705657631</v>
      </c>
      <c r="AE4" s="219">
        <f>AC4*$C$4</f>
        <v>9299904.2023299057</v>
      </c>
      <c r="AG4" s="219">
        <f>AE4*$C$4</f>
        <v>9532401.8073881529</v>
      </c>
    </row>
    <row r="5" spans="1:34" s="210" customFormat="1" ht="14.25">
      <c r="B5" s="210" t="s">
        <v>839</v>
      </c>
      <c r="C5" s="238">
        <f>IF(Application!$D$211="Special Needs",(((0.1*Application!$T$212)+(0.05*(1-Application!$T$212)))),0.05)</f>
        <v>0.05</v>
      </c>
      <c r="E5" s="221">
        <f>-E4*$C$5</f>
        <v>-337317</v>
      </c>
      <c r="F5" s="221"/>
      <c r="G5" s="221">
        <f>-G4*$C$5</f>
        <v>-345749.92499999999</v>
      </c>
      <c r="H5" s="221"/>
      <c r="I5" s="221">
        <f>-I4*$C$5</f>
        <v>-354393.67312499997</v>
      </c>
      <c r="J5" s="221"/>
      <c r="K5" s="221">
        <f>-K4*$C$5</f>
        <v>-363253.51495312492</v>
      </c>
      <c r="L5" s="221"/>
      <c r="M5" s="221">
        <f>-M4*$C$5</f>
        <v>-372334.85282695299</v>
      </c>
      <c r="N5" s="221"/>
      <c r="O5" s="221">
        <f>-O4*$C$5</f>
        <v>-381643.22414762678</v>
      </c>
      <c r="P5" s="221"/>
      <c r="Q5" s="221">
        <f>-Q4*$C$5</f>
        <v>-391184.30475131742</v>
      </c>
      <c r="R5" s="221"/>
      <c r="S5" s="221">
        <f>-S4*$C$5</f>
        <v>-400963.91237010033</v>
      </c>
      <c r="T5" s="221"/>
      <c r="U5" s="221">
        <f>-U4*$C$5</f>
        <v>-410988.01017935277</v>
      </c>
      <c r="V5" s="221"/>
      <c r="W5" s="221">
        <f>-W4*$C$5</f>
        <v>-421262.71043383656</v>
      </c>
      <c r="X5" s="221"/>
      <c r="Y5" s="221">
        <f>-Y4*$C$5</f>
        <v>-431794.27819468244</v>
      </c>
      <c r="Z5" s="221"/>
      <c r="AA5" s="221">
        <f>-AA4*$C$5</f>
        <v>-442589.13514954946</v>
      </c>
      <c r="AB5" s="221"/>
      <c r="AC5" s="221">
        <f>-AC4*$C$5</f>
        <v>-453653.8635282882</v>
      </c>
      <c r="AD5" s="221"/>
      <c r="AE5" s="221">
        <f>-AE4*$C$5</f>
        <v>-464995.21011649532</v>
      </c>
      <c r="AF5" s="221"/>
      <c r="AG5" s="221">
        <f>-AG4*$C$5</f>
        <v>-476620.09036940767</v>
      </c>
    </row>
    <row r="6" spans="1:34" s="210" customFormat="1" ht="14.25">
      <c r="A6" s="210" t="s">
        <v>837</v>
      </c>
      <c r="C6" s="237">
        <v>1.0249999999999999</v>
      </c>
      <c r="E6" s="222">
        <f>Application!Z809</f>
        <v>207744</v>
      </c>
      <c r="F6" s="222"/>
      <c r="G6" s="222">
        <f>E6*$C$6</f>
        <v>212937.59999999998</v>
      </c>
      <c r="H6" s="222"/>
      <c r="I6" s="222">
        <f>G6*$C$6</f>
        <v>218261.03999999995</v>
      </c>
      <c r="J6" s="222"/>
      <c r="K6" s="222">
        <f>I6*$C$6</f>
        <v>223717.56599999993</v>
      </c>
      <c r="L6" s="222"/>
      <c r="M6" s="222">
        <f>K6*$C$6</f>
        <v>229310.50514999992</v>
      </c>
      <c r="N6" s="222"/>
      <c r="O6" s="222">
        <f>M6*$C$6</f>
        <v>235043.2677787499</v>
      </c>
      <c r="P6" s="222"/>
      <c r="Q6" s="222">
        <f>O6*$C$6</f>
        <v>240919.34947321864</v>
      </c>
      <c r="R6" s="222"/>
      <c r="S6" s="222">
        <f>Q6*$C$6</f>
        <v>246942.33321004908</v>
      </c>
      <c r="T6" s="222"/>
      <c r="U6" s="222">
        <f>S6*$C$6</f>
        <v>253115.89154030028</v>
      </c>
      <c r="V6" s="222"/>
      <c r="W6" s="222">
        <f>U6*$C$6</f>
        <v>259443.78882880777</v>
      </c>
      <c r="X6" s="222"/>
      <c r="Y6" s="222">
        <f>W6*$C$6</f>
        <v>265929.88354952796</v>
      </c>
      <c r="Z6" s="222"/>
      <c r="AA6" s="222">
        <f>Y6*$C$6</f>
        <v>272578.13063826616</v>
      </c>
      <c r="AB6" s="222"/>
      <c r="AC6" s="222">
        <f>AA6*$C$6</f>
        <v>279392.58390422276</v>
      </c>
      <c r="AD6" s="222"/>
      <c r="AE6" s="222">
        <f>AC6*$C$6</f>
        <v>286377.39850182831</v>
      </c>
      <c r="AF6" s="222"/>
      <c r="AG6" s="222">
        <f>AE6*$C$6</f>
        <v>293536.83346437401</v>
      </c>
    </row>
    <row r="7" spans="1:34" s="210" customFormat="1" ht="14.25">
      <c r="B7" s="210" t="s">
        <v>839</v>
      </c>
      <c r="C7" s="238">
        <f>IF(Application!$D$211="Special Needs",(((0.1*Application!$T$212)+(0.05*(1-Application!$T$212)))),0.05)</f>
        <v>0.05</v>
      </c>
      <c r="E7" s="221">
        <f>-E6*$C$7</f>
        <v>-10387.200000000001</v>
      </c>
      <c r="F7" s="221"/>
      <c r="G7" s="221">
        <f>-G6*$C$7</f>
        <v>-10646.88</v>
      </c>
      <c r="H7" s="221"/>
      <c r="I7" s="221">
        <f>-I6*$C$7</f>
        <v>-10913.051999999998</v>
      </c>
      <c r="J7" s="221"/>
      <c r="K7" s="221">
        <f>-K6*$C$7</f>
        <v>-11185.878299999997</v>
      </c>
      <c r="L7" s="221"/>
      <c r="M7" s="221">
        <f>-M6*$C$7</f>
        <v>-11465.525257499998</v>
      </c>
      <c r="N7" s="221"/>
      <c r="O7" s="221">
        <f>-O6*$C$7</f>
        <v>-11752.163388937495</v>
      </c>
      <c r="P7" s="221"/>
      <c r="Q7" s="221">
        <f>-Q6*$C$7</f>
        <v>-12045.967473660932</v>
      </c>
      <c r="R7" s="221"/>
      <c r="S7" s="221">
        <f>-S6*$C$7</f>
        <v>-12347.116660502455</v>
      </c>
      <c r="T7" s="221"/>
      <c r="U7" s="221">
        <f>-U6*$C$7</f>
        <v>-12655.794577015015</v>
      </c>
      <c r="V7" s="221"/>
      <c r="W7" s="221">
        <f>-W6*$C$7</f>
        <v>-12972.189441440389</v>
      </c>
      <c r="X7" s="221"/>
      <c r="Y7" s="221">
        <f>-Y6*$C$7</f>
        <v>-13296.494177476399</v>
      </c>
      <c r="Z7" s="221"/>
      <c r="AA7" s="221">
        <f>-AA6*$C$7</f>
        <v>-13628.906531913308</v>
      </c>
      <c r="AB7" s="221"/>
      <c r="AC7" s="221">
        <f>-AC6*$C$7</f>
        <v>-13969.629195211139</v>
      </c>
      <c r="AD7" s="221"/>
      <c r="AE7" s="221">
        <f>-AE6*$C$7</f>
        <v>-14318.869925091416</v>
      </c>
      <c r="AF7" s="221"/>
      <c r="AG7" s="221">
        <f>-AG6*$C$7</f>
        <v>-14676.841673218702</v>
      </c>
    </row>
    <row r="8" spans="1:34" s="210" customFormat="1" ht="14.25">
      <c r="A8" s="210" t="s">
        <v>288</v>
      </c>
      <c r="C8" s="237">
        <v>1.0249999999999999</v>
      </c>
      <c r="E8" s="222">
        <f>Application!Z817</f>
        <v>155520</v>
      </c>
      <c r="F8" s="222"/>
      <c r="G8" s="222">
        <f>E8*$C$8</f>
        <v>159408</v>
      </c>
      <c r="H8" s="222"/>
      <c r="I8" s="222">
        <f>G8*$C$8</f>
        <v>163393.19999999998</v>
      </c>
      <c r="J8" s="222"/>
      <c r="K8" s="222">
        <f>I8*$C$8</f>
        <v>167478.02999999997</v>
      </c>
      <c r="L8" s="222"/>
      <c r="M8" s="222">
        <f>K8*$C$8</f>
        <v>171664.98074999996</v>
      </c>
      <c r="N8" s="222"/>
      <c r="O8" s="222">
        <f>M8*$C$8</f>
        <v>175956.60526874993</v>
      </c>
      <c r="P8" s="222"/>
      <c r="Q8" s="222">
        <f>O8*$C$8</f>
        <v>180355.52040046867</v>
      </c>
      <c r="R8" s="222"/>
      <c r="S8" s="222">
        <f>Q8*$C$8</f>
        <v>184864.40841048036</v>
      </c>
      <c r="T8" s="222"/>
      <c r="U8" s="222">
        <f>S8*$C$8</f>
        <v>189486.01862074237</v>
      </c>
      <c r="V8" s="222"/>
      <c r="W8" s="222">
        <f>U8*$C$8</f>
        <v>194223.16908626092</v>
      </c>
      <c r="X8" s="222"/>
      <c r="Y8" s="222">
        <f>W8*$C$8</f>
        <v>199078.74831341743</v>
      </c>
      <c r="Z8" s="222"/>
      <c r="AA8" s="222">
        <f>Y8*$C$8</f>
        <v>204055.71702125284</v>
      </c>
      <c r="AB8" s="222"/>
      <c r="AC8" s="222">
        <f>AA8*$C$8</f>
        <v>209157.10994678416</v>
      </c>
      <c r="AD8" s="222"/>
      <c r="AE8" s="222">
        <f>AC8*$C$8</f>
        <v>214386.03769545374</v>
      </c>
      <c r="AF8" s="222"/>
      <c r="AG8" s="222">
        <f>AE8*$C$8</f>
        <v>219745.68863784007</v>
      </c>
    </row>
    <row r="9" spans="1:34" s="210" customFormat="1" ht="14.25">
      <c r="B9" s="210" t="s">
        <v>839</v>
      </c>
      <c r="C9" s="238">
        <f>IF(Application!$D$211="Special Needs",(((0.1*Application!$T$212)+(0.05*(1-Application!$T$212)))),0.05)</f>
        <v>0.05</v>
      </c>
      <c r="E9" s="221">
        <f>-E8*$C$9</f>
        <v>-7776</v>
      </c>
      <c r="F9" s="221"/>
      <c r="G9" s="221">
        <f>-G8*$C$9</f>
        <v>-7970.4000000000005</v>
      </c>
      <c r="H9" s="221"/>
      <c r="I9" s="221">
        <f>-I8*$C$9</f>
        <v>-8169.66</v>
      </c>
      <c r="J9" s="221"/>
      <c r="K9" s="221">
        <f>-K8*$C$9</f>
        <v>-8373.9014999999981</v>
      </c>
      <c r="L9" s="221"/>
      <c r="M9" s="221">
        <f>-M8*$C$9</f>
        <v>-8583.2490374999979</v>
      </c>
      <c r="N9" s="221"/>
      <c r="O9" s="221">
        <f>-O8*$C$9</f>
        <v>-8797.8302634374977</v>
      </c>
      <c r="P9" s="221"/>
      <c r="Q9" s="221">
        <f>-Q8*$C$9</f>
        <v>-9017.7760200234334</v>
      </c>
      <c r="R9" s="221"/>
      <c r="S9" s="221">
        <f>-S8*$C$9</f>
        <v>-9243.2204205240178</v>
      </c>
      <c r="T9" s="221"/>
      <c r="U9" s="221">
        <f>-U8*$C$9</f>
        <v>-9474.3009310371181</v>
      </c>
      <c r="V9" s="221"/>
      <c r="W9" s="221">
        <f>-W8*$C$9</f>
        <v>-9711.1584543130466</v>
      </c>
      <c r="X9" s="221"/>
      <c r="Y9" s="221">
        <f>-Y8*$C$9</f>
        <v>-9953.9374156708727</v>
      </c>
      <c r="Z9" s="221"/>
      <c r="AA9" s="221">
        <f>-AA8*$C$9</f>
        <v>-10202.785851062643</v>
      </c>
      <c r="AB9" s="221"/>
      <c r="AC9" s="221">
        <f>-AC8*$C$9</f>
        <v>-10457.855497339209</v>
      </c>
      <c r="AD9" s="221"/>
      <c r="AE9" s="221">
        <f>-AE8*$C$9</f>
        <v>-10719.301884772687</v>
      </c>
      <c r="AF9" s="221"/>
      <c r="AG9" s="221">
        <f>-AG8*$C$9</f>
        <v>-10987.284431892003</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6754123.7999999998</v>
      </c>
      <c r="G11" s="223">
        <f>SUM(G4:G10)</f>
        <v>6922976.8949999986</v>
      </c>
      <c r="I11" s="223">
        <f>SUM(I4:I10)</f>
        <v>7096051.3173749987</v>
      </c>
      <c r="K11" s="223">
        <f>SUM(K4:K10)</f>
        <v>7273452.6003093729</v>
      </c>
      <c r="M11" s="223">
        <f>SUM(M4:M10)</f>
        <v>7455288.915317107</v>
      </c>
      <c r="O11" s="223">
        <f>SUM(O4:O10)</f>
        <v>7641671.1382000325</v>
      </c>
      <c r="Q11" s="223">
        <f>SUM(Q4:Q10)</f>
        <v>7832712.9166550338</v>
      </c>
      <c r="S11" s="223">
        <f>SUM(S4:S10)</f>
        <v>8028530.7395714074</v>
      </c>
      <c r="U11" s="223">
        <f>SUM(U4:U10)</f>
        <v>8229244.0080606928</v>
      </c>
      <c r="W11" s="223">
        <f>SUM(W4:W10)</f>
        <v>8434975.1082622092</v>
      </c>
      <c r="Y11" s="223">
        <f>SUM(Y4:Y10)</f>
        <v>8645849.4859687649</v>
      </c>
      <c r="AA11" s="223">
        <f>SUM(AA4:AA10)</f>
        <v>8861995.7231179811</v>
      </c>
      <c r="AC11" s="223">
        <f>SUM(AC4:AC10)</f>
        <v>9083545.6161959302</v>
      </c>
      <c r="AE11" s="223">
        <f>SUM(AE4:AE10)</f>
        <v>9310634.2566008307</v>
      </c>
      <c r="AG11" s="223">
        <f>SUM(AG4:AG10)</f>
        <v>9543400.1130158491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126036</v>
      </c>
      <c r="G15" s="219">
        <f>E15*$C$14</f>
        <v>130447.26</v>
      </c>
      <c r="I15" s="219">
        <f>G15*$C$14</f>
        <v>135012.91409999999</v>
      </c>
      <c r="K15" s="219">
        <f>I15*$C$14</f>
        <v>139738.36609349999</v>
      </c>
      <c r="M15" s="219">
        <f>K15*$C$14</f>
        <v>144629.20890677249</v>
      </c>
      <c r="O15" s="219">
        <f>M15*$C$14</f>
        <v>149691.23121850952</v>
      </c>
      <c r="Q15" s="219">
        <f>O15*$C$14</f>
        <v>154930.42431115735</v>
      </c>
      <c r="S15" s="219">
        <f>Q15*$C$14</f>
        <v>160352.98916204783</v>
      </c>
      <c r="U15" s="219">
        <f>S15*$C$14</f>
        <v>165965.34378271949</v>
      </c>
      <c r="W15" s="219">
        <f>U15*$C$14</f>
        <v>171774.13081511465</v>
      </c>
      <c r="Y15" s="219">
        <f>W15*$C$14</f>
        <v>177786.22539364366</v>
      </c>
      <c r="AA15" s="219">
        <f>Y15*$C$14</f>
        <v>184008.74328242117</v>
      </c>
      <c r="AC15" s="219">
        <f>AA15*$C$14</f>
        <v>190449.0492973059</v>
      </c>
      <c r="AE15" s="219">
        <f>AC15*$C$14</f>
        <v>197114.76602271158</v>
      </c>
      <c r="AG15" s="219">
        <f>AE15*$C$14</f>
        <v>204013.78283350647</v>
      </c>
    </row>
    <row r="16" spans="1:34" s="210" customFormat="1" ht="14.25">
      <c r="A16" s="210" t="s">
        <v>344</v>
      </c>
      <c r="C16" s="233"/>
      <c r="E16" s="222">
        <f>Application!W849</f>
        <v>202624</v>
      </c>
      <c r="F16" s="222"/>
      <c r="G16" s="222">
        <f t="shared" ref="G16:AG21" si="0">E16*$C$14</f>
        <v>209715.84</v>
      </c>
      <c r="H16" s="222"/>
      <c r="I16" s="222">
        <f t="shared" si="0"/>
        <v>217055.89439999999</v>
      </c>
      <c r="J16" s="222"/>
      <c r="K16" s="222">
        <f t="shared" si="0"/>
        <v>224652.85070399998</v>
      </c>
      <c r="L16" s="222"/>
      <c r="M16" s="222">
        <f t="shared" si="0"/>
        <v>232515.70047863998</v>
      </c>
      <c r="N16" s="222"/>
      <c r="O16" s="222">
        <f t="shared" si="0"/>
        <v>240653.74999539237</v>
      </c>
      <c r="P16" s="222"/>
      <c r="Q16" s="222">
        <f t="shared" si="0"/>
        <v>249076.63124523108</v>
      </c>
      <c r="R16" s="222"/>
      <c r="S16" s="222">
        <f t="shared" si="0"/>
        <v>257794.31333881416</v>
      </c>
      <c r="T16" s="222"/>
      <c r="U16" s="222">
        <f t="shared" si="0"/>
        <v>266817.11430567264</v>
      </c>
      <c r="V16" s="222"/>
      <c r="W16" s="222">
        <f t="shared" si="0"/>
        <v>276155.71330637118</v>
      </c>
      <c r="X16" s="222"/>
      <c r="Y16" s="222">
        <f t="shared" si="0"/>
        <v>285821.16327209416</v>
      </c>
      <c r="Z16" s="222"/>
      <c r="AA16" s="222">
        <f t="shared" si="0"/>
        <v>295824.90398661746</v>
      </c>
      <c r="AB16" s="222"/>
      <c r="AC16" s="222">
        <f t="shared" si="0"/>
        <v>306178.77562614903</v>
      </c>
      <c r="AD16" s="222"/>
      <c r="AE16" s="222">
        <f t="shared" si="0"/>
        <v>316895.03277306422</v>
      </c>
      <c r="AF16" s="222"/>
      <c r="AG16" s="222">
        <f t="shared" si="0"/>
        <v>327986.35892012145</v>
      </c>
    </row>
    <row r="17" spans="1:33" s="210" customFormat="1" ht="14.25">
      <c r="A17" s="210" t="s">
        <v>562</v>
      </c>
      <c r="C17" s="233"/>
      <c r="E17" s="222">
        <f>Application!W855</f>
        <v>354456</v>
      </c>
      <c r="F17" s="222"/>
      <c r="G17" s="222">
        <f t="shared" si="0"/>
        <v>366861.95999999996</v>
      </c>
      <c r="H17" s="222"/>
      <c r="I17" s="222">
        <f t="shared" si="0"/>
        <v>379702.12859999994</v>
      </c>
      <c r="J17" s="222"/>
      <c r="K17" s="222">
        <f t="shared" si="0"/>
        <v>392991.70310099993</v>
      </c>
      <c r="L17" s="222"/>
      <c r="M17" s="222">
        <f t="shared" si="0"/>
        <v>406746.41270953492</v>
      </c>
      <c r="N17" s="222"/>
      <c r="O17" s="222">
        <f t="shared" si="0"/>
        <v>420982.53715436859</v>
      </c>
      <c r="P17" s="222"/>
      <c r="Q17" s="222">
        <f t="shared" si="0"/>
        <v>435716.92595477146</v>
      </c>
      <c r="R17" s="222"/>
      <c r="S17" s="222">
        <f t="shared" si="0"/>
        <v>450967.01836318843</v>
      </c>
      <c r="T17" s="222"/>
      <c r="U17" s="222">
        <f t="shared" si="0"/>
        <v>466750.86400589999</v>
      </c>
      <c r="V17" s="222"/>
      <c r="W17" s="222">
        <f t="shared" si="0"/>
        <v>483087.14424610644</v>
      </c>
      <c r="X17" s="222"/>
      <c r="Y17" s="222">
        <f t="shared" si="0"/>
        <v>499995.19429472013</v>
      </c>
      <c r="Z17" s="222"/>
      <c r="AA17" s="222">
        <f t="shared" si="0"/>
        <v>517495.02609503531</v>
      </c>
      <c r="AB17" s="222"/>
      <c r="AC17" s="222">
        <f t="shared" si="0"/>
        <v>535607.35200836149</v>
      </c>
      <c r="AD17" s="222"/>
      <c r="AE17" s="222">
        <f t="shared" si="0"/>
        <v>554353.60932865413</v>
      </c>
      <c r="AF17" s="222"/>
      <c r="AG17" s="222">
        <f t="shared" si="0"/>
        <v>573755.98565515701</v>
      </c>
    </row>
    <row r="18" spans="1:33" s="210" customFormat="1" ht="14.25">
      <c r="A18" s="210" t="s">
        <v>843</v>
      </c>
      <c r="C18" s="233"/>
      <c r="E18" s="222">
        <f>Application!W862</f>
        <v>588708</v>
      </c>
      <c r="F18" s="222"/>
      <c r="G18" s="222">
        <f t="shared" si="0"/>
        <v>609312.77999999991</v>
      </c>
      <c r="H18" s="222"/>
      <c r="I18" s="222">
        <f t="shared" si="0"/>
        <v>630638.72729999991</v>
      </c>
      <c r="J18" s="222"/>
      <c r="K18" s="222">
        <f t="shared" si="0"/>
        <v>652711.08275549987</v>
      </c>
      <c r="L18" s="222"/>
      <c r="M18" s="222">
        <f t="shared" si="0"/>
        <v>675555.97065194231</v>
      </c>
      <c r="N18" s="222"/>
      <c r="O18" s="222">
        <f t="shared" si="0"/>
        <v>699200.42962476017</v>
      </c>
      <c r="P18" s="222"/>
      <c r="Q18" s="222">
        <f t="shared" si="0"/>
        <v>723672.44466162671</v>
      </c>
      <c r="R18" s="222"/>
      <c r="S18" s="222">
        <f t="shared" si="0"/>
        <v>749000.98022478353</v>
      </c>
      <c r="T18" s="222"/>
      <c r="U18" s="222">
        <f t="shared" si="0"/>
        <v>775216.01453265094</v>
      </c>
      <c r="V18" s="222"/>
      <c r="W18" s="222">
        <f t="shared" si="0"/>
        <v>802348.57504129363</v>
      </c>
      <c r="X18" s="222"/>
      <c r="Y18" s="222">
        <f t="shared" si="0"/>
        <v>830430.7751677389</v>
      </c>
      <c r="Z18" s="222"/>
      <c r="AA18" s="222">
        <f t="shared" si="0"/>
        <v>859495.85229860968</v>
      </c>
      <c r="AB18" s="222"/>
      <c r="AC18" s="222">
        <f t="shared" si="0"/>
        <v>889578.20712906099</v>
      </c>
      <c r="AD18" s="222"/>
      <c r="AE18" s="222">
        <f t="shared" si="0"/>
        <v>920713.4443785781</v>
      </c>
      <c r="AF18" s="222"/>
      <c r="AG18" s="222">
        <f t="shared" si="0"/>
        <v>952938.41493182827</v>
      </c>
    </row>
    <row r="19" spans="1:33" s="210" customFormat="1" ht="14.25">
      <c r="A19" s="210" t="s">
        <v>155</v>
      </c>
      <c r="C19" s="233"/>
      <c r="E19" s="222">
        <f>Application!W863</f>
        <v>170100</v>
      </c>
      <c r="F19" s="222"/>
      <c r="G19" s="222">
        <f t="shared" si="0"/>
        <v>176053.5</v>
      </c>
      <c r="H19" s="222"/>
      <c r="I19" s="222">
        <f t="shared" si="0"/>
        <v>182215.3725</v>
      </c>
      <c r="J19" s="222"/>
      <c r="K19" s="222">
        <f t="shared" si="0"/>
        <v>188592.91053749999</v>
      </c>
      <c r="L19" s="222"/>
      <c r="M19" s="222">
        <f t="shared" si="0"/>
        <v>195193.66240631248</v>
      </c>
      <c r="N19" s="222"/>
      <c r="O19" s="222">
        <f t="shared" si="0"/>
        <v>202025.4405905334</v>
      </c>
      <c r="P19" s="222"/>
      <c r="Q19" s="222">
        <f t="shared" si="0"/>
        <v>209096.33101120204</v>
      </c>
      <c r="R19" s="222"/>
      <c r="S19" s="222">
        <f t="shared" si="0"/>
        <v>216414.70259659408</v>
      </c>
      <c r="T19" s="222"/>
      <c r="U19" s="222">
        <f t="shared" si="0"/>
        <v>223989.21718747486</v>
      </c>
      <c r="V19" s="222"/>
      <c r="W19" s="222">
        <f t="shared" si="0"/>
        <v>231828.83978903646</v>
      </c>
      <c r="X19" s="222"/>
      <c r="Y19" s="222">
        <f t="shared" si="0"/>
        <v>239942.84918165271</v>
      </c>
      <c r="Z19" s="222"/>
      <c r="AA19" s="222">
        <f t="shared" si="0"/>
        <v>248340.84890301054</v>
      </c>
      <c r="AB19" s="222"/>
      <c r="AC19" s="222">
        <f t="shared" si="0"/>
        <v>257032.77861461588</v>
      </c>
      <c r="AD19" s="222"/>
      <c r="AE19" s="222">
        <f t="shared" si="0"/>
        <v>266028.92586612742</v>
      </c>
      <c r="AF19" s="222"/>
      <c r="AG19" s="222">
        <f t="shared" si="0"/>
        <v>275339.93827144185</v>
      </c>
    </row>
    <row r="20" spans="1:33" s="210" customFormat="1" ht="14.25">
      <c r="A20" s="210" t="s">
        <v>390</v>
      </c>
      <c r="C20" s="233"/>
      <c r="E20" s="222">
        <f>Application!W872</f>
        <v>231336</v>
      </c>
      <c r="F20" s="222"/>
      <c r="G20" s="222">
        <f t="shared" si="0"/>
        <v>239432.75999999998</v>
      </c>
      <c r="H20" s="222"/>
      <c r="I20" s="222">
        <f t="shared" si="0"/>
        <v>247812.90659999996</v>
      </c>
      <c r="J20" s="222"/>
      <c r="K20" s="222">
        <f t="shared" si="0"/>
        <v>256486.35833099994</v>
      </c>
      <c r="L20" s="222"/>
      <c r="M20" s="222">
        <f t="shared" si="0"/>
        <v>265463.38087258494</v>
      </c>
      <c r="N20" s="222"/>
      <c r="O20" s="222">
        <f t="shared" si="0"/>
        <v>274754.5992031254</v>
      </c>
      <c r="P20" s="222"/>
      <c r="Q20" s="222">
        <f t="shared" si="0"/>
        <v>284371.01017523475</v>
      </c>
      <c r="R20" s="222"/>
      <c r="S20" s="222">
        <f t="shared" si="0"/>
        <v>294323.99553136795</v>
      </c>
      <c r="T20" s="222"/>
      <c r="U20" s="222">
        <f t="shared" si="0"/>
        <v>304625.3353749658</v>
      </c>
      <c r="V20" s="222"/>
      <c r="W20" s="222">
        <f t="shared" si="0"/>
        <v>315287.22211308958</v>
      </c>
      <c r="X20" s="222"/>
      <c r="Y20" s="222">
        <f t="shared" si="0"/>
        <v>326322.27488704771</v>
      </c>
      <c r="Z20" s="222"/>
      <c r="AA20" s="222">
        <f t="shared" si="0"/>
        <v>337743.55450809433</v>
      </c>
      <c r="AB20" s="222"/>
      <c r="AC20" s="222">
        <f t="shared" si="0"/>
        <v>349564.57891587762</v>
      </c>
      <c r="AD20" s="222"/>
      <c r="AE20" s="222">
        <f t="shared" si="0"/>
        <v>361799.33917793329</v>
      </c>
      <c r="AF20" s="222"/>
      <c r="AG20" s="222">
        <f t="shared" si="0"/>
        <v>374462.3160491609</v>
      </c>
    </row>
    <row r="21" spans="1:33" s="210" customFormat="1" ht="14.25">
      <c r="A21" s="226" t="s">
        <v>963</v>
      </c>
      <c r="B21" s="226"/>
      <c r="C21" s="233"/>
      <c r="E21" s="232">
        <f>Application!W879</f>
        <v>42768</v>
      </c>
      <c r="F21" s="222"/>
      <c r="G21" s="232">
        <f t="shared" si="0"/>
        <v>44264.88</v>
      </c>
      <c r="H21" s="222"/>
      <c r="I21" s="232">
        <f t="shared" si="0"/>
        <v>45814.150799999996</v>
      </c>
      <c r="J21" s="222"/>
      <c r="K21" s="232">
        <f t="shared" si="0"/>
        <v>47417.646077999991</v>
      </c>
      <c r="L21" s="222"/>
      <c r="M21" s="232">
        <f t="shared" si="0"/>
        <v>49077.263690729989</v>
      </c>
      <c r="N21" s="222"/>
      <c r="O21" s="232">
        <f t="shared" si="0"/>
        <v>50794.967919905532</v>
      </c>
      <c r="P21" s="222"/>
      <c r="Q21" s="232">
        <f t="shared" si="0"/>
        <v>52572.791797102218</v>
      </c>
      <c r="R21" s="222"/>
      <c r="S21" s="232">
        <f t="shared" si="0"/>
        <v>54412.839510000791</v>
      </c>
      <c r="T21" s="222"/>
      <c r="U21" s="232">
        <f t="shared" si="0"/>
        <v>56317.288892850811</v>
      </c>
      <c r="V21" s="222"/>
      <c r="W21" s="232">
        <f t="shared" si="0"/>
        <v>58288.394004100584</v>
      </c>
      <c r="X21" s="222"/>
      <c r="Y21" s="232">
        <f t="shared" si="0"/>
        <v>60328.487794244102</v>
      </c>
      <c r="Z21" s="222"/>
      <c r="AA21" s="232">
        <f t="shared" si="0"/>
        <v>62439.984867042644</v>
      </c>
      <c r="AB21" s="222"/>
      <c r="AC21" s="232">
        <f t="shared" si="0"/>
        <v>64625.384337389129</v>
      </c>
      <c r="AD21" s="222"/>
      <c r="AE21" s="232">
        <f t="shared" si="0"/>
        <v>66887.272789197741</v>
      </c>
      <c r="AF21" s="222"/>
      <c r="AG21" s="232">
        <f t="shared" si="0"/>
        <v>69228.327336819653</v>
      </c>
    </row>
    <row r="22" spans="1:33" s="223" customFormat="1" ht="15">
      <c r="A22" s="223" t="s">
        <v>844</v>
      </c>
      <c r="C22" s="233"/>
      <c r="E22" s="223">
        <f>SUM(E15:E21)</f>
        <v>1716028</v>
      </c>
      <c r="G22" s="223">
        <f>SUM(G15:G21)</f>
        <v>1776088.9799999997</v>
      </c>
      <c r="I22" s="223">
        <f>SUM(I15:I21)</f>
        <v>1838252.0942999998</v>
      </c>
      <c r="K22" s="223">
        <f>SUM(K15:K21)</f>
        <v>1902590.9176004997</v>
      </c>
      <c r="M22" s="223">
        <f>SUM(M15:M21)</f>
        <v>1969181.5997165171</v>
      </c>
      <c r="O22" s="223">
        <f>SUM(O15:O21)</f>
        <v>2038102.955706595</v>
      </c>
      <c r="Q22" s="223">
        <f>SUM(Q15:Q21)</f>
        <v>2109436.5591563256</v>
      </c>
      <c r="S22" s="223">
        <f>SUM(S15:S21)</f>
        <v>2183266.8387267967</v>
      </c>
      <c r="U22" s="223">
        <f>SUM(U15:U21)</f>
        <v>2259681.1780822347</v>
      </c>
      <c r="W22" s="223">
        <f>SUM(W15:W21)</f>
        <v>2338770.0193151124</v>
      </c>
      <c r="Y22" s="223">
        <f>SUM(Y15:Y21)</f>
        <v>2420626.9699911415</v>
      </c>
      <c r="AA22" s="223">
        <f>SUM(AA15:AA21)</f>
        <v>2505348.9139408311</v>
      </c>
      <c r="AC22" s="223">
        <f>SUM(AC15:AC21)</f>
        <v>2593036.12592876</v>
      </c>
      <c r="AE22" s="223">
        <f>SUM(AE15:AE21)</f>
        <v>2683792.3903362667</v>
      </c>
      <c r="AG22" s="223">
        <f>SUM(AG15:AG21)</f>
        <v>2777725.1239980357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7">
        <v>1.02</v>
      </c>
      <c r="E24" s="910">
        <v>1584416</v>
      </c>
      <c r="F24" s="222"/>
      <c r="G24" s="222">
        <f>E24*$C$24</f>
        <v>1616104.32</v>
      </c>
      <c r="H24" s="222"/>
      <c r="I24" s="222">
        <f>G24*$C$24</f>
        <v>1648426.4064000002</v>
      </c>
      <c r="J24" s="222"/>
      <c r="K24" s="222">
        <f>I24*$C$24</f>
        <v>1681394.9345280002</v>
      </c>
      <c r="L24" s="222"/>
      <c r="M24" s="222">
        <f>K24*$C$24</f>
        <v>1715022.8332185603</v>
      </c>
      <c r="N24" s="222"/>
      <c r="O24" s="222">
        <f>M24*$C$24</f>
        <v>1749323.2898829316</v>
      </c>
      <c r="P24" s="222"/>
      <c r="Q24" s="222">
        <f>O24*$C$24</f>
        <v>1784309.7556805904</v>
      </c>
      <c r="R24" s="222"/>
      <c r="S24" s="222">
        <f>Q24*$C$24</f>
        <v>1819995.9507942023</v>
      </c>
      <c r="T24" s="222"/>
      <c r="U24" s="222">
        <f>S24*$C$24</f>
        <v>1856395.8698100864</v>
      </c>
      <c r="V24" s="222"/>
      <c r="W24" s="222">
        <f>U24*$C$24</f>
        <v>1893523.7872062882</v>
      </c>
      <c r="X24" s="222"/>
      <c r="Y24" s="222">
        <f>W24*$C$24</f>
        <v>1931394.2629504141</v>
      </c>
      <c r="Z24" s="222"/>
      <c r="AA24" s="222">
        <f>Y24*$C$24</f>
        <v>1970022.1482094224</v>
      </c>
      <c r="AB24" s="222"/>
      <c r="AC24" s="222">
        <f>AA24*$C$24</f>
        <v>2009422.5911736109</v>
      </c>
      <c r="AD24" s="222"/>
      <c r="AE24" s="222">
        <f>AC24*$C$24</f>
        <v>2049611.0429970832</v>
      </c>
      <c r="AF24" s="222"/>
      <c r="AG24" s="222">
        <f>AE24*$C$24</f>
        <v>2090603.263857025</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43100</v>
      </c>
      <c r="F27" s="222"/>
      <c r="G27" s="222">
        <f>E27*$C$27</f>
        <v>44608.5</v>
      </c>
      <c r="H27" s="222"/>
      <c r="I27" s="222">
        <f>G27*$C$27</f>
        <v>46169.797499999993</v>
      </c>
      <c r="J27" s="222"/>
      <c r="K27" s="222">
        <f>I27*$C$27</f>
        <v>47785.740412499988</v>
      </c>
      <c r="L27" s="222"/>
      <c r="M27" s="222">
        <f>K27*$C$27</f>
        <v>49458.241326937481</v>
      </c>
      <c r="N27" s="222"/>
      <c r="O27" s="222">
        <f>M27*$C$27</f>
        <v>51189.279773380287</v>
      </c>
      <c r="P27" s="222"/>
      <c r="Q27" s="222">
        <f>O27*$C$27</f>
        <v>52980.904565448596</v>
      </c>
      <c r="R27" s="222"/>
      <c r="S27" s="222">
        <f>Q27*$C$27</f>
        <v>54835.236225239292</v>
      </c>
      <c r="T27" s="222"/>
      <c r="U27" s="222">
        <f>S27*$C$27</f>
        <v>56754.469493122662</v>
      </c>
      <c r="V27" s="222"/>
      <c r="W27" s="222">
        <f>U27*$C$27</f>
        <v>58740.875925381952</v>
      </c>
      <c r="X27" s="222"/>
      <c r="Y27" s="222">
        <f>W27*$C$27</f>
        <v>60796.806582770318</v>
      </c>
      <c r="Z27" s="222"/>
      <c r="AA27" s="222">
        <f>Y27*$C$27</f>
        <v>62924.694813167276</v>
      </c>
      <c r="AB27" s="222"/>
      <c r="AC27" s="222">
        <f>AA27*$C$27</f>
        <v>65127.059131628128</v>
      </c>
      <c r="AD27" s="222"/>
      <c r="AE27" s="222">
        <f>AC27*$C$27</f>
        <v>67406.506201235112</v>
      </c>
      <c r="AF27" s="222"/>
      <c r="AG27" s="222">
        <f>AE27*$C$27</f>
        <v>69765.733918278333</v>
      </c>
    </row>
    <row r="28" spans="1:33" s="210" customFormat="1" ht="14.25">
      <c r="A28" s="210" t="s">
        <v>847</v>
      </c>
      <c r="C28" s="237"/>
      <c r="E28" s="222">
        <f>Application!AC889</f>
        <v>97200</v>
      </c>
      <c r="F28" s="222"/>
      <c r="G28" s="222">
        <f>$E$28</f>
        <v>97200</v>
      </c>
      <c r="H28" s="222"/>
      <c r="I28" s="222">
        <f>$E$28</f>
        <v>97200</v>
      </c>
      <c r="J28" s="222"/>
      <c r="K28" s="222">
        <f>$E$28</f>
        <v>97200</v>
      </c>
      <c r="L28" s="222"/>
      <c r="M28" s="222">
        <f>$E$28</f>
        <v>97200</v>
      </c>
      <c r="N28" s="222"/>
      <c r="O28" s="222">
        <f>$E$28</f>
        <v>97200</v>
      </c>
      <c r="P28" s="222"/>
      <c r="Q28" s="222">
        <f>$E$28</f>
        <v>97200</v>
      </c>
      <c r="R28" s="222"/>
      <c r="S28" s="222">
        <f>$E$28</f>
        <v>97200</v>
      </c>
      <c r="T28" s="222"/>
      <c r="U28" s="222">
        <f>$E$28</f>
        <v>97200</v>
      </c>
      <c r="V28" s="222"/>
      <c r="W28" s="222">
        <f>$E$28</f>
        <v>97200</v>
      </c>
      <c r="X28" s="222"/>
      <c r="Y28" s="222">
        <f>$E$28</f>
        <v>97200</v>
      </c>
      <c r="Z28" s="222"/>
      <c r="AA28" s="222">
        <f>$E$28</f>
        <v>97200</v>
      </c>
      <c r="AB28" s="222"/>
      <c r="AC28" s="222">
        <f>$E$28</f>
        <v>97200</v>
      </c>
      <c r="AD28" s="222"/>
      <c r="AE28" s="222">
        <f>$E$28</f>
        <v>97200</v>
      </c>
      <c r="AF28" s="222"/>
      <c r="AG28" s="222">
        <f>$E$28</f>
        <v>97200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102973</v>
      </c>
      <c r="F30" s="222"/>
      <c r="G30" s="222">
        <f>E30*$C$30</f>
        <v>105032.46</v>
      </c>
      <c r="H30" s="222"/>
      <c r="I30" s="222">
        <f>G30*$C$30</f>
        <v>107133.10920000001</v>
      </c>
      <c r="J30" s="222"/>
      <c r="K30" s="222">
        <f>I30*$C$30</f>
        <v>109275.77138400001</v>
      </c>
      <c r="L30" s="222"/>
      <c r="M30" s="222">
        <f>K30*$C$30</f>
        <v>111461.28681168001</v>
      </c>
      <c r="N30" s="222"/>
      <c r="O30" s="222">
        <f>M30*$C$30</f>
        <v>113690.5125479136</v>
      </c>
      <c r="P30" s="222"/>
      <c r="Q30" s="222">
        <f>O30*$C$30</f>
        <v>115964.32279887187</v>
      </c>
      <c r="R30" s="222"/>
      <c r="S30" s="222">
        <f>Q30*$C$30</f>
        <v>118283.60925484932</v>
      </c>
      <c r="T30" s="222"/>
      <c r="U30" s="222">
        <f>S30*$C$30</f>
        <v>120649.28143994631</v>
      </c>
      <c r="V30" s="222"/>
      <c r="W30" s="222">
        <f>U30*$C$30</f>
        <v>123062.26706874523</v>
      </c>
      <c r="X30" s="222"/>
      <c r="Y30" s="222">
        <f>W30*$C$30</f>
        <v>125523.51241012014</v>
      </c>
      <c r="Z30" s="222"/>
      <c r="AA30" s="222">
        <f>Y30*$C$30</f>
        <v>128033.98265832254</v>
      </c>
      <c r="AB30" s="222"/>
      <c r="AC30" s="222">
        <f>AA30*$C$30</f>
        <v>130594.662311489</v>
      </c>
      <c r="AD30" s="222"/>
      <c r="AE30" s="222">
        <f>AC30*$C$30</f>
        <v>133206.55555771879</v>
      </c>
      <c r="AF30" s="222"/>
      <c r="AG30" s="222">
        <f>AE30*$C$30</f>
        <v>135870.68666887318</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3543717</v>
      </c>
      <c r="G35" s="223">
        <f>SUM(G22:G33)</f>
        <v>3639034.26</v>
      </c>
      <c r="I35" s="223">
        <f>SUM(I22:I33)</f>
        <v>3737181.4073999994</v>
      </c>
      <c r="K35" s="223">
        <f>SUM(K22:K33)</f>
        <v>3838247.3639249997</v>
      </c>
      <c r="M35" s="223">
        <f>SUM(M22:M33)</f>
        <v>3942323.9610736952</v>
      </c>
      <c r="O35" s="223">
        <f>SUM(O22:O33)</f>
        <v>4049506.03791082</v>
      </c>
      <c r="Q35" s="223">
        <f>SUM(Q22:Q33)</f>
        <v>4159891.5422012364</v>
      </c>
      <c r="S35" s="223">
        <f>SUM(S22:S33)</f>
        <v>4273581.6350010876</v>
      </c>
      <c r="U35" s="223">
        <f>SUM(U22:U33)</f>
        <v>4390680.7988253897</v>
      </c>
      <c r="W35" s="223">
        <f>SUM(W22:W33)</f>
        <v>4511296.949515528</v>
      </c>
      <c r="Y35" s="223">
        <f>SUM(Y22:Y33)</f>
        <v>4635541.5519344462</v>
      </c>
      <c r="AA35" s="223">
        <f>SUM(AA22:AA33)</f>
        <v>4763529.7396217436</v>
      </c>
      <c r="AC35" s="223">
        <f>SUM(AC22:AC33)</f>
        <v>4895380.4385454878</v>
      </c>
      <c r="AE35" s="223">
        <f>SUM(AE22:AE33)</f>
        <v>5031216.4950923044</v>
      </c>
      <c r="AG35" s="223">
        <f>SUM(AG22:AG33)</f>
        <v>5171164.8084422117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3210406.8</v>
      </c>
      <c r="G37" s="223">
        <f>G11-G35</f>
        <v>3283942.6349999988</v>
      </c>
      <c r="I37" s="223">
        <f>I11-I35</f>
        <v>3358869.9099749993</v>
      </c>
      <c r="K37" s="223">
        <f>K11-K35</f>
        <v>3435205.2363843732</v>
      </c>
      <c r="M37" s="223">
        <f>M11-M35</f>
        <v>3512964.9542434118</v>
      </c>
      <c r="O37" s="223">
        <f>O11-O35</f>
        <v>3592165.1002892125</v>
      </c>
      <c r="Q37" s="223">
        <f>Q11-Q35</f>
        <v>3672821.3744537975</v>
      </c>
      <c r="S37" s="223">
        <f>S11-S35</f>
        <v>3754949.1045703199</v>
      </c>
      <c r="U37" s="223">
        <f>U11-U35</f>
        <v>3838563.2092353031</v>
      </c>
      <c r="W37" s="223">
        <f>W11-W35</f>
        <v>3923678.1587466812</v>
      </c>
      <c r="Y37" s="223">
        <f>Y11-Y35</f>
        <v>4010307.9340343187</v>
      </c>
      <c r="AA37" s="223">
        <f>AA11-AA35</f>
        <v>4098465.9834962375</v>
      </c>
      <c r="AC37" s="223">
        <f>AC11-AC35</f>
        <v>4188165.1776504423</v>
      </c>
      <c r="AE37" s="223">
        <f>AE11-AE35</f>
        <v>4279417.7615085263</v>
      </c>
      <c r="AG37" s="223">
        <f>AG11-AG35</f>
        <v>4372235.3045736374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Community Capital</v>
      </c>
      <c r="B40" s="226"/>
      <c r="C40" s="220"/>
      <c r="E40" s="222">
        <f>Application!AF627</f>
        <v>2774190</v>
      </c>
      <c r="F40" s="222"/>
      <c r="G40" s="222">
        <f>$E$40</f>
        <v>2774190</v>
      </c>
      <c r="H40" s="222"/>
      <c r="I40" s="222">
        <f>$E$40</f>
        <v>2774190</v>
      </c>
      <c r="J40" s="222"/>
      <c r="K40" s="222">
        <f>$E$40</f>
        <v>2774190</v>
      </c>
      <c r="L40" s="222"/>
      <c r="M40" s="222">
        <f>$E$40</f>
        <v>2774190</v>
      </c>
      <c r="N40" s="222"/>
      <c r="O40" s="222">
        <f>$E$40</f>
        <v>2774190</v>
      </c>
      <c r="P40" s="222"/>
      <c r="Q40" s="222">
        <f>$E$40</f>
        <v>2774190</v>
      </c>
      <c r="R40" s="222"/>
      <c r="S40" s="222">
        <f>$E$40</f>
        <v>2774190</v>
      </c>
      <c r="T40" s="222"/>
      <c r="U40" s="222">
        <f>$E$40</f>
        <v>2774190</v>
      </c>
      <c r="V40" s="222"/>
      <c r="W40" s="222">
        <f>$E$40</f>
        <v>2774190</v>
      </c>
      <c r="X40" s="222"/>
      <c r="Y40" s="222">
        <f>$E$40</f>
        <v>2774190</v>
      </c>
      <c r="Z40" s="222"/>
      <c r="AA40" s="222">
        <f>$E$40</f>
        <v>2774190</v>
      </c>
      <c r="AB40" s="222"/>
      <c r="AC40" s="222">
        <f>$E$40</f>
        <v>2774190</v>
      </c>
      <c r="AD40" s="222"/>
      <c r="AE40" s="222">
        <f>$E$40</f>
        <v>2774190</v>
      </c>
      <c r="AF40" s="222"/>
      <c r="AG40" s="222">
        <f>$E$40</f>
        <v>2774190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2774190</v>
      </c>
      <c r="G43" s="223">
        <f>SUM(G40:G42)</f>
        <v>2774190</v>
      </c>
      <c r="I43" s="223">
        <f>SUM(I40:I42)</f>
        <v>2774190</v>
      </c>
      <c r="K43" s="223">
        <f>SUM(K40:K42)</f>
        <v>2774190</v>
      </c>
      <c r="M43" s="223">
        <f>SUM(M40:M42)</f>
        <v>2774190</v>
      </c>
      <c r="O43" s="223">
        <f>SUM(O40:O42)</f>
        <v>2774190</v>
      </c>
      <c r="Q43" s="223">
        <f>SUM(Q40:Q42)</f>
        <v>2774190</v>
      </c>
      <c r="S43" s="223">
        <f>SUM(S40:S42)</f>
        <v>2774190</v>
      </c>
      <c r="U43" s="223">
        <f>SUM(U40:U42)</f>
        <v>2774190</v>
      </c>
      <c r="W43" s="223">
        <f>SUM(W40:W42)</f>
        <v>2774190</v>
      </c>
      <c r="Y43" s="223">
        <f>SUM(Y40:Y42)</f>
        <v>2774190</v>
      </c>
      <c r="AA43" s="223">
        <f>SUM(AA40:AA42)</f>
        <v>2774190</v>
      </c>
      <c r="AC43" s="223">
        <f>SUM(AC40:AC42)</f>
        <v>2774190</v>
      </c>
      <c r="AE43" s="223">
        <f>SUM(AE40:AE42)</f>
        <v>2774190</v>
      </c>
      <c r="AG43" s="223">
        <f>SUM(AG40:AG42)</f>
        <v>2774190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436216.79999999981</v>
      </c>
      <c r="G45" s="223">
        <f>G37-G43</f>
        <v>509752.63499999885</v>
      </c>
      <c r="I45" s="223">
        <f>I37-I43</f>
        <v>584679.90997499926</v>
      </c>
      <c r="K45" s="223">
        <f>K37-K43</f>
        <v>661015.23638437316</v>
      </c>
      <c r="M45" s="223">
        <f>M37-M43</f>
        <v>738774.95424341178</v>
      </c>
      <c r="O45" s="223">
        <f>O37-O43</f>
        <v>817975.10028921254</v>
      </c>
      <c r="Q45" s="223">
        <f>Q37-Q43</f>
        <v>898631.37445379747</v>
      </c>
      <c r="S45" s="223">
        <f>S37-S43</f>
        <v>980759.10457031988</v>
      </c>
      <c r="U45" s="223">
        <f>U37-U43</f>
        <v>1064373.2092353031</v>
      </c>
      <c r="W45" s="223">
        <f>W37-W43</f>
        <v>1149488.1587466812</v>
      </c>
      <c r="Y45" s="223">
        <f>Y37-Y43</f>
        <v>1236117.9340343187</v>
      </c>
      <c r="AA45" s="223">
        <f>AA37-AA43</f>
        <v>1324275.9834962375</v>
      </c>
      <c r="AC45" s="223">
        <f>AC37-AC43</f>
        <v>1413975.1776504423</v>
      </c>
      <c r="AE45" s="223">
        <f>AE37-AE43</f>
        <v>1505227.7615085263</v>
      </c>
      <c r="AG45" s="223">
        <f>AG37-AG43</f>
        <v>1598045.3045736374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6.1355991135371227E-2</v>
      </c>
      <c r="G47" s="227">
        <f>G45/(G4+G6+G8)</f>
        <v>6.9950400036688121E-2</v>
      </c>
      <c r="I47" s="227">
        <f>I45/(I4+I6+I8)</f>
        <v>7.8275351971626134E-2</v>
      </c>
      <c r="K47" s="227">
        <f>K45/(K4+K6+K8)</f>
        <v>8.6336504693581742E-2</v>
      </c>
      <c r="M47" s="227">
        <f>M45/(M4+M6+M8)</f>
        <v>9.4139370653939167E-2</v>
      </c>
      <c r="O47" s="227">
        <f>O45/(O4+O6+O8)</f>
        <v>0.10168932046685658</v>
      </c>
      <c r="Q47" s="227">
        <f>Q45/(Q4+Q6+Q8)</f>
        <v>0.10899158628881306</v>
      </c>
      <c r="S47" s="227">
        <f>S45/(S4+S6+S8)</f>
        <v>0.11605126511498445</v>
      </c>
      <c r="U47" s="227">
        <f>U45/(U4+U6+U8)</f>
        <v>0.12287332199447408</v>
      </c>
      <c r="W47" s="227">
        <f>W45/(W4+W6+W8)</f>
        <v>0.12946259316636277</v>
      </c>
      <c r="Y47" s="227">
        <f>Y45/(Y4+Y6+Y8)</f>
        <v>0.13582378911851037</v>
      </c>
      <c r="AA47" s="227">
        <f>AA45/(AA4+AA6+AA8)</f>
        <v>0.14196149757097742</v>
      </c>
      <c r="AC47" s="227">
        <f>AC45/(AC4+AC6+AC8)</f>
        <v>0.1478801863859045</v>
      </c>
      <c r="AE47" s="227">
        <f>AE45/(AE4+AE6+AE8)</f>
        <v>0.15358420640562881</v>
      </c>
      <c r="AG47" s="227">
        <f>AG45/(AG4+AG6+AG8)</f>
        <v>0.15907779422078541</v>
      </c>
    </row>
    <row r="48" spans="1:33" s="227" customFormat="1" ht="14.25">
      <c r="A48" s="227" t="s">
        <v>853</v>
      </c>
      <c r="C48" s="220"/>
      <c r="E48" s="227">
        <f>E45/E43</f>
        <v>0.15724114065727288</v>
      </c>
      <c r="G48" s="227">
        <f>G45/G43</f>
        <v>0.18374827787570383</v>
      </c>
      <c r="I48" s="227">
        <f>I45/I43</f>
        <v>0.21075698130805723</v>
      </c>
      <c r="K48" s="227">
        <f>K45/K43</f>
        <v>0.23827323881362603</v>
      </c>
      <c r="M48" s="227">
        <f>M45/M43</f>
        <v>0.26630294040545593</v>
      </c>
      <c r="O48" s="227">
        <f>O45/O43</f>
        <v>0.29485186677524344</v>
      </c>
      <c r="Q48" s="227">
        <f>Q45/Q43</f>
        <v>0.32392567720804899</v>
      </c>
      <c r="S48" s="227">
        <f>S45/S43</f>
        <v>0.35352989686009967</v>
      </c>
      <c r="U48" s="227">
        <f>U45/U43</f>
        <v>0.38366990337190426</v>
      </c>
      <c r="W48" s="227">
        <f>W45/W43</f>
        <v>0.41435091278776187</v>
      </c>
      <c r="Y48" s="227">
        <f>Y45/Y43</f>
        <v>0.44557796475162792</v>
      </c>
      <c r="AA48" s="227">
        <f>AA45/AA43</f>
        <v>0.47735590694805963</v>
      </c>
      <c r="AC48" s="227">
        <f>AC45/AC43</f>
        <v>0.50968937875576015</v>
      </c>
      <c r="AE48" s="227">
        <f>AE45/AE43</f>
        <v>0.54258279407990306</v>
      </c>
      <c r="AG48" s="227">
        <f>AG45/AG43</f>
        <v>0.57604032332812005</v>
      </c>
    </row>
    <row r="49" spans="1:34" s="228" customFormat="1" ht="14.25">
      <c r="A49" s="228" t="s">
        <v>851</v>
      </c>
      <c r="C49" s="229"/>
      <c r="E49" s="228">
        <f>E37/E43</f>
        <v>1.1572411406572729</v>
      </c>
      <c r="G49" s="228">
        <f>G37/G43</f>
        <v>1.1837482778757038</v>
      </c>
      <c r="I49" s="228">
        <f>I37/I43</f>
        <v>1.2107569813080572</v>
      </c>
      <c r="K49" s="228">
        <f>K37/K43</f>
        <v>1.2382732388136259</v>
      </c>
      <c r="M49" s="228">
        <f>M37/M43</f>
        <v>1.266302940405456</v>
      </c>
      <c r="O49" s="228">
        <f>O37/O43</f>
        <v>1.2948518667752433</v>
      </c>
      <c r="Q49" s="228">
        <f>Q37/Q43</f>
        <v>1.323925677208049</v>
      </c>
      <c r="S49" s="228">
        <f>S37/S43</f>
        <v>1.3535298968600997</v>
      </c>
      <c r="U49" s="228">
        <f>U37/U43</f>
        <v>1.3836699033719042</v>
      </c>
      <c r="W49" s="228">
        <f>W37/W43</f>
        <v>1.4143509127877618</v>
      </c>
      <c r="Y49" s="228">
        <f>Y37/Y43</f>
        <v>1.445577964751628</v>
      </c>
      <c r="AA49" s="228">
        <f>AA37/AA43</f>
        <v>1.4773559069480597</v>
      </c>
      <c r="AC49" s="228">
        <f>AC37/AC43</f>
        <v>1.5096893787557601</v>
      </c>
      <c r="AE49" s="228">
        <f>AE37/AE43</f>
        <v>1.5425827940799031</v>
      </c>
      <c r="AG49" s="228">
        <f>AG37/AG43</f>
        <v>1.5760403233281202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1.02</v>
      </c>
      <c r="E53" s="964">
        <v>34992</v>
      </c>
      <c r="G53" s="960">
        <f>E53*$C$53</f>
        <v>35691.840000000004</v>
      </c>
      <c r="I53" s="960">
        <f>G53*$C$53</f>
        <v>36405.676800000001</v>
      </c>
      <c r="K53" s="960">
        <f>I53*$C$53</f>
        <v>37133.790335999998</v>
      </c>
      <c r="M53" s="960">
        <f>K53*$C$53</f>
        <v>37876.466142719997</v>
      </c>
      <c r="O53" s="960">
        <f>M53*$C$53</f>
        <v>38633.9954655744</v>
      </c>
      <c r="Q53" s="960">
        <f>O53*$C$53</f>
        <v>39406.67537488589</v>
      </c>
      <c r="S53" s="960">
        <f>Q53*$C$53</f>
        <v>40194.808882383608</v>
      </c>
      <c r="U53" s="960">
        <f>S53*$C$53</f>
        <v>40998.70506003128</v>
      </c>
      <c r="W53" s="960">
        <f>U53*$C$53</f>
        <v>41818.679161231907</v>
      </c>
      <c r="Y53" s="960">
        <f>W53*$C$53</f>
        <v>42655.052744456545</v>
      </c>
      <c r="AA53" s="960">
        <f>Y53*$C$53</f>
        <v>43508.153799345673</v>
      </c>
      <c r="AC53" s="960">
        <f>AA53*$C$53</f>
        <v>44378.316875332588</v>
      </c>
      <c r="AE53" s="960">
        <f>AC53*$C$53</f>
        <v>45265.883212839239</v>
      </c>
      <c r="AG53" s="960">
        <f>AE53*$C$53</f>
        <v>46171.200877096024</v>
      </c>
    </row>
    <row r="54" spans="1:34" s="3" customFormat="1">
      <c r="A54" s="3" t="s">
        <v>856</v>
      </c>
      <c r="C54" s="958">
        <v>1.03</v>
      </c>
      <c r="E54" s="965">
        <v>7500</v>
      </c>
      <c r="F54" s="960"/>
      <c r="G54" s="960">
        <f t="shared" ref="G54:AG57" si="1">E54*$C$53</f>
        <v>7650</v>
      </c>
      <c r="H54" s="960"/>
      <c r="I54" s="960">
        <f t="shared" si="1"/>
        <v>7803</v>
      </c>
      <c r="J54" s="960"/>
      <c r="K54" s="960">
        <f t="shared" si="1"/>
        <v>7959.06</v>
      </c>
      <c r="L54" s="960"/>
      <c r="M54" s="960">
        <f t="shared" si="1"/>
        <v>8118.2412000000004</v>
      </c>
      <c r="N54" s="960"/>
      <c r="O54" s="960">
        <f t="shared" si="1"/>
        <v>8280.6060240000006</v>
      </c>
      <c r="P54" s="960"/>
      <c r="Q54" s="960">
        <f t="shared" si="1"/>
        <v>8446.2181444800008</v>
      </c>
      <c r="R54" s="960"/>
      <c r="S54" s="960">
        <f t="shared" si="1"/>
        <v>8615.1425073696009</v>
      </c>
      <c r="T54" s="960"/>
      <c r="U54" s="960">
        <f t="shared" si="1"/>
        <v>8787.4453575169937</v>
      </c>
      <c r="V54" s="960"/>
      <c r="W54" s="960">
        <f t="shared" si="1"/>
        <v>8963.1942646673342</v>
      </c>
      <c r="X54" s="960"/>
      <c r="Y54" s="960">
        <f t="shared" si="1"/>
        <v>9142.4581499606811</v>
      </c>
      <c r="Z54" s="960"/>
      <c r="AA54" s="960">
        <f t="shared" si="1"/>
        <v>9325.3073129598943</v>
      </c>
      <c r="AB54" s="960"/>
      <c r="AC54" s="960">
        <f t="shared" si="1"/>
        <v>9511.8134592190927</v>
      </c>
      <c r="AD54" s="960"/>
      <c r="AE54" s="960">
        <f t="shared" si="1"/>
        <v>9702.0497284034755</v>
      </c>
      <c r="AF54" s="960"/>
      <c r="AG54" s="960">
        <f t="shared" si="1"/>
        <v>9896.0907229715449</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42492</v>
      </c>
      <c r="F58" s="960"/>
      <c r="G58" s="960">
        <f>SUM(G53:G57)</f>
        <v>43341.840000000004</v>
      </c>
      <c r="H58" s="960"/>
      <c r="I58" s="960">
        <f>SUM(I53:I57)</f>
        <v>44208.676800000001</v>
      </c>
      <c r="J58" s="960"/>
      <c r="K58" s="960">
        <f>SUM(K53:K57)</f>
        <v>45092.850335999996</v>
      </c>
      <c r="L58" s="960"/>
      <c r="M58" s="960">
        <f>SUM(M53:M57)</f>
        <v>45994.707342719994</v>
      </c>
      <c r="N58" s="960"/>
      <c r="O58" s="960">
        <f>SUM(O53:O57)</f>
        <v>46914.601489574401</v>
      </c>
      <c r="P58" s="960"/>
      <c r="Q58" s="960">
        <f>SUM(Q53:Q57)</f>
        <v>47852.893519365891</v>
      </c>
      <c r="R58" s="960"/>
      <c r="S58" s="960">
        <f>SUM(S53:S57)</f>
        <v>48809.951389753209</v>
      </c>
      <c r="T58" s="960"/>
      <c r="U58" s="960">
        <f>SUM(U53:U57)</f>
        <v>49786.15041754827</v>
      </c>
      <c r="V58" s="960"/>
      <c r="W58" s="960">
        <f>SUM(W53:W57)</f>
        <v>50781.873425899241</v>
      </c>
      <c r="X58" s="960"/>
      <c r="Y58" s="960">
        <f>SUM(Y53:Y57)</f>
        <v>51797.510894417224</v>
      </c>
      <c r="Z58" s="960"/>
      <c r="AA58" s="960">
        <f>SUM(AA53:AA57)</f>
        <v>52833.461112305566</v>
      </c>
      <c r="AB58" s="960"/>
      <c r="AC58" s="960">
        <f>SUM(AC53:AC57)</f>
        <v>53890.130334551679</v>
      </c>
      <c r="AD58" s="960"/>
      <c r="AE58" s="960">
        <f>SUM(AE53:AE57)</f>
        <v>54967.932941242718</v>
      </c>
      <c r="AF58" s="960"/>
      <c r="AG58" s="960">
        <f>SUM(AG53:AG57)</f>
        <v>56067.291600067569</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393724.79999999981</v>
      </c>
      <c r="G60" s="962">
        <f>G45-G58</f>
        <v>466410.79499999882</v>
      </c>
      <c r="I60" s="962">
        <f>I45-I58</f>
        <v>540471.23317499924</v>
      </c>
      <c r="K60" s="962">
        <f>K45-K58</f>
        <v>615922.38604837318</v>
      </c>
      <c r="M60" s="962">
        <f>M45-M58</f>
        <v>692780.24690069177</v>
      </c>
      <c r="O60" s="962">
        <f>O45-O58</f>
        <v>771060.49879963812</v>
      </c>
      <c r="Q60" s="962">
        <f>Q45-Q58</f>
        <v>850778.48093443154</v>
      </c>
      <c r="S60" s="962">
        <f>S45-S58</f>
        <v>931949.15318056662</v>
      </c>
      <c r="U60" s="962">
        <f>U45-U58</f>
        <v>1014587.0588177548</v>
      </c>
      <c r="W60" s="962">
        <f>W45-W58</f>
        <v>1098706.2853207819</v>
      </c>
      <c r="Y60" s="962">
        <f>Y45-Y58</f>
        <v>1184320.4231399014</v>
      </c>
      <c r="AA60" s="962">
        <f>AA45-AA58</f>
        <v>1271442.522383932</v>
      </c>
      <c r="AC60" s="962">
        <f>AC45-AC58</f>
        <v>1360085.0473158907</v>
      </c>
      <c r="AE60" s="962">
        <f>AE45-AE58</f>
        <v>1450259.8285672835</v>
      </c>
      <c r="AG60" s="962">
        <f>AG45-AG58</f>
        <v>1541978.0129735698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393724.79999999981</v>
      </c>
      <c r="G62" s="962">
        <f>G60*$C$62</f>
        <v>466410.79499999882</v>
      </c>
      <c r="I62" s="962">
        <f>I60*$C$62</f>
        <v>540471.23317499924</v>
      </c>
      <c r="K62" s="962">
        <f>K60*$C$62</f>
        <v>615922.38604837318</v>
      </c>
      <c r="M62" s="962">
        <f>M60*$C$62</f>
        <v>692780.24690069177</v>
      </c>
      <c r="O62" s="962">
        <f>O60*$C$62</f>
        <v>771060.49879963812</v>
      </c>
      <c r="Q62" s="962">
        <f>Q60*$C$62</f>
        <v>850778.48093443154</v>
      </c>
      <c r="S62" s="962">
        <f>S60*$C$62</f>
        <v>931949.15318056662</v>
      </c>
      <c r="U62" s="962">
        <f>U60*$C$62</f>
        <v>1014587.0588177548</v>
      </c>
      <c r="W62" s="962">
        <f>W60*$C$62</f>
        <v>1098706.2853207819</v>
      </c>
      <c r="Y62" s="962">
        <f>Y60*$C$62</f>
        <v>1184320.4231399014</v>
      </c>
      <c r="AA62" s="962">
        <f>AA60*$C$62</f>
        <v>1271442.522383932</v>
      </c>
      <c r="AC62" s="962">
        <f>AC60*$C$62</f>
        <v>1360085.0473158907</v>
      </c>
      <c r="AE62" s="962">
        <f>AE60*$C$62</f>
        <v>1450259.8285672835</v>
      </c>
      <c r="AG62" s="962">
        <f>AG60*$C$62</f>
        <v>1541978.0129735698</v>
      </c>
    </row>
    <row r="63" spans="1:34" s="962" customFormat="1">
      <c r="A63" s="2689" t="s">
        <v>1185</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v>
      </c>
      <c r="C5" s="266">
        <f>'Sources and Uses Budget'!$C4</f>
        <v>1</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v>
      </c>
      <c r="C9" s="270">
        <f>SUM(C5:C8)</f>
        <v>1</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257651</v>
      </c>
      <c r="C11" s="266">
        <f>'Sources and Uses Budget'!$C10</f>
        <v>257651</v>
      </c>
      <c r="D11" s="270">
        <f t="shared" si="0"/>
        <v>0</v>
      </c>
      <c r="E11" s="268"/>
      <c r="F11" s="267"/>
    </row>
    <row r="12" spans="1:6" s="352" customFormat="1">
      <c r="A12" s="365" t="s">
        <v>597</v>
      </c>
      <c r="B12" s="270">
        <f>SUM(B10:B11)</f>
        <v>257651</v>
      </c>
      <c r="C12" s="270">
        <f>SUM(C10:C11)</f>
        <v>257651</v>
      </c>
      <c r="D12" s="270">
        <f t="shared" si="0"/>
        <v>0</v>
      </c>
      <c r="E12" s="268"/>
      <c r="F12" s="267"/>
    </row>
    <row r="13" spans="1:6" s="352" customFormat="1">
      <c r="A13" s="365" t="s">
        <v>84</v>
      </c>
      <c r="B13" s="270">
        <f>SUM(B9+B12)</f>
        <v>257652</v>
      </c>
      <c r="C13" s="270">
        <f>SUM(C9+C12)</f>
        <v>257652</v>
      </c>
      <c r="D13" s="270">
        <f t="shared" si="0"/>
        <v>0</v>
      </c>
      <c r="E13" s="268"/>
      <c r="F13" s="267"/>
    </row>
    <row r="14" spans="1:6" s="352" customFormat="1">
      <c r="A14" s="366" t="s">
        <v>903</v>
      </c>
      <c r="B14" s="266">
        <f>'Sources and Uses Budget'!$C13</f>
        <v>806500</v>
      </c>
      <c r="C14" s="266">
        <f>'Sources and Uses Budget'!$C13</f>
        <v>806500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12882569</v>
      </c>
      <c r="C30" s="266">
        <f>'Sources and Uses Budget'!$C29</f>
        <v>12882569</v>
      </c>
      <c r="D30" s="270">
        <f t="shared" si="0"/>
        <v>0</v>
      </c>
      <c r="E30" s="268"/>
      <c r="F30" s="267"/>
    </row>
    <row r="31" spans="1:6" s="352" customFormat="1">
      <c r="A31" s="145" t="s">
        <v>600</v>
      </c>
      <c r="B31" s="266">
        <f>'Sources and Uses Budget'!$C30</f>
        <v>59946989</v>
      </c>
      <c r="C31" s="266">
        <f>'Sources and Uses Budget'!$C30</f>
        <v>59946989</v>
      </c>
      <c r="D31" s="270">
        <f t="shared" si="0"/>
        <v>0</v>
      </c>
      <c r="E31" s="268"/>
      <c r="F31" s="267"/>
    </row>
    <row r="32" spans="1:6" s="352" customFormat="1">
      <c r="A32" s="145" t="s">
        <v>601</v>
      </c>
      <c r="B32" s="266">
        <f>'Sources and Uses Budget'!$C31</f>
        <v>2112000</v>
      </c>
      <c r="C32" s="266">
        <f>'Sources and Uses Budget'!$C31</f>
        <v>2112000</v>
      </c>
      <c r="D32" s="270">
        <f t="shared" si="0"/>
        <v>0</v>
      </c>
      <c r="E32" s="268"/>
      <c r="F32" s="267"/>
    </row>
    <row r="33" spans="1:6" s="352" customFormat="1">
      <c r="A33" s="145" t="s">
        <v>137</v>
      </c>
      <c r="B33" s="266">
        <f>'Sources and Uses Budget'!$C32</f>
        <v>4177429</v>
      </c>
      <c r="C33" s="266">
        <f>'Sources and Uses Budget'!$C32</f>
        <v>4177429</v>
      </c>
      <c r="D33" s="270">
        <f t="shared" si="0"/>
        <v>0</v>
      </c>
      <c r="E33" s="268"/>
      <c r="F33" s="267"/>
    </row>
    <row r="34" spans="1:6" s="352" customFormat="1">
      <c r="A34" s="145" t="s">
        <v>138</v>
      </c>
      <c r="B34" s="266">
        <f>'Sources and Uses Budget'!$C33</f>
        <v>4177429</v>
      </c>
      <c r="C34" s="266">
        <f>'Sources and Uses Budget'!$C33</f>
        <v>4177429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2425157</v>
      </c>
      <c r="C36" s="266">
        <f>'Sources and Uses Budget'!$C35</f>
        <v>2425157</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85721573</v>
      </c>
      <c r="C39" s="270">
        <f>SUM(C30:C38)</f>
        <v>85721573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2683444</v>
      </c>
      <c r="C41" s="266">
        <f>'Sources and Uses Budget'!$C40</f>
        <v>2683444</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2683444</v>
      </c>
      <c r="C43" s="270">
        <f>SUM(C41:C42)</f>
        <v>2683444</v>
      </c>
      <c r="D43" s="270">
        <f t="shared" si="0"/>
        <v>0</v>
      </c>
      <c r="E43" s="268"/>
      <c r="F43" s="267"/>
    </row>
    <row r="44" spans="1:6" s="352" customFormat="1">
      <c r="A44" s="271" t="s">
        <v>148</v>
      </c>
      <c r="B44" s="266">
        <f>'Sources and Uses Budget'!$C43</f>
        <v>640096</v>
      </c>
      <c r="C44" s="266">
        <f>'Sources and Uses Budget'!$C43</f>
        <v>640096</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7588810</v>
      </c>
      <c r="C46" s="266">
        <f>'Sources and Uses Budget'!$C45</f>
        <v>7588810</v>
      </c>
      <c r="D46" s="270">
        <f t="shared" si="0"/>
        <v>0</v>
      </c>
      <c r="E46" s="268"/>
      <c r="F46" s="267"/>
    </row>
    <row r="47" spans="1:6" s="352" customFormat="1">
      <c r="A47" s="145" t="s">
        <v>151</v>
      </c>
      <c r="B47" s="266">
        <f>'Sources and Uses Budget'!$C46</f>
        <v>4120599</v>
      </c>
      <c r="C47" s="266">
        <f>'Sources and Uses Budget'!$C46</f>
        <v>4120599</v>
      </c>
      <c r="D47" s="270">
        <f t="shared" si="0"/>
        <v>0</v>
      </c>
      <c r="E47" s="268"/>
      <c r="F47" s="267"/>
    </row>
    <row r="48" spans="1:6" s="352" customFormat="1" ht="12" customHeight="1">
      <c r="A48" s="186" t="s">
        <v>152</v>
      </c>
      <c r="B48" s="266">
        <f>'Sources and Uses Budget'!$C47</f>
        <v>57998</v>
      </c>
      <c r="C48" s="266">
        <f>'Sources and Uses Budget'!$C47</f>
        <v>57998</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140000</v>
      </c>
      <c r="C51" s="266">
        <f>'Sources and Uses Budget'!$C50</f>
        <v>140000</v>
      </c>
      <c r="D51" s="270">
        <f t="shared" si="0"/>
        <v>0</v>
      </c>
      <c r="E51" s="268"/>
      <c r="F51" s="267"/>
    </row>
    <row r="52" spans="1:6" s="352" customFormat="1">
      <c r="A52" s="283" t="s">
        <v>154</v>
      </c>
      <c r="B52" s="266">
        <f>'Sources and Uses Budget'!$C51</f>
        <v>470530</v>
      </c>
      <c r="C52" s="266">
        <f>'Sources and Uses Budget'!$C51</f>
        <v>470530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Construction Inspection Fees</v>
      </c>
      <c r="B54" s="266">
        <f>'Sources and Uses Budget'!$C53</f>
        <v>48000</v>
      </c>
      <c r="C54" s="266">
        <f>'Sources and Uses Budget'!$C53</f>
        <v>48000</v>
      </c>
      <c r="D54" s="270">
        <f t="shared" si="0"/>
        <v>0</v>
      </c>
      <c r="E54" s="268"/>
      <c r="F54" s="267"/>
    </row>
    <row r="55" spans="1:6" s="353" customFormat="1">
      <c r="A55" s="271" t="s">
        <v>157</v>
      </c>
      <c r="B55" s="273">
        <f>SUM(B46:B54)</f>
        <v>12425937</v>
      </c>
      <c r="C55" s="273">
        <f>SUM(C46:C54)</f>
        <v>12425937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2621476</v>
      </c>
      <c r="C57" s="266">
        <f>'Sources and Uses Budget'!$C56</f>
        <v>2621476</v>
      </c>
      <c r="D57" s="270">
        <f t="shared" si="0"/>
        <v>0</v>
      </c>
      <c r="E57" s="268"/>
      <c r="F57" s="267"/>
    </row>
    <row r="58" spans="1:6" s="352" customFormat="1" ht="12" customHeight="1">
      <c r="A58" s="269" t="s">
        <v>152</v>
      </c>
      <c r="B58" s="266">
        <f>'Sources and Uses Budget'!$C57</f>
        <v>311749</v>
      </c>
      <c r="C58" s="266">
        <f>'Sources and Uses Budget'!$C57</f>
        <v>311749</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Interest Prior to Conversion</v>
      </c>
      <c r="B62" s="266">
        <f>'Sources and Uses Budget'!$C61</f>
        <v>5918007</v>
      </c>
      <c r="C62" s="266">
        <f>'Sources and Uses Budget'!$C61</f>
        <v>5918007</v>
      </c>
      <c r="D62" s="270">
        <f t="shared" si="0"/>
        <v>0</v>
      </c>
      <c r="E62" s="268"/>
      <c r="F62" s="267"/>
    </row>
    <row r="63" spans="1:6" s="352" customFormat="1" ht="13.7" customHeight="1">
      <c r="A63" s="271" t="s">
        <v>301</v>
      </c>
      <c r="B63" s="270">
        <f>SUM(B57:B62)</f>
        <v>8851232</v>
      </c>
      <c r="C63" s="270">
        <f>SUM(C57:C62)</f>
        <v>8851232</v>
      </c>
      <c r="D63" s="270">
        <f t="shared" si="0"/>
        <v>0</v>
      </c>
      <c r="E63" s="268"/>
      <c r="F63" s="267"/>
    </row>
    <row r="64" spans="1:6" s="352" customFormat="1">
      <c r="A64" s="274" t="s">
        <v>302</v>
      </c>
      <c r="B64" s="270">
        <f>SUM(B9+B12+B14+B15+B17+B26+B28+B39+B43+B44+B55+B63)</f>
        <v>111386434</v>
      </c>
      <c r="C64" s="270">
        <f>SUM(C9+C12+C14+C15+C17+C26+C28+C39+C43+C44+C55+C63)</f>
        <v>111386434</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100000</v>
      </c>
      <c r="C71" s="270">
        <f>SUM(C66:C70)</f>
        <v>100000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1579477</v>
      </c>
      <c r="C76" s="266">
        <f>'Sources and Uses Budget'!$C75</f>
        <v>1579477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1579477</v>
      </c>
      <c r="C78" s="270">
        <f>SUM(C73:C77)</f>
        <v>1579477</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6266556</v>
      </c>
      <c r="C80" s="266">
        <f>'Sources and Uses Budget'!$C79</f>
        <v>6266556</v>
      </c>
      <c r="D80" s="270">
        <f t="shared" si="1"/>
        <v>0</v>
      </c>
      <c r="E80" s="268"/>
      <c r="F80" s="267"/>
    </row>
    <row r="81" spans="1:6" s="352" customFormat="1">
      <c r="A81" s="510" t="s">
        <v>58</v>
      </c>
      <c r="B81" s="266">
        <f>'Sources and Uses Budget'!$C80</f>
        <v>1376164</v>
      </c>
      <c r="C81" s="266">
        <f>'Sources and Uses Budget'!$C80</f>
        <v>1376164</v>
      </c>
      <c r="D81" s="270">
        <f>C81-B81</f>
        <v>0</v>
      </c>
      <c r="E81" s="268"/>
      <c r="F81" s="267"/>
    </row>
    <row r="82" spans="1:6" s="352" customFormat="1">
      <c r="A82" s="271" t="s">
        <v>1210</v>
      </c>
      <c r="B82" s="270">
        <f>SUM(B80:B81)</f>
        <v>7642720</v>
      </c>
      <c r="C82" s="270">
        <f>SUM(C80:C81)</f>
        <v>7642720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300497</v>
      </c>
      <c r="C84" s="266">
        <f>'Sources and Uses Budget'!$C83</f>
        <v>300497</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11905951</v>
      </c>
      <c r="C86" s="266">
        <f>'Sources and Uses Budget'!$C85</f>
        <v>11905951</v>
      </c>
      <c r="D86" s="270">
        <f t="shared" si="1"/>
        <v>0</v>
      </c>
      <c r="E86" s="268"/>
      <c r="F86" s="267"/>
    </row>
    <row r="87" spans="1:6" s="352" customFormat="1">
      <c r="A87" s="269" t="s">
        <v>770</v>
      </c>
      <c r="B87" s="266">
        <f>'Sources and Uses Budget'!$C86</f>
        <v>1160460</v>
      </c>
      <c r="C87" s="266">
        <f>'Sources and Uses Budget'!$C86</f>
        <v>1160460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203000</v>
      </c>
      <c r="C89" s="266">
        <f>'Sources and Uses Budget'!$C88</f>
        <v>203000</v>
      </c>
      <c r="D89" s="270">
        <f t="shared" si="1"/>
        <v>0</v>
      </c>
      <c r="E89" s="268"/>
      <c r="F89" s="267"/>
    </row>
    <row r="90" spans="1:6" s="352" customFormat="1">
      <c r="A90" s="269" t="s">
        <v>773</v>
      </c>
      <c r="B90" s="266">
        <f>'Sources and Uses Budget'!$C89</f>
        <v>649500</v>
      </c>
      <c r="C90" s="266">
        <f>'Sources and Uses Budget'!$C89</f>
        <v>649500</v>
      </c>
      <c r="D90" s="270">
        <f t="shared" si="1"/>
        <v>0</v>
      </c>
      <c r="E90" s="268"/>
      <c r="F90" s="267"/>
    </row>
    <row r="91" spans="1:6" s="352" customFormat="1">
      <c r="A91" s="269" t="s">
        <v>774</v>
      </c>
      <c r="B91" s="266">
        <f>'Sources and Uses Budget'!$C90</f>
        <v>22300</v>
      </c>
      <c r="C91" s="266">
        <f>'Sources and Uses Budget'!$C90</f>
        <v>22300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5200</v>
      </c>
      <c r="C93" s="266">
        <f>'Sources and Uses Budget'!$C92</f>
        <v>5200</v>
      </c>
      <c r="D93" s="270">
        <f t="shared" si="1"/>
        <v>0</v>
      </c>
      <c r="E93" s="268"/>
      <c r="F93" s="267"/>
    </row>
    <row r="94" spans="1:6" s="352" customFormat="1">
      <c r="A94" s="272" t="s">
        <v>34</v>
      </c>
      <c r="B94" s="266">
        <f>'Sources and Uses Budget'!$C93</f>
        <v>275370</v>
      </c>
      <c r="C94" s="266">
        <f>'Sources and Uses Budget'!$C93</f>
        <v>275370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14567278</v>
      </c>
      <c r="C97" s="270">
        <f>SUM(C84:C96)</f>
        <v>14567278</v>
      </c>
      <c r="D97" s="270">
        <f t="shared" si="1"/>
        <v>0</v>
      </c>
      <c r="E97" s="268"/>
      <c r="F97" s="267"/>
    </row>
    <row r="98" spans="1:6" s="352" customFormat="1">
      <c r="A98" s="271" t="s">
        <v>776</v>
      </c>
      <c r="B98" s="270">
        <f>SUM(B64+B71+B78+B82+B97)</f>
        <v>135275909</v>
      </c>
      <c r="C98" s="270">
        <f>SUM(C64+C71+C78+C82+C97)</f>
        <v>135275909</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18636255</v>
      </c>
      <c r="C100" s="266">
        <f>'Sources and Uses Budget'!$C99</f>
        <v>18636255</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18636255</v>
      </c>
      <c r="C105" s="270">
        <f>SUM(C100:C104)</f>
        <v>18636255</v>
      </c>
      <c r="D105" s="270">
        <f t="shared" si="1"/>
        <v>0</v>
      </c>
      <c r="E105" s="268"/>
      <c r="F105" s="267"/>
    </row>
    <row r="106" spans="1:6" s="352" customFormat="1">
      <c r="A106" s="271" t="s">
        <v>781</v>
      </c>
      <c r="B106" s="273">
        <f>SUM(B98+B105)</f>
        <v>153912164</v>
      </c>
      <c r="C106" s="273">
        <f>SUM(C98+C105)</f>
        <v>153912164</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089" workbookViewId="0">
      <selection activeCell="B1123" sqref="B11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2740</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2741</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2740</v>
      </c>
      <c r="D24" s="1283" t="s">
        <v>1092</v>
      </c>
      <c r="E24" s="1283"/>
      <c r="F24" s="1283"/>
      <c r="I24" s="490"/>
    </row>
    <row r="25" spans="1:9" ht="14.25">
      <c r="A25" s="484"/>
      <c r="B25" s="484"/>
      <c r="D25" s="1283"/>
      <c r="E25" s="1283"/>
      <c r="F25" s="1283"/>
      <c r="I25" s="490"/>
    </row>
    <row r="26" spans="1:9">
      <c r="I26" s="490"/>
    </row>
    <row r="27" spans="1:9" ht="14.25">
      <c r="A27" s="484"/>
      <c r="B27" s="485" t="s">
        <v>2741</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2740</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2740</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2740</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2740</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2740</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2741</v>
      </c>
      <c r="D56" s="1307" t="s">
        <v>1096</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2740</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2740</v>
      </c>
      <c r="D65" s="1283" t="s">
        <v>1098</v>
      </c>
      <c r="E65" s="1283"/>
      <c r="F65" s="1283"/>
      <c r="I65" s="490"/>
    </row>
    <row r="66" spans="1:9">
      <c r="D66" s="1283"/>
      <c r="E66" s="1283"/>
      <c r="F66" s="1283"/>
      <c r="I66" s="490"/>
    </row>
    <row r="67" spans="1:9">
      <c r="I67" s="490"/>
    </row>
    <row r="68" spans="1:9" ht="14.25">
      <c r="A68" s="484"/>
      <c r="B68" s="485" t="s">
        <v>2740</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2740</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2741</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2741</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2741</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2741</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2740</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2740</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2740</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2741</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2741</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2741</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2741</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2740</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2741</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2740</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2741</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2740</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2740</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2740</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2740</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25">
      <c r="A217" s="484"/>
      <c r="B217" s="485" t="s">
        <v>2740</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2741</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2741</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2740</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2740</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2741</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2741</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2741</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2740</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2740</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2740</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2740</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2740</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2740</v>
      </c>
      <c r="D305" s="1284" t="s">
        <v>1130</v>
      </c>
      <c r="E305" s="1284"/>
      <c r="F305" s="1284"/>
      <c r="I305" s="490"/>
    </row>
    <row r="306" spans="1:9" ht="14.25">
      <c r="A306" s="484"/>
      <c r="B306" s="484"/>
      <c r="D306" s="494"/>
      <c r="E306" s="495"/>
      <c r="F306" s="495"/>
      <c r="I306" s="490"/>
    </row>
    <row r="307" spans="1:9" ht="13.7" customHeight="1">
      <c r="B307" s="485" t="s">
        <v>2740</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2740</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2740</v>
      </c>
      <c r="D316" s="1284" t="s">
        <v>1132</v>
      </c>
      <c r="E316" s="1284"/>
      <c r="F316" s="1284"/>
      <c r="I316" s="490"/>
    </row>
    <row r="317" spans="1:9">
      <c r="E317" s="446"/>
      <c r="F317" s="446"/>
      <c r="I317" s="490"/>
    </row>
    <row r="318" spans="1:9" ht="14.25">
      <c r="A318" s="484"/>
      <c r="B318" s="485" t="s">
        <v>2740</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2740</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2740</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2740</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2740</v>
      </c>
      <c r="C360" s="476"/>
      <c r="D360" s="1295" t="s">
        <v>2057</v>
      </c>
      <c r="E360" s="1295"/>
      <c r="F360" s="1295"/>
      <c r="I360" s="480"/>
    </row>
    <row r="361" spans="1:9">
      <c r="A361" s="476"/>
      <c r="B361" s="476"/>
      <c r="C361" s="476"/>
      <c r="D361" s="447"/>
      <c r="E361" s="447"/>
      <c r="F361" s="446"/>
      <c r="I361" s="490"/>
    </row>
    <row r="362" spans="1:9">
      <c r="A362" s="476"/>
      <c r="B362" s="485" t="s">
        <v>2740</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2740</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2740</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2740</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2740</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2740</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2740</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2740</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2740</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2740</v>
      </c>
      <c r="C471" s="484"/>
      <c r="D471" s="1283" t="s">
        <v>1198</v>
      </c>
      <c r="E471" s="1283"/>
      <c r="F471" s="1283"/>
      <c r="I471" s="490"/>
    </row>
    <row r="472" spans="1:9">
      <c r="D472" s="1283"/>
      <c r="E472" s="1283"/>
      <c r="F472" s="1283"/>
      <c r="I472" s="490"/>
    </row>
    <row r="473" spans="1:9">
      <c r="D473" s="446"/>
      <c r="E473" s="446"/>
      <c r="F473" s="446"/>
      <c r="I473" s="490"/>
    </row>
    <row r="474" spans="1:9" ht="14.25">
      <c r="B474" s="485" t="s">
        <v>2740</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2740</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2740</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2740</v>
      </c>
      <c r="C486" s="402"/>
      <c r="D486" s="1283"/>
      <c r="E486" s="1283"/>
      <c r="F486" s="1283"/>
      <c r="I486" s="490"/>
    </row>
    <row r="487" spans="1:9">
      <c r="A487" s="402"/>
      <c r="C487" s="402"/>
      <c r="D487" s="1283"/>
      <c r="E487" s="1283"/>
      <c r="F487" s="1283"/>
      <c r="I487" s="490"/>
    </row>
    <row r="488" spans="1:9">
      <c r="A488" s="402"/>
      <c r="B488" s="485" t="s">
        <v>2740</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2740</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2740</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2740</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2740</v>
      </c>
      <c r="D509" s="1284" t="s">
        <v>1144</v>
      </c>
      <c r="E509" s="1284"/>
      <c r="F509" s="1284"/>
      <c r="I509" s="490"/>
    </row>
    <row r="510" spans="1:9" ht="14.25">
      <c r="A510" s="484"/>
      <c r="B510" s="484"/>
      <c r="D510" s="446"/>
      <c r="I510" s="490"/>
    </row>
    <row r="511" spans="1:9" ht="14.25">
      <c r="A511" s="484"/>
      <c r="B511" s="485" t="s">
        <v>2740</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2740</v>
      </c>
      <c r="D514" s="1284" t="s">
        <v>1146</v>
      </c>
      <c r="E514" s="1284"/>
      <c r="F514" s="1284"/>
      <c r="I514" s="490"/>
    </row>
    <row r="515" spans="1:9">
      <c r="D515" s="446"/>
      <c r="E515" s="446"/>
      <c r="F515" s="446"/>
      <c r="I515" s="490"/>
    </row>
    <row r="516" spans="1:9">
      <c r="B516" s="485" t="s">
        <v>2740</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2741</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2740</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2740</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2741</v>
      </c>
      <c r="C548" s="487"/>
      <c r="D548" s="1284" t="s">
        <v>885</v>
      </c>
      <c r="E548" s="1284"/>
      <c r="F548" s="1284"/>
      <c r="I548" s="490"/>
    </row>
    <row r="549" spans="1:9" ht="13.7" customHeight="1">
      <c r="A549" s="487"/>
      <c r="B549" s="487"/>
      <c r="C549" s="487"/>
      <c r="D549" s="446"/>
      <c r="I549" s="490"/>
    </row>
    <row r="550" spans="1:9" ht="14.25">
      <c r="A550" s="484"/>
      <c r="B550" s="485" t="s">
        <v>2741</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2741</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2741</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2741</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2740</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2741</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2741</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2741</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2741</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2741</v>
      </c>
      <c r="D588" s="1287" t="s">
        <v>889</v>
      </c>
      <c r="E588" s="1287"/>
      <c r="F588" s="1287"/>
      <c r="I588" s="490"/>
    </row>
    <row r="589" spans="1:9">
      <c r="A589" s="490"/>
      <c r="B589" s="490"/>
      <c r="D589" s="476"/>
      <c r="I589" s="490"/>
    </row>
    <row r="590" spans="1:9">
      <c r="A590" s="490"/>
      <c r="B590" s="485" t="s">
        <v>2741</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2740</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2741</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2740</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2741</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2741</v>
      </c>
      <c r="D620" s="1308" t="s">
        <v>1112</v>
      </c>
      <c r="E620" s="1308"/>
      <c r="F620" s="1308"/>
      <c r="I620" s="490"/>
    </row>
    <row r="621" spans="1:9">
      <c r="D621" s="1308"/>
      <c r="E621" s="1308"/>
      <c r="F621" s="1308"/>
      <c r="I621" s="490"/>
    </row>
    <row r="622" spans="1:9">
      <c r="I622" s="490"/>
    </row>
    <row r="623" spans="1:9">
      <c r="B623" s="485" t="s">
        <v>2741</v>
      </c>
      <c r="D623" s="1308" t="s">
        <v>1113</v>
      </c>
      <c r="E623" s="1308"/>
      <c r="F623" s="1308"/>
      <c r="I623" s="490"/>
    </row>
    <row r="624" spans="1:9">
      <c r="C624" s="500"/>
      <c r="D624" s="1308"/>
      <c r="E624" s="1308"/>
      <c r="F624" s="1308"/>
      <c r="I624" s="490"/>
    </row>
    <row r="625" spans="1:9">
      <c r="C625" s="500"/>
      <c r="I625" s="490"/>
    </row>
    <row r="626" spans="1:9">
      <c r="B626" s="485" t="s">
        <v>2740</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2741</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2740</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2740</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2740</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2741</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2741</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2741</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2741</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2740</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2740</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2741</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2740</v>
      </c>
      <c r="C698" s="483"/>
      <c r="D698" s="1284" t="s">
        <v>2469</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2740</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2740</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2740</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2740</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2740</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2740</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2740</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2740</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2741</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2740</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2740</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2740</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2740</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2741</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2740</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2740</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2740</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2740</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2740</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2740</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2741</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2741</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2740</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2740</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2740</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2741</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2741</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2740</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2740</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2740</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2741</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2741</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2741</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2740</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2740</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2740</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2740</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2740</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2741</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2740</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2740</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2740</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2740</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2741</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2741</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2740</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2740</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2740</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2740</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2741</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2741</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2740</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2740</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2740</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2740</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2741</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2740</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2740</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2741</v>
      </c>
      <c r="C1062" s="402"/>
      <c r="D1062" s="402" t="s">
        <v>1813</v>
      </c>
      <c r="I1062" s="490"/>
    </row>
    <row r="1063" spans="1:9">
      <c r="A1063" s="402"/>
      <c r="B1063" s="402"/>
      <c r="C1063" s="402"/>
      <c r="I1063" s="490"/>
    </row>
    <row r="1064" spans="1:9">
      <c r="A1064" s="402"/>
      <c r="B1064" s="485" t="s">
        <v>2741</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2741</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2740</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2740</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2740</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2740</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2740</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2740</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2740</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2740</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2741</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2740</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273" workbookViewId="0">
      <selection activeCell="AG449" sqref="AG449:AJ44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Northern (Butte, El Dorado, Placer, Sacramento, San Joaquin, Shasta, Solano, Sutter, Yuba, and Yolo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34</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8"/>
      <c r="AV8" s="898"/>
      <c r="AW8" s="898"/>
      <c r="AX8" s="898"/>
      <c r="AY8" s="898"/>
      <c r="BD8" s="3" t="s">
        <v>2510</v>
      </c>
      <c r="BE8" s="1249">
        <f>SUMIF($AC$718:$AC$752,"&lt;=35%",$G$718:G$752)-SUM($BE$5:BE7)</f>
        <v>0</v>
      </c>
    </row>
    <row r="9" spans="1:58" ht="12.95" customHeight="1">
      <c r="A9" s="1835" t="s">
        <v>2077</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48" t="s">
        <v>2502</v>
      </c>
      <c r="BE9" s="1249">
        <f>SUMIF($AC$718:$AC$752,"&lt;=40%",$G$718:G$752)-SUM($BE$5:BE8)</f>
        <v>0</v>
      </c>
    </row>
    <row r="10" spans="1:58" ht="12.95" customHeight="1">
      <c r="A10" s="1835" t="s">
        <v>2459</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2511</v>
      </c>
      <c r="BE10" s="1249">
        <f>SUMIF($AC$718:$AC$752,"&lt;=45%",$G$718:G$752)-SUM($BE$5:BE9)</f>
        <v>0</v>
      </c>
    </row>
    <row r="11" spans="1:58" ht="12.95" customHeight="1">
      <c r="A11" s="1835" t="s">
        <v>2605</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47" t="s">
        <v>2503</v>
      </c>
      <c r="BE11" s="1249">
        <f>SUMIF($AC$718:$AC$752,"&lt;=50%",$G$718:G$752)-SUM($BE$5:BE10)</f>
        <v>57</v>
      </c>
    </row>
    <row r="12" spans="1:58" ht="12.95" customHeight="1">
      <c r="A12" s="1836" t="s">
        <v>2611</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2512</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71</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159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840" t="s">
        <v>2613</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657</v>
      </c>
      <c r="BE16" s="1249" t="str">
        <f>Application!H18</f>
        <v xml:space="preserve">USA University Avenue </v>
      </c>
    </row>
    <row r="17" spans="1:58" ht="12.95" customHeight="1">
      <c r="BD17" s="1247" t="s">
        <v>2519</v>
      </c>
      <c r="BE17" s="1249">
        <f>Application!AA934</f>
        <v>0</v>
      </c>
    </row>
    <row r="18" spans="1:58" ht="12.95" customHeight="1">
      <c r="A18" s="57" t="s">
        <v>101</v>
      </c>
      <c r="C18" s="4"/>
      <c r="D18" s="4"/>
      <c r="E18" s="4"/>
      <c r="F18" s="4"/>
      <c r="G18" s="4"/>
      <c r="H18" s="1408" t="s">
        <v>2614</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2520</v>
      </c>
      <c r="BE18" s="1249">
        <f>'CalHFA Addendum'!N11</f>
        <v>0</v>
      </c>
    </row>
    <row r="19" spans="1:58" ht="12.95" customHeight="1">
      <c r="BD19" s="1247" t="s">
        <v>2521</v>
      </c>
      <c r="BE19" s="1249">
        <f>Application!M26</f>
        <v>7429654</v>
      </c>
    </row>
    <row r="20" spans="1:58" ht="12.95" customHeight="1">
      <c r="A20" s="1837" t="s">
        <v>874</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0"/>
      <c r="AV20" s="900"/>
      <c r="AW20" s="900"/>
      <c r="AX20" s="900"/>
      <c r="AY20" s="900"/>
      <c r="BD20" s="1248" t="s">
        <v>2522</v>
      </c>
      <c r="BE20" s="1249">
        <f>Application!M27</f>
        <v>0</v>
      </c>
    </row>
    <row r="21" spans="1:58" ht="12.95" customHeight="1">
      <c r="A21" s="1841" t="s">
        <v>1010</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2523</v>
      </c>
      <c r="BE21" s="1249">
        <f>Application!AM554</f>
        <v>36990000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153912164</v>
      </c>
      <c r="BF22" s="3" t="s">
        <v>2596</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1</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283862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839">
        <f>'Basis &amp; Credits'!AB56</f>
        <v>7429654</v>
      </c>
      <c r="N26" s="1839"/>
      <c r="O26" s="1839"/>
      <c r="P26" s="1839"/>
      <c r="Q26" s="183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6" t="s">
        <v>2148</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2528</v>
      </c>
      <c r="BE29" s="1249" t="b">
        <f>Application!M358="Yes"</f>
        <v>0</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416" t="s">
        <v>670</v>
      </c>
      <c r="P33" s="1416"/>
      <c r="Q33" s="1838" t="s">
        <v>2149</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47" t="s">
        <v>2597</v>
      </c>
      <c r="BE33" s="1249" t="str">
        <f>Application!D220</f>
        <v>Capital Region: El Dorado, Placer, Sacramento, Sutter, Yuba, and Yolo Counties</v>
      </c>
    </row>
    <row r="34" spans="1:57" ht="12.95" customHeight="1">
      <c r="A34" s="1536" t="s">
        <v>2150</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2531</v>
      </c>
      <c r="BE34" s="1249" t="str">
        <f>Application!I185</f>
        <v>University Avenue</v>
      </c>
    </row>
    <row r="35" spans="1:57" ht="12.9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2532</v>
      </c>
      <c r="BE35" s="1249" t="str">
        <f>IF(Application!E187="","",Application!E187)</f>
        <v>University Avenue between Sunsent Blvd. and Whitney Ranch Pkwy</v>
      </c>
    </row>
    <row r="36" spans="1:57" ht="12.9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2533</v>
      </c>
      <c r="BE36" s="1249" t="str">
        <f>Application!I189</f>
        <v>Rocklin</v>
      </c>
    </row>
    <row r="37" spans="1:57" ht="12.9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2534</v>
      </c>
      <c r="BE37" s="1249" t="str">
        <f>Application!T189</f>
        <v>Placer</v>
      </c>
    </row>
    <row r="38" spans="1:57" ht="12.95" customHeight="1">
      <c r="A38" s="3"/>
      <c r="AZ38" s="20"/>
      <c r="BD38" s="1248" t="s">
        <v>2535</v>
      </c>
      <c r="BE38" s="1249">
        <f>Application!I190</f>
        <v>95765</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324</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321</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0.60000000000000009</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0.60004978818445465</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475037.54320987652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8</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USA Rocklin WJU 719, Inc.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Darren Bobrowsky</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USA Properties Fund, Inc.</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Riverside Charitable Corporation</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Recinda Shafer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USA Multi-Family Development, Inc.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3200 Douglas Blvd.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Roseville, CA 95661</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Darren Bobrowsky</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dbobrowsky@usapropfund.com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0.88</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545" t="s">
        <v>2157</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2594</v>
      </c>
      <c r="BE65" s="1249" t="str">
        <f>Z205</f>
        <v>(select)</v>
      </c>
    </row>
    <row r="66" spans="1:57"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2559</v>
      </c>
      <c r="BE66" s="1249" t="b">
        <f>Application!Z205="State Farmworker Credit"</f>
        <v>0</v>
      </c>
    </row>
    <row r="67" spans="1:57"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45" t="s">
        <v>2158</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2562</v>
      </c>
      <c r="BE69" s="1249" t="str">
        <f>Application!W700</f>
        <v>California Municipal Finance Authority</v>
      </c>
    </row>
    <row r="70" spans="1:57"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2563</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36" t="s">
        <v>2159</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2565</v>
      </c>
      <c r="BE72" s="1249">
        <f>'Points System'!AF805</f>
        <v>10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4" t="s">
        <v>2160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2568</v>
      </c>
      <c r="BE75" s="1249">
        <f>'Points System'!AF808</f>
        <v>10</v>
      </c>
    </row>
    <row r="76" spans="1:57"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2569</v>
      </c>
      <c r="BE76" s="1249">
        <f>'Points System'!AF811</f>
        <v>10</v>
      </c>
    </row>
    <row r="77" spans="1:57"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5" t="s">
        <v>2161</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2572</v>
      </c>
      <c r="BE79" s="1249">
        <f>'Points System'!AF815</f>
        <v>10</v>
      </c>
    </row>
    <row r="80" spans="1:57"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2573</v>
      </c>
      <c r="BE80" s="1249">
        <f>'Points System'!AF817</f>
        <v>10</v>
      </c>
    </row>
    <row r="81" spans="1:57"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1.9551040576651155</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Rocklin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Aly Zimmerman</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3970 Rocklin Road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Rocklin</v>
      </c>
    </row>
    <row r="89" spans="1:57" ht="12.95" customHeight="1">
      <c r="A89" s="1553" t="s">
        <v>2164</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2582</v>
      </c>
      <c r="BE89" s="1249">
        <f>Application!O158</f>
        <v>95677</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2583</v>
      </c>
      <c r="BE90" s="1249" t="str">
        <f>Application!H16</f>
        <v>WJU Holding 719,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3200 Douglas Blvd., Suite 200</v>
      </c>
    </row>
    <row r="92" spans="1:57" ht="12.95" customHeight="1">
      <c r="A92" s="1544" t="s">
        <v>2165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2585</v>
      </c>
      <c r="BE92" s="1249" t="str">
        <f>Application!M234</f>
        <v>Roseville</v>
      </c>
    </row>
    <row r="93" spans="1:57"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2586</v>
      </c>
      <c r="BE93" s="1249" t="str">
        <f>Application!W234</f>
        <v>CA</v>
      </c>
    </row>
    <row r="94" spans="1:57"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2587</v>
      </c>
      <c r="BE94" s="1249">
        <f>Application!AC234</f>
        <v>95661</v>
      </c>
    </row>
    <row r="95" spans="1:57"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2588</v>
      </c>
      <c r="BE95" s="1249" t="str">
        <f>Application!M235</f>
        <v>Darren Bobrowsky</v>
      </c>
    </row>
    <row r="96" spans="1:57"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2589</v>
      </c>
      <c r="BE96" s="1249" t="str">
        <f>Application!M237</f>
        <v>dbobrowsky@usapropfund.com</v>
      </c>
    </row>
    <row r="97" spans="1:57"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2590</v>
      </c>
      <c r="BE97" s="1249" t="str">
        <f>Application!M248</f>
        <v>dbobrowsky@usapropfund.com</v>
      </c>
    </row>
    <row r="98" spans="1:57"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2591</v>
      </c>
      <c r="BE98" s="1249" t="str">
        <f>Application!M256</f>
        <v>recinda@riversidecharitable.org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54" t="s">
        <v>2166</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2593</v>
      </c>
      <c r="BE100" s="1249" t="str">
        <f>Application!L279</f>
        <v>dbobrowsky@usapropfund.com</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2598</v>
      </c>
      <c r="BE101">
        <f>'Sources and Uses Budget'!C105</f>
        <v>153912164</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2599</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4" t="s">
        <v>2167</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7"/>
      <c r="H113" s="1547"/>
      <c r="I113" s="3" t="s">
        <v>182</v>
      </c>
      <c r="L113" s="1547" t="s">
        <v>2689</v>
      </c>
      <c r="M113" s="1547"/>
      <c r="N113" s="1547"/>
      <c r="O113" s="1547"/>
      <c r="P113" s="1562" t="s">
        <v>2240</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2615</v>
      </c>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2616</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2" t="s">
        <v>470</v>
      </c>
      <c r="CV122" s="1693"/>
      <c r="CW122" s="14"/>
      <c r="CX122" s="14" t="s">
        <v>635</v>
      </c>
      <c r="CY122" s="14"/>
      <c r="CZ122" s="14"/>
      <c r="DA122" s="14"/>
      <c r="DB122" s="14"/>
      <c r="DC122" s="14"/>
      <c r="DD122" s="14"/>
      <c r="DE122" s="14"/>
      <c r="DF122" s="14"/>
      <c r="DG122" s="1689" t="str">
        <f>T189</f>
        <v>Placer</v>
      </c>
      <c r="DH122" s="1690"/>
      <c r="DI122" s="1690"/>
      <c r="DJ122" s="1690"/>
      <c r="DK122" s="1690"/>
      <c r="DL122" s="1690"/>
      <c r="DM122" s="1691"/>
    </row>
    <row r="123" spans="1:117" ht="12.95" customHeight="1">
      <c r="A123" s="3"/>
      <c r="B123" s="3"/>
      <c r="T123" s="3"/>
      <c r="U123" s="3"/>
      <c r="V123" s="3"/>
      <c r="W123" s="3"/>
      <c r="X123" s="3"/>
      <c r="Y123" s="1547" t="s">
        <v>2617</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527" t="s">
        <v>2618</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72" t="s">
        <v>2619</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3" t="s">
        <v>441</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2620</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08" t="s">
        <v>2621</v>
      </c>
      <c r="P157" s="1527"/>
      <c r="Q157" s="1527"/>
      <c r="R157" s="1527"/>
      <c r="S157" s="1527"/>
      <c r="T157" s="1527"/>
      <c r="U157" s="1527"/>
      <c r="V157" s="1527"/>
      <c r="W157" s="1527"/>
      <c r="X157" s="152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7">
        <v>95677</v>
      </c>
      <c r="P158" s="1557"/>
      <c r="Q158" s="1557"/>
      <c r="R158" s="1557"/>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2" t="s">
        <v>2622</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2" t="s">
        <v>2623</v>
      </c>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0" t="s">
        <v>2624</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9" t="s">
        <v>2217</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5" t="s">
        <v>540</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6" t="s">
        <v>670</v>
      </c>
      <c r="V175" s="1416"/>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0"/>
      <c r="V176" s="1510"/>
      <c r="W176" s="1" t="s">
        <v>306</v>
      </c>
      <c r="X176" s="1566"/>
      <c r="Y176" s="1566"/>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6"/>
      <c r="S177" s="1416"/>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65"/>
      <c r="AG178" s="1565"/>
      <c r="AH178" s="1" t="s">
        <v>306</v>
      </c>
      <c r="AI178" s="1447"/>
      <c r="AJ178" s="1447"/>
      <c r="AK178" s="144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6" t="s">
        <v>670</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4" t="str">
        <f>H18</f>
        <v xml:space="preserve">USA University Avenue </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2625</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0" t="s">
        <v>2626</v>
      </c>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08" t="s">
        <v>2621</v>
      </c>
      <c r="J189" s="1407"/>
      <c r="K189" s="1407"/>
      <c r="L189" s="1407"/>
      <c r="M189" s="1407"/>
      <c r="N189" s="1407"/>
      <c r="O189" s="1407"/>
      <c r="P189" s="1407"/>
      <c r="Q189" t="s">
        <v>583</v>
      </c>
      <c r="T189" s="1407" t="s">
        <v>65</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95765</v>
      </c>
      <c r="J190" s="1371"/>
      <c r="K190" s="1371"/>
      <c r="L190" s="1371"/>
      <c r="M190" s="1371"/>
      <c r="N190" s="1371"/>
      <c r="O190" t="s">
        <v>586</v>
      </c>
      <c r="T190" s="1555">
        <v>213.23</v>
      </c>
      <c r="U190" s="1555"/>
      <c r="V190" s="1555"/>
      <c r="W190" s="1555"/>
      <c r="X190" s="1555"/>
      <c r="Y190" s="1555"/>
      <c r="Z190" s="1555"/>
      <c r="AA190" s="1555"/>
      <c r="AB190" s="1555"/>
      <c r="AC190" s="1555"/>
      <c r="AD190" s="1555"/>
      <c r="AE190" s="1555"/>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30" t="s">
        <v>2627</v>
      </c>
      <c r="O191" s="1530"/>
      <c r="P191" s="1530"/>
      <c r="Q191" s="1530"/>
      <c r="R191" s="1530"/>
      <c r="S191" s="1530"/>
      <c r="T191" s="1530"/>
      <c r="U191" s="1530"/>
      <c r="V191" s="1530"/>
      <c r="W191" s="1530"/>
      <c r="X191" s="1530"/>
      <c r="Y191" s="1530"/>
      <c r="Z191" s="1530"/>
      <c r="AA191" s="1530"/>
      <c r="AB191" s="1530"/>
      <c r="AC191" s="1530"/>
      <c r="AD191" s="1530"/>
      <c r="AE191" s="1530"/>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0" t="s">
        <v>1970</v>
      </c>
      <c r="U193" s="1560"/>
      <c r="V193" s="1560"/>
      <c r="W193" s="1560"/>
      <c r="X193" s="1560"/>
      <c r="Y193" s="1560"/>
      <c r="Z193" s="1560"/>
      <c r="AA193" s="1560"/>
      <c r="AB193" s="1560"/>
      <c r="AC193" s="1560"/>
      <c r="AD193" s="1560"/>
      <c r="AE193" s="1560"/>
      <c r="AF193" s="1560"/>
      <c r="AG193" s="1560"/>
      <c r="AH193" s="1560"/>
      <c r="AI193" s="1560"/>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6" t="s">
        <v>670</v>
      </c>
      <c r="AI194" s="1416"/>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6" t="s">
        <v>546</v>
      </c>
      <c r="U195" s="1416"/>
      <c r="W195" t="s">
        <v>685</v>
      </c>
      <c r="AH195" s="1416">
        <v>3</v>
      </c>
      <c r="AI195" s="1416"/>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8" t="s">
        <v>670</v>
      </c>
      <c r="U196" s="1428"/>
      <c r="W196" t="s">
        <v>686</v>
      </c>
      <c r="AH196" s="1416">
        <v>5</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8" t="s">
        <v>670</v>
      </c>
      <c r="U197" s="1428"/>
      <c r="W197" t="s">
        <v>687</v>
      </c>
      <c r="AH197" s="1416">
        <v>6</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8"/>
      <c r="U198" s="1428"/>
      <c r="V198"/>
      <c r="X198" s="1536" t="s">
        <v>2514</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6" t="s">
        <v>670</v>
      </c>
      <c r="U199" s="1416"/>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4" t="s">
        <v>385</v>
      </c>
      <c r="E204" s="1484"/>
      <c r="F204" s="1484"/>
      <c r="G204" s="1484"/>
      <c r="H204" s="1484"/>
      <c r="I204" s="1484"/>
      <c r="J204" s="1484"/>
      <c r="K204" s="1484"/>
      <c r="L204" s="1484"/>
      <c r="M204" s="1484"/>
      <c r="P204" s="1550">
        <f>M26</f>
        <v>7429654</v>
      </c>
      <c r="Q204" s="1551"/>
      <c r="R204" s="1551"/>
      <c r="S204" s="1551"/>
      <c r="T204" s="1551"/>
      <c r="U204" s="155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8" t="s">
        <v>1248</v>
      </c>
      <c r="E205" s="1484"/>
      <c r="F205" s="1484"/>
      <c r="G205" s="1484"/>
      <c r="H205" s="1484"/>
      <c r="I205" s="1484"/>
      <c r="J205" s="1484"/>
      <c r="K205" s="1484"/>
      <c r="L205" s="1484"/>
      <c r="M205" s="1484"/>
      <c r="P205" s="1551">
        <f>M27</f>
        <v>0</v>
      </c>
      <c r="Q205" s="1551"/>
      <c r="R205" s="1551"/>
      <c r="S205" s="1551"/>
      <c r="T205" s="1551"/>
      <c r="U205" s="1551"/>
      <c r="V205" s="28"/>
      <c r="W205" s="3" t="s">
        <v>1721</v>
      </c>
      <c r="Z205" s="1534" t="s">
        <v>1185</v>
      </c>
      <c r="AA205" s="1534"/>
      <c r="AB205" s="1534"/>
      <c r="AC205" s="1534"/>
      <c r="AD205" s="1534"/>
      <c r="AE205" s="1534"/>
      <c r="AF205" s="1534"/>
      <c r="AG205" s="1534"/>
      <c r="AH205" s="1534"/>
      <c r="AI205" s="1534"/>
      <c r="AJ205" s="1534"/>
      <c r="AK205" s="1534"/>
      <c r="AL205" s="1534"/>
      <c r="AM205" s="1534"/>
      <c r="AN205" s="1534"/>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7" t="s">
        <v>2628</v>
      </c>
      <c r="E208" s="1527"/>
      <c r="F208" s="1527"/>
      <c r="G208" s="1527"/>
      <c r="H208" s="1527"/>
      <c r="I208" s="1527"/>
      <c r="J208" s="1527"/>
      <c r="K208" s="1527"/>
      <c r="L208" s="1527"/>
      <c r="M208" s="1527"/>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7" t="s">
        <v>1042</v>
      </c>
      <c r="E211" s="1527"/>
      <c r="F211" s="1527"/>
      <c r="G211" s="1527"/>
      <c r="H211" s="1527"/>
      <c r="I211" s="1527"/>
      <c r="J211" s="1527"/>
      <c r="K211" s="1527"/>
      <c r="L211" s="1527"/>
      <c r="M211" s="152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6">
        <v>0</v>
      </c>
      <c r="R212" s="1416"/>
      <c r="T212" s="1563">
        <f>IFERROR(Q212/AG440,0)</f>
        <v>0</v>
      </c>
      <c r="U212" s="1564"/>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27" t="s">
        <v>1065</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7" t="s">
        <v>2468</v>
      </c>
      <c r="AD220" s="1537"/>
      <c r="AE220" s="1537"/>
      <c r="AF220" s="1537"/>
      <c r="AG220" s="1537"/>
      <c r="AH220" s="1537"/>
      <c r="AI220" s="1537"/>
      <c r="AJ220" s="1537"/>
      <c r="AK220" s="1537"/>
      <c r="AL220" s="1537"/>
      <c r="AM220" s="1537"/>
      <c r="AN220" s="1537"/>
      <c r="AO220" s="1537"/>
      <c r="AP220" s="1537"/>
      <c r="AQ220" s="1537"/>
      <c r="BA220" s="3"/>
      <c r="BC220" t="s">
        <v>300</v>
      </c>
    </row>
    <row r="221" spans="1:108" ht="12.95" customHeight="1">
      <c r="A221" s="2"/>
      <c r="B221" s="14"/>
      <c r="C221" s="2"/>
      <c r="BA221" s="3"/>
    </row>
    <row r="222" spans="1:108" ht="12.95" customHeight="1">
      <c r="A222" s="1535" t="s">
        <v>541</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592</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546</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6" t="str">
        <f>H16</f>
        <v>WJU Holding 719,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539</v>
      </c>
      <c r="BG232" s="241">
        <f>IF(AND(AND($M$249="nonprofit",$M$257="nonprofit",$M$265="for profit")),2,0)</f>
        <v>0</v>
      </c>
    </row>
    <row r="233" spans="1:59" ht="12.95" customHeight="1">
      <c r="D233" s="4" t="s">
        <v>85</v>
      </c>
      <c r="E233" s="4"/>
      <c r="F233" s="4"/>
      <c r="G233" s="4"/>
      <c r="H233" s="4"/>
      <c r="I233" s="4"/>
      <c r="J233" s="4"/>
      <c r="K233" s="4"/>
      <c r="M233" s="1527" t="s">
        <v>2629</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539</v>
      </c>
      <c r="BG233" s="241">
        <f>IF(AND(AND($M$249="nonprofit",$M$257="for profit",$M$265="nonprofit")),2,0)</f>
        <v>0</v>
      </c>
    </row>
    <row r="234" spans="1:59" ht="12.95" customHeight="1">
      <c r="D234" s="4" t="s">
        <v>581</v>
      </c>
      <c r="E234" s="4"/>
      <c r="M234" s="1527" t="s">
        <v>2615</v>
      </c>
      <c r="N234" s="1527"/>
      <c r="O234" s="1527"/>
      <c r="P234" s="1527"/>
      <c r="Q234" s="1527"/>
      <c r="R234" s="1527"/>
      <c r="S234" s="1527"/>
      <c r="T234" s="1527"/>
      <c r="V234" s="33" t="s">
        <v>86</v>
      </c>
      <c r="W234" s="1559" t="s">
        <v>2630</v>
      </c>
      <c r="X234" s="1472"/>
      <c r="Y234" s="4" t="s">
        <v>584</v>
      </c>
      <c r="AC234" s="1527">
        <v>95661</v>
      </c>
      <c r="AD234" s="1527"/>
      <c r="AE234" s="152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7" t="s">
        <v>2616</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2.95" customHeight="1">
      <c r="D236" s="4" t="s">
        <v>88</v>
      </c>
      <c r="E236" s="4"/>
      <c r="F236" s="4"/>
      <c r="M236" s="1488" t="s">
        <v>2633</v>
      </c>
      <c r="N236" s="1488"/>
      <c r="O236" s="1488"/>
      <c r="P236" s="1488"/>
      <c r="Q236" s="1488"/>
      <c r="R236" s="1488"/>
      <c r="S236" s="4" t="s">
        <v>206</v>
      </c>
      <c r="T236" s="4"/>
      <c r="U236" s="1472"/>
      <c r="V236" s="1472"/>
      <c r="W236" s="1472"/>
      <c r="X236" s="4" t="s">
        <v>89</v>
      </c>
      <c r="Z236" s="1488" t="s">
        <v>2634</v>
      </c>
      <c r="AA236" s="1488"/>
      <c r="AB236" s="1488"/>
      <c r="AC236" s="1488"/>
      <c r="AD236" s="1488"/>
      <c r="AE236" s="1488"/>
      <c r="AU236" s="4"/>
      <c r="AV236" s="4"/>
      <c r="AW236" s="4"/>
      <c r="AX236" s="4"/>
      <c r="AY236" s="4"/>
      <c r="AZ236" s="4"/>
      <c r="BB236" s="204" t="s">
        <v>538</v>
      </c>
      <c r="BG236" s="241">
        <f>IF(AND(AND($M$249="nonprofit",$M$257="nonprofit",$M$265="(select one)")),1,0)</f>
        <v>0</v>
      </c>
    </row>
    <row r="237" spans="1:59" ht="12.95" customHeight="1">
      <c r="D237" s="4" t="s">
        <v>90</v>
      </c>
      <c r="E237" s="4"/>
      <c r="F237" s="4"/>
      <c r="M237" s="1540" t="s">
        <v>2635</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1" t="s">
        <v>2636</v>
      </c>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2" t="s">
        <v>2631</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2632</v>
      </c>
      <c r="AG243" s="1542"/>
      <c r="AH243" s="1542"/>
      <c r="AI243" s="1542"/>
      <c r="AJ243" s="1542"/>
      <c r="AK243" s="154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7" t="s">
        <v>2629</v>
      </c>
      <c r="N244" s="1527"/>
      <c r="O244" s="1527"/>
      <c r="P244" s="1527"/>
      <c r="Q244" s="1527"/>
      <c r="R244" s="1527"/>
      <c r="S244" s="1527"/>
      <c r="T244" s="1527"/>
      <c r="U244" s="1527"/>
      <c r="V244" s="1527"/>
      <c r="W244" s="1527"/>
      <c r="X244" s="1527"/>
      <c r="Y244" s="1527"/>
      <c r="Z244" s="1527"/>
      <c r="AA244" s="1527"/>
      <c r="AB244" s="1527"/>
      <c r="AC244" s="1527"/>
      <c r="AD244" s="1527"/>
      <c r="AE244" s="152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7" t="s">
        <v>2615</v>
      </c>
      <c r="N245" s="1527"/>
      <c r="O245" s="1527"/>
      <c r="P245" s="1527"/>
      <c r="Q245" s="1527"/>
      <c r="R245" s="1527"/>
      <c r="S245" s="1527"/>
      <c r="T245" s="1527"/>
      <c r="V245" s="33" t="s">
        <v>86</v>
      </c>
      <c r="W245" s="1559" t="s">
        <v>2630</v>
      </c>
      <c r="X245" s="1472"/>
      <c r="Y245" s="4" t="s">
        <v>584</v>
      </c>
      <c r="AC245" s="1527">
        <v>95661</v>
      </c>
      <c r="AD245" s="1527"/>
      <c r="AE245" s="152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7" t="s">
        <v>2616</v>
      </c>
      <c r="N246" s="1527"/>
      <c r="O246" s="1527"/>
      <c r="P246" s="1527"/>
      <c r="Q246" s="1527"/>
      <c r="R246" s="1527"/>
      <c r="S246" s="1527"/>
      <c r="T246" s="1527"/>
      <c r="U246" s="1527"/>
      <c r="V246" s="1527"/>
      <c r="W246" s="1527"/>
      <c r="X246" s="1527"/>
      <c r="Y246" s="1527"/>
      <c r="Z246" s="1527"/>
      <c r="AA246" s="1527"/>
      <c r="AB246" s="1527"/>
      <c r="AC246" s="1527"/>
      <c r="AD246" s="1527"/>
      <c r="AE246" s="1527"/>
      <c r="AH246" s="1539">
        <v>8.9999999999999993E-3</v>
      </c>
      <c r="AI246" s="1539"/>
      <c r="AJ246" s="1539"/>
      <c r="AK246" s="153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8" t="s">
        <v>2633</v>
      </c>
      <c r="N247" s="1488"/>
      <c r="O247" s="1488"/>
      <c r="P247" s="1488"/>
      <c r="Q247" s="1488"/>
      <c r="R247" s="1488"/>
      <c r="S247" s="4" t="s">
        <v>206</v>
      </c>
      <c r="T247" s="4"/>
      <c r="U247" s="1472"/>
      <c r="V247" s="1472"/>
      <c r="W247" s="1472"/>
      <c r="X247" s="4" t="s">
        <v>89</v>
      </c>
      <c r="Z247" s="1488" t="s">
        <v>2634</v>
      </c>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540" t="s">
        <v>2635</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61" t="s">
        <v>2636</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2" t="s">
        <v>2637</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2638</v>
      </c>
      <c r="AG251" s="1542"/>
      <c r="AH251" s="1542"/>
      <c r="AI251" s="1542"/>
      <c r="AJ251" s="1542"/>
      <c r="AK251" s="1542"/>
      <c r="AU251" s="4"/>
      <c r="AV251" s="4"/>
      <c r="AW251" s="4"/>
      <c r="AX251" s="4"/>
      <c r="AY251" s="4"/>
      <c r="BN251" s="34"/>
    </row>
    <row r="252" spans="1:67" ht="12.95" customHeight="1">
      <c r="A252" s="19"/>
      <c r="B252" s="4"/>
      <c r="C252" s="4"/>
      <c r="D252" s="4" t="s">
        <v>85</v>
      </c>
      <c r="E252" s="4"/>
      <c r="F252" s="4"/>
      <c r="G252" s="4"/>
      <c r="H252" s="4"/>
      <c r="I252" s="4"/>
      <c r="J252" s="4"/>
      <c r="K252" s="4"/>
      <c r="L252" s="4"/>
      <c r="M252" s="1527" t="s">
        <v>2639</v>
      </c>
      <c r="N252" s="1527"/>
      <c r="O252" s="1527"/>
      <c r="P252" s="1527"/>
      <c r="Q252" s="1527"/>
      <c r="R252" s="1527"/>
      <c r="S252" s="1527"/>
      <c r="T252" s="1527"/>
      <c r="U252" s="1527"/>
      <c r="V252" s="1527"/>
      <c r="W252" s="1527"/>
      <c r="X252" s="1527"/>
      <c r="Y252" s="1527"/>
      <c r="Z252" s="1527"/>
      <c r="AA252" s="1527"/>
      <c r="AB252" s="1527"/>
      <c r="AC252" s="1527"/>
      <c r="AD252" s="1527"/>
      <c r="AE252" s="1527"/>
      <c r="AF252" s="3" t="s">
        <v>1180</v>
      </c>
      <c r="AL252" s="4"/>
      <c r="AM252" s="4"/>
      <c r="AN252" s="4"/>
      <c r="AO252" s="4"/>
      <c r="AP252" s="4"/>
      <c r="AQ252" s="4"/>
      <c r="AR252" s="4"/>
      <c r="AS252" s="4"/>
      <c r="AT252" s="4"/>
      <c r="BN252" s="34"/>
    </row>
    <row r="253" spans="1:67" ht="12.95" customHeight="1">
      <c r="A253" s="19"/>
      <c r="B253" s="4"/>
      <c r="C253" s="4"/>
      <c r="D253" s="4" t="s">
        <v>581</v>
      </c>
      <c r="E253" s="4"/>
      <c r="M253" s="1527" t="s">
        <v>2640</v>
      </c>
      <c r="N253" s="1527"/>
      <c r="O253" s="1527"/>
      <c r="P253" s="1527"/>
      <c r="Q253" s="1527"/>
      <c r="R253" s="1527"/>
      <c r="S253" s="1527"/>
      <c r="T253" s="1527"/>
      <c r="V253" s="33" t="s">
        <v>86</v>
      </c>
      <c r="W253" s="1559" t="s">
        <v>2630</v>
      </c>
      <c r="X253" s="1472"/>
      <c r="Y253" s="4" t="s">
        <v>584</v>
      </c>
      <c r="AC253" s="1527">
        <v>92870</v>
      </c>
      <c r="AD253" s="1527"/>
      <c r="AE253" s="152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08" t="s">
        <v>2641</v>
      </c>
      <c r="N254" s="1527"/>
      <c r="O254" s="1527"/>
      <c r="P254" s="1527"/>
      <c r="Q254" s="1527"/>
      <c r="R254" s="1527"/>
      <c r="S254" s="1527"/>
      <c r="T254" s="1527"/>
      <c r="U254" s="1527"/>
      <c r="V254" s="1527"/>
      <c r="W254" s="1527"/>
      <c r="X254" s="1527"/>
      <c r="Y254" s="1527"/>
      <c r="Z254" s="1527"/>
      <c r="AA254" s="1527"/>
      <c r="AB254" s="1527"/>
      <c r="AC254" s="1527"/>
      <c r="AD254" s="1527"/>
      <c r="AE254" s="1527"/>
      <c r="AH254" s="1539">
        <v>1E-3</v>
      </c>
      <c r="AI254" s="1539"/>
      <c r="AJ254" s="1539"/>
      <c r="AK254" s="1539"/>
      <c r="AL254" s="4"/>
      <c r="AM254" s="4"/>
      <c r="AN254" s="4"/>
      <c r="AO254" s="4"/>
      <c r="AP254" s="4"/>
      <c r="AQ254" s="4"/>
      <c r="AR254" s="4"/>
      <c r="AS254" s="4"/>
      <c r="AT254" s="4"/>
    </row>
    <row r="255" spans="1:67" ht="12.95" customHeight="1">
      <c r="A255" s="19"/>
      <c r="B255" s="4"/>
      <c r="C255" s="4"/>
      <c r="D255" s="4" t="s">
        <v>88</v>
      </c>
      <c r="E255" s="4"/>
      <c r="F255" s="4"/>
      <c r="M255" s="1488">
        <v>7146281654</v>
      </c>
      <c r="N255" s="1488"/>
      <c r="O255" s="1488"/>
      <c r="P255" s="1488"/>
      <c r="Q255" s="1488"/>
      <c r="R255" s="1488"/>
      <c r="S255" s="4" t="s">
        <v>206</v>
      </c>
      <c r="T255" s="4"/>
      <c r="U255" s="1472"/>
      <c r="V255" s="1472"/>
      <c r="W255" s="1472"/>
      <c r="X255" s="4" t="s">
        <v>89</v>
      </c>
      <c r="Z255" s="1488"/>
      <c r="AA255" s="1488"/>
      <c r="AB255" s="1488"/>
      <c r="AC255" s="1488"/>
      <c r="AD255" s="1488"/>
      <c r="AE255" s="1488"/>
      <c r="AU255" s="4"/>
      <c r="AV255" s="4"/>
      <c r="AW255" s="4"/>
      <c r="AX255" s="4"/>
      <c r="AY255" s="4"/>
      <c r="BN255" s="34"/>
    </row>
    <row r="256" spans="1:67" ht="12.95" customHeight="1">
      <c r="A256" s="19"/>
      <c r="B256" s="4"/>
      <c r="C256" s="4"/>
      <c r="D256" s="4" t="s">
        <v>90</v>
      </c>
      <c r="E256" s="4"/>
      <c r="F256" s="4"/>
      <c r="M256" s="1540" t="s">
        <v>2642</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61"/>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7"/>
      <c r="N261" s="1527"/>
      <c r="O261" s="1527"/>
      <c r="P261" s="1527"/>
      <c r="Q261" s="1527"/>
      <c r="R261" s="1527"/>
      <c r="S261" s="1527"/>
      <c r="T261" s="1527"/>
      <c r="V261" s="33" t="s">
        <v>86</v>
      </c>
      <c r="W261" s="1472"/>
      <c r="X261" s="1472"/>
      <c r="Y261" s="4" t="s">
        <v>584</v>
      </c>
      <c r="AC261" s="1527"/>
      <c r="AD261" s="1527"/>
      <c r="AE261" s="152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39"/>
      <c r="AI262" s="1539"/>
      <c r="AJ262" s="1539"/>
      <c r="AK262" s="153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3"/>
      <c r="AB265" s="1573"/>
      <c r="AC265" s="1573"/>
      <c r="AD265" s="1573"/>
      <c r="AE265" s="1573"/>
      <c r="AF265" s="1573"/>
      <c r="AG265" s="1573"/>
      <c r="AH265" s="1573"/>
      <c r="AI265" s="1573"/>
      <c r="AJ265" s="1573"/>
      <c r="AK265" s="1573"/>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7" t="str">
        <f>IFERROR(BO245,"")</f>
        <v>Joint Venture</v>
      </c>
      <c r="U267" s="1567"/>
      <c r="V267" s="1567"/>
      <c r="W267" s="1567"/>
      <c r="X267" s="1567"/>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7" t="s">
        <v>173</v>
      </c>
      <c r="E270" s="1527"/>
      <c r="F270" s="1527"/>
      <c r="G270" s="1527"/>
      <c r="H270" s="1527"/>
      <c r="J270" t="s">
        <v>279</v>
      </c>
      <c r="X270" s="1507">
        <v>45992</v>
      </c>
      <c r="Y270" s="1507"/>
      <c r="Z270" s="1507"/>
      <c r="AA270" s="1507"/>
      <c r="AB270" s="1507"/>
      <c r="AC270" s="150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2" t="s">
        <v>2636</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7" t="s">
        <v>2629</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5" customHeight="1">
      <c r="D276" s="4" t="s">
        <v>581</v>
      </c>
      <c r="E276" s="4"/>
      <c r="L276" s="1527" t="s">
        <v>2615</v>
      </c>
      <c r="M276" s="1527"/>
      <c r="N276" s="1527"/>
      <c r="O276" s="1527"/>
      <c r="P276" s="1527"/>
      <c r="Q276" s="1527"/>
      <c r="R276" s="1527"/>
      <c r="S276" s="1527"/>
      <c r="U276" s="33" t="s">
        <v>86</v>
      </c>
      <c r="V276" s="1559" t="s">
        <v>2630</v>
      </c>
      <c r="W276" s="1472"/>
      <c r="X276" s="4" t="s">
        <v>584</v>
      </c>
      <c r="AB276" s="1527">
        <v>95661</v>
      </c>
      <c r="AC276" s="1527"/>
      <c r="AD276" s="152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7" t="s">
        <v>2616</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5" customHeight="1">
      <c r="D278" s="4" t="s">
        <v>88</v>
      </c>
      <c r="E278" s="4"/>
      <c r="F278" s="4"/>
      <c r="L278" s="1488" t="s">
        <v>2633</v>
      </c>
      <c r="M278" s="1488"/>
      <c r="N278" s="1488"/>
      <c r="O278" s="1488"/>
      <c r="P278" s="1488"/>
      <c r="Q278" s="1488"/>
      <c r="R278" s="4" t="s">
        <v>206</v>
      </c>
      <c r="S278" s="4"/>
      <c r="T278" s="1472"/>
      <c r="U278" s="1472"/>
      <c r="V278" s="1472"/>
      <c r="W278" s="4" t="s">
        <v>89</v>
      </c>
      <c r="Y278" s="1488" t="s">
        <v>2643</v>
      </c>
      <c r="Z278" s="1488"/>
      <c r="AA278" s="1488"/>
      <c r="AB278" s="1488"/>
      <c r="AC278" s="1488"/>
      <c r="AD278" s="1488"/>
    </row>
    <row r="279" spans="1:51" ht="12.95" customHeight="1">
      <c r="D279" s="4" t="s">
        <v>90</v>
      </c>
      <c r="E279" s="4"/>
      <c r="F279" s="4"/>
      <c r="L279" s="1540" t="s">
        <v>2635</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624</v>
      </c>
      <c r="E280" s="3"/>
      <c r="F280" s="3"/>
      <c r="G280" s="3"/>
      <c r="H280" s="3"/>
      <c r="I280" s="3"/>
      <c r="L280" s="1559" t="s">
        <v>2644</v>
      </c>
      <c r="M280" s="1559"/>
      <c r="N280" s="1559"/>
      <c r="O280" s="1559"/>
      <c r="P280" s="1559"/>
      <c r="Q280" s="1559"/>
      <c r="R280" s="1559"/>
      <c r="S280" s="1559"/>
      <c r="T280" s="1559"/>
      <c r="U280" s="1559"/>
      <c r="V280" s="1559"/>
      <c r="W280" s="1559"/>
      <c r="X280" s="1559"/>
      <c r="Y280" s="1559"/>
      <c r="Z280" s="1559"/>
      <c r="AA280" s="1559"/>
      <c r="AB280" s="1559"/>
      <c r="AC280" s="1559"/>
      <c r="AD280" s="1559"/>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5" t="s">
        <v>542</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2645</v>
      </c>
      <c r="I287" s="1407"/>
      <c r="J287" s="1407"/>
      <c r="K287" s="1407"/>
      <c r="L287" s="1407"/>
      <c r="M287" s="1407"/>
      <c r="N287" s="1407"/>
      <c r="O287" s="1407"/>
      <c r="P287" s="1407"/>
      <c r="Q287" s="1407"/>
      <c r="R287" s="1407"/>
      <c r="T287" s="3" t="s">
        <v>568</v>
      </c>
      <c r="V287" s="3"/>
      <c r="W287" s="3"/>
      <c r="X287" s="3"/>
      <c r="Y287" s="3"/>
      <c r="AA287" s="1407" t="s">
        <v>2690</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2646</v>
      </c>
      <c r="I288" s="1371"/>
      <c r="J288" s="1371"/>
      <c r="K288" s="1371"/>
      <c r="L288" s="1371"/>
      <c r="M288" s="1371"/>
      <c r="N288" s="1371"/>
      <c r="O288" s="1371"/>
      <c r="P288" s="1371"/>
      <c r="Q288" s="1371"/>
      <c r="R288" s="1371"/>
      <c r="T288" s="3" t="s">
        <v>472</v>
      </c>
      <c r="V288" s="3"/>
      <c r="W288" s="3"/>
      <c r="X288" s="3"/>
      <c r="Y288" s="3"/>
      <c r="AA288" s="1371" t="s">
        <v>2691</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2647</v>
      </c>
      <c r="I289" s="1371"/>
      <c r="J289" s="1371"/>
      <c r="K289" s="1371"/>
      <c r="L289" s="1371"/>
      <c r="M289" s="1371"/>
      <c r="N289" s="1371"/>
      <c r="O289" s="1371"/>
      <c r="P289" s="1371"/>
      <c r="Q289" s="1371"/>
      <c r="R289" s="1371"/>
      <c r="T289" s="3" t="s">
        <v>75</v>
      </c>
      <c r="V289" s="3"/>
      <c r="W289" s="3"/>
      <c r="X289" s="3"/>
      <c r="Y289" s="3"/>
      <c r="AA289" s="1371" t="s">
        <v>2692</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2616</v>
      </c>
      <c r="I290" s="1371"/>
      <c r="J290" s="1371"/>
      <c r="K290" s="1371"/>
      <c r="L290" s="1371"/>
      <c r="M290" s="1371"/>
      <c r="N290" s="1371"/>
      <c r="O290" s="1371"/>
      <c r="P290" s="1371"/>
      <c r="Q290" s="1371"/>
      <c r="R290" s="1371"/>
      <c r="T290" s="3" t="s">
        <v>87</v>
      </c>
      <c r="V290" s="3"/>
      <c r="W290" s="3"/>
      <c r="X290" s="3"/>
      <c r="Y290" s="3"/>
      <c r="AA290" s="1371" t="s">
        <v>2693</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3" t="s">
        <v>2633</v>
      </c>
      <c r="I291" s="1543"/>
      <c r="J291" s="1543"/>
      <c r="K291" s="1543"/>
      <c r="L291" s="1543"/>
      <c r="M291" s="1543"/>
      <c r="N291" s="4" t="s">
        <v>206</v>
      </c>
      <c r="O291" s="4"/>
      <c r="P291" s="1527"/>
      <c r="Q291" s="1527"/>
      <c r="R291" s="1527"/>
      <c r="S291" s="3"/>
      <c r="T291" s="3" t="s">
        <v>88</v>
      </c>
      <c r="V291" s="3"/>
      <c r="W291" s="3"/>
      <c r="X291" s="3"/>
      <c r="Y291" s="3"/>
      <c r="AA291" s="1543">
        <v>9164430335</v>
      </c>
      <c r="AB291" s="1543"/>
      <c r="AC291" s="1543"/>
      <c r="AD291" s="1543"/>
      <c r="AE291" s="1543"/>
      <c r="AF291" s="1543"/>
      <c r="AG291" s="4" t="s">
        <v>206</v>
      </c>
      <c r="AH291" s="4"/>
      <c r="AI291" s="1527"/>
      <c r="AJ291" s="1527"/>
      <c r="AK291" s="1527"/>
    </row>
    <row r="292" spans="2:37" ht="12.95" customHeight="1">
      <c r="B292" s="3" t="s">
        <v>89</v>
      </c>
      <c r="C292" s="3"/>
      <c r="D292" s="3"/>
      <c r="E292" s="3"/>
      <c r="F292" s="3"/>
      <c r="G292" s="3"/>
      <c r="H292" s="1488" t="s">
        <v>2643</v>
      </c>
      <c r="I292" s="1488"/>
      <c r="J292" s="1488"/>
      <c r="K292" s="1488"/>
      <c r="L292" s="1488"/>
      <c r="M292" s="1488"/>
      <c r="N292" s="4"/>
      <c r="O292" s="4"/>
      <c r="P292" s="35"/>
      <c r="Q292" s="35"/>
      <c r="R292" s="35"/>
      <c r="S292" s="3"/>
      <c r="T292" s="3" t="s">
        <v>89</v>
      </c>
      <c r="V292" s="3"/>
      <c r="W292" s="3"/>
      <c r="X292" s="3"/>
      <c r="Y292" s="3"/>
      <c r="AA292" s="1525" t="s">
        <v>592</v>
      </c>
      <c r="AB292" s="1488"/>
      <c r="AC292" s="1488"/>
      <c r="AD292" s="1488"/>
      <c r="AE292" s="1488"/>
      <c r="AF292" s="1488"/>
      <c r="AG292" s="4"/>
      <c r="AH292" s="4"/>
      <c r="AI292" s="35"/>
      <c r="AJ292" s="35"/>
      <c r="AK292" s="35"/>
    </row>
    <row r="293" spans="2:37" ht="12.95" customHeight="1">
      <c r="B293" s="3" t="s">
        <v>76</v>
      </c>
      <c r="C293" s="3"/>
      <c r="D293" s="3"/>
      <c r="E293" s="3"/>
      <c r="F293" s="3"/>
      <c r="G293" s="3"/>
      <c r="H293" s="1371" t="s">
        <v>2635</v>
      </c>
      <c r="I293" s="1371"/>
      <c r="J293" s="1371"/>
      <c r="K293" s="1371"/>
      <c r="L293" s="1371"/>
      <c r="M293" s="1371"/>
      <c r="N293" s="1407"/>
      <c r="O293" s="1407"/>
      <c r="P293" s="1407"/>
      <c r="Q293" s="1407"/>
      <c r="R293" s="1407"/>
      <c r="S293" s="3"/>
      <c r="T293" s="3" t="s">
        <v>76</v>
      </c>
      <c r="V293" s="3"/>
      <c r="W293" s="3"/>
      <c r="X293" s="3"/>
      <c r="Y293" s="3"/>
      <c r="AA293" s="1371" t="s">
        <v>2694</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2648</v>
      </c>
      <c r="I295" s="1407"/>
      <c r="J295" s="1407"/>
      <c r="K295" s="1407"/>
      <c r="L295" s="1407"/>
      <c r="M295" s="1407"/>
      <c r="N295" s="1407"/>
      <c r="O295" s="1407"/>
      <c r="P295" s="1407"/>
      <c r="Q295" s="1407"/>
      <c r="R295" s="1407"/>
      <c r="T295" s="3" t="s">
        <v>364</v>
      </c>
      <c r="V295" s="3"/>
      <c r="W295" s="3"/>
      <c r="X295" s="3"/>
      <c r="Y295" s="3"/>
      <c r="AA295" s="1407" t="s">
        <v>2655</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2649</v>
      </c>
      <c r="I296" s="1371"/>
      <c r="J296" s="1371"/>
      <c r="K296" s="1371"/>
      <c r="L296" s="1371"/>
      <c r="M296" s="1371"/>
      <c r="N296" s="1371"/>
      <c r="O296" s="1371"/>
      <c r="P296" s="1371"/>
      <c r="Q296" s="1371"/>
      <c r="R296" s="1371"/>
      <c r="T296" s="3" t="s">
        <v>472</v>
      </c>
      <c r="V296" s="3"/>
      <c r="W296" s="3"/>
      <c r="X296" s="3"/>
      <c r="Y296" s="3"/>
      <c r="AA296" s="1371" t="s">
        <v>2646</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2650</v>
      </c>
      <c r="I297" s="1371"/>
      <c r="J297" s="1371"/>
      <c r="K297" s="1371"/>
      <c r="L297" s="1371"/>
      <c r="M297" s="1371"/>
      <c r="N297" s="1371"/>
      <c r="O297" s="1371"/>
      <c r="P297" s="1371"/>
      <c r="Q297" s="1371"/>
      <c r="R297" s="1371"/>
      <c r="T297" s="3" t="s">
        <v>75</v>
      </c>
      <c r="V297" s="3"/>
      <c r="W297" s="3"/>
      <c r="X297" s="3"/>
      <c r="Y297" s="3"/>
      <c r="AA297" s="1371" t="s">
        <v>2647</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2651</v>
      </c>
      <c r="I298" s="1371"/>
      <c r="J298" s="1371"/>
      <c r="K298" s="1371"/>
      <c r="L298" s="1371"/>
      <c r="M298" s="1371"/>
      <c r="N298" s="1371"/>
      <c r="O298" s="1371"/>
      <c r="P298" s="1371"/>
      <c r="Q298" s="1371"/>
      <c r="R298" s="1371"/>
      <c r="T298" s="3" t="s">
        <v>87</v>
      </c>
      <c r="V298" s="3"/>
      <c r="W298" s="3"/>
      <c r="X298" s="3"/>
      <c r="Y298" s="3"/>
      <c r="AA298" s="1371" t="s">
        <v>2656</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3" t="s">
        <v>2652</v>
      </c>
      <c r="I299" s="1543"/>
      <c r="J299" s="1543"/>
      <c r="K299" s="1543"/>
      <c r="L299" s="1543"/>
      <c r="M299" s="1543"/>
      <c r="N299" s="4" t="s">
        <v>206</v>
      </c>
      <c r="O299" s="4"/>
      <c r="P299" s="1527"/>
      <c r="Q299" s="1527"/>
      <c r="R299" s="1527"/>
      <c r="S299" s="3"/>
      <c r="T299" s="3" t="s">
        <v>88</v>
      </c>
      <c r="V299" s="3"/>
      <c r="W299" s="3"/>
      <c r="X299" s="3"/>
      <c r="Y299" s="3"/>
      <c r="AA299" s="1543" t="s">
        <v>2657</v>
      </c>
      <c r="AB299" s="1543"/>
      <c r="AC299" s="1543"/>
      <c r="AD299" s="1543"/>
      <c r="AE299" s="1543"/>
      <c r="AF299" s="1543"/>
      <c r="AG299" s="4" t="s">
        <v>206</v>
      </c>
      <c r="AH299" s="4"/>
      <c r="AI299" s="1527"/>
      <c r="AJ299" s="1527"/>
      <c r="AK299" s="1527"/>
    </row>
    <row r="300" spans="2:37" ht="12.95" customHeight="1">
      <c r="B300" s="3" t="s">
        <v>89</v>
      </c>
      <c r="C300" s="3"/>
      <c r="D300" s="3"/>
      <c r="E300" s="3"/>
      <c r="F300" s="3"/>
      <c r="G300" s="3"/>
      <c r="H300" s="1488" t="s">
        <v>2653</v>
      </c>
      <c r="I300" s="1488"/>
      <c r="J300" s="1488"/>
      <c r="K300" s="1488"/>
      <c r="L300" s="1488"/>
      <c r="M300" s="1488"/>
      <c r="N300" s="4"/>
      <c r="O300" s="4"/>
      <c r="P300" s="35"/>
      <c r="Q300" s="35"/>
      <c r="R300" s="35"/>
      <c r="S300" s="3"/>
      <c r="T300" s="3" t="s">
        <v>89</v>
      </c>
      <c r="V300" s="3"/>
      <c r="W300" s="3"/>
      <c r="X300" s="3"/>
      <c r="Y300" s="3"/>
      <c r="AA300" s="1488" t="s">
        <v>2643</v>
      </c>
      <c r="AB300" s="1488"/>
      <c r="AC300" s="1488"/>
      <c r="AD300" s="1488"/>
      <c r="AE300" s="1488"/>
      <c r="AF300" s="1488"/>
      <c r="AG300" s="4"/>
      <c r="AH300" s="4"/>
      <c r="AI300" s="35"/>
      <c r="AJ300" s="35"/>
      <c r="AK300" s="35"/>
    </row>
    <row r="301" spans="2:37" ht="12.95" customHeight="1">
      <c r="B301" s="3" t="s">
        <v>76</v>
      </c>
      <c r="C301" s="3"/>
      <c r="D301" s="3"/>
      <c r="E301" s="3"/>
      <c r="F301" s="3"/>
      <c r="G301" s="3"/>
      <c r="H301" s="1371" t="s">
        <v>2654</v>
      </c>
      <c r="I301" s="1371"/>
      <c r="J301" s="1371"/>
      <c r="K301" s="1371"/>
      <c r="L301" s="1371"/>
      <c r="M301" s="1371"/>
      <c r="N301" s="1407"/>
      <c r="O301" s="1407"/>
      <c r="P301" s="1407"/>
      <c r="Q301" s="1407"/>
      <c r="R301" s="1407"/>
      <c r="S301" s="3"/>
      <c r="T301" s="3" t="s">
        <v>76</v>
      </c>
      <c r="V301" s="3"/>
      <c r="W301" s="3"/>
      <c r="X301" s="3"/>
      <c r="Y301" s="3"/>
      <c r="AA301" s="1371" t="s">
        <v>2658</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2659</v>
      </c>
      <c r="I303" s="1407"/>
      <c r="J303" s="1407"/>
      <c r="K303" s="1407"/>
      <c r="L303" s="1407"/>
      <c r="M303" s="1407"/>
      <c r="N303" s="1407"/>
      <c r="O303" s="1407"/>
      <c r="P303" s="1407"/>
      <c r="Q303" s="1407"/>
      <c r="R303" s="1407"/>
      <c r="T303" s="4" t="s">
        <v>879</v>
      </c>
      <c r="V303" s="3"/>
      <c r="W303" s="3"/>
      <c r="X303" s="3"/>
      <c r="Y303" s="3"/>
      <c r="AA303" s="1407" t="s">
        <v>2695</v>
      </c>
      <c r="AB303" s="1407"/>
      <c r="AC303" s="1407"/>
      <c r="AD303" s="1407"/>
      <c r="AE303" s="1407"/>
      <c r="AF303" s="1407"/>
      <c r="AG303" s="1407"/>
      <c r="AH303" s="1407"/>
      <c r="AI303" s="1407"/>
      <c r="AJ303" s="1407"/>
      <c r="AK303" s="1407"/>
    </row>
    <row r="304" spans="2:37" ht="12.95" customHeight="1">
      <c r="B304" s="3" t="s">
        <v>472</v>
      </c>
      <c r="C304" s="3"/>
      <c r="D304" s="3"/>
      <c r="E304" s="3"/>
      <c r="F304" s="3"/>
      <c r="H304" s="1371"/>
      <c r="I304" s="1371"/>
      <c r="J304" s="1371"/>
      <c r="K304" s="1371"/>
      <c r="L304" s="1371"/>
      <c r="M304" s="1371"/>
      <c r="N304" s="1371"/>
      <c r="O304" s="1371"/>
      <c r="P304" s="1371"/>
      <c r="Q304" s="1371"/>
      <c r="R304" s="1371"/>
      <c r="T304" s="3" t="s">
        <v>472</v>
      </c>
      <c r="V304" s="3"/>
      <c r="W304" s="3"/>
      <c r="X304" s="3"/>
      <c r="Y304" s="3"/>
      <c r="AA304" s="1371" t="s">
        <v>2696</v>
      </c>
      <c r="AB304" s="1371"/>
      <c r="AC304" s="1371"/>
      <c r="AD304" s="1371"/>
      <c r="AE304" s="1371"/>
      <c r="AF304" s="1371"/>
      <c r="AG304" s="1371"/>
      <c r="AH304" s="1371"/>
      <c r="AI304" s="1371"/>
      <c r="AJ304" s="1371"/>
      <c r="AK304" s="1371"/>
    </row>
    <row r="305" spans="2:37" ht="12.95" customHeight="1">
      <c r="B305" s="3" t="s">
        <v>473</v>
      </c>
      <c r="C305" s="3"/>
      <c r="D305" s="3"/>
      <c r="E305" s="3"/>
      <c r="F305" s="3"/>
      <c r="H305" s="1371"/>
      <c r="I305" s="1371"/>
      <c r="J305" s="1371"/>
      <c r="K305" s="1371"/>
      <c r="L305" s="1371"/>
      <c r="M305" s="1371"/>
      <c r="N305" s="1371"/>
      <c r="O305" s="1371"/>
      <c r="P305" s="1371"/>
      <c r="Q305" s="1371"/>
      <c r="R305" s="1371"/>
      <c r="T305" s="3" t="s">
        <v>75</v>
      </c>
      <c r="V305" s="3"/>
      <c r="W305" s="3"/>
      <c r="X305" s="3"/>
      <c r="Y305" s="3"/>
      <c r="AA305" s="1371" t="s">
        <v>2697</v>
      </c>
      <c r="AB305" s="1371"/>
      <c r="AC305" s="1371"/>
      <c r="AD305" s="1371"/>
      <c r="AE305" s="1371"/>
      <c r="AF305" s="1371"/>
      <c r="AG305" s="1371"/>
      <c r="AH305" s="1371"/>
      <c r="AI305" s="1371"/>
      <c r="AJ305" s="1371"/>
      <c r="AK305" s="1371"/>
    </row>
    <row r="306" spans="2:37" ht="12.95" customHeight="1">
      <c r="B306" s="3" t="s">
        <v>87</v>
      </c>
      <c r="C306" s="3"/>
      <c r="D306" s="3"/>
      <c r="E306" s="3"/>
      <c r="F306" s="3"/>
      <c r="H306" s="1371"/>
      <c r="I306" s="1371"/>
      <c r="J306" s="1371"/>
      <c r="K306" s="1371"/>
      <c r="L306" s="1371"/>
      <c r="M306" s="1371"/>
      <c r="N306" s="1371"/>
      <c r="O306" s="1371"/>
      <c r="P306" s="1371"/>
      <c r="Q306" s="1371"/>
      <c r="R306" s="1371"/>
      <c r="T306" s="3" t="s">
        <v>87</v>
      </c>
      <c r="V306" s="3"/>
      <c r="W306" s="3"/>
      <c r="X306" s="3"/>
      <c r="Y306" s="3"/>
      <c r="AA306" s="1371" t="s">
        <v>2698</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3"/>
      <c r="I307" s="1543"/>
      <c r="J307" s="1543"/>
      <c r="K307" s="1543"/>
      <c r="L307" s="1543"/>
      <c r="M307" s="1543"/>
      <c r="N307" s="4" t="s">
        <v>206</v>
      </c>
      <c r="O307" s="4"/>
      <c r="P307" s="1527"/>
      <c r="Q307" s="1527"/>
      <c r="R307" s="1527"/>
      <c r="S307" s="3"/>
      <c r="T307" s="3" t="s">
        <v>88</v>
      </c>
      <c r="V307" s="3"/>
      <c r="W307" s="3"/>
      <c r="X307" s="3"/>
      <c r="Y307" s="3"/>
      <c r="AA307" s="1543">
        <v>7072347573</v>
      </c>
      <c r="AB307" s="1543"/>
      <c r="AC307" s="1543"/>
      <c r="AD307" s="1543"/>
      <c r="AE307" s="1543"/>
      <c r="AF307" s="1543"/>
      <c r="AG307" s="4" t="s">
        <v>206</v>
      </c>
      <c r="AH307" s="4"/>
      <c r="AI307" s="1527"/>
      <c r="AJ307" s="1527"/>
      <c r="AK307" s="1527"/>
    </row>
    <row r="308" spans="2:37" ht="12.9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525" t="s">
        <v>592</v>
      </c>
      <c r="AB308" s="1488"/>
      <c r="AC308" s="1488"/>
      <c r="AD308" s="1488"/>
      <c r="AE308" s="1488"/>
      <c r="AF308" s="1488"/>
      <c r="AG308" s="4"/>
      <c r="AH308" s="4"/>
      <c r="AI308" s="35"/>
      <c r="AJ308" s="35"/>
      <c r="AK308" s="35"/>
    </row>
    <row r="309" spans="2:37" ht="12.95" customHeight="1">
      <c r="B309" s="3" t="s">
        <v>76</v>
      </c>
      <c r="C309" s="3"/>
      <c r="D309" s="3"/>
      <c r="E309" s="3"/>
      <c r="F309" s="3"/>
      <c r="G309" s="3"/>
      <c r="H309" s="1371"/>
      <c r="I309" s="1371"/>
      <c r="J309" s="1371"/>
      <c r="K309" s="1371"/>
      <c r="L309" s="1371"/>
      <c r="M309" s="1371"/>
      <c r="N309" s="1407"/>
      <c r="O309" s="1407"/>
      <c r="P309" s="1407"/>
      <c r="Q309" s="1407"/>
      <c r="R309" s="1407"/>
      <c r="S309" s="3"/>
      <c r="T309" s="3" t="s">
        <v>76</v>
      </c>
      <c r="V309" s="3"/>
      <c r="W309" s="3"/>
      <c r="X309" s="3"/>
      <c r="Y309" s="3"/>
      <c r="AA309" s="1371" t="s">
        <v>2699</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2660</v>
      </c>
      <c r="I311" s="1407"/>
      <c r="J311" s="1407"/>
      <c r="K311" s="1407"/>
      <c r="L311" s="1407"/>
      <c r="M311" s="1407"/>
      <c r="N311" s="1407"/>
      <c r="O311" s="1407"/>
      <c r="P311" s="1407"/>
      <c r="Q311" s="1407"/>
      <c r="R311" s="1407"/>
      <c r="S311" s="3"/>
      <c r="T311" s="3" t="s">
        <v>365</v>
      </c>
      <c r="V311" s="3"/>
      <c r="W311" s="3"/>
      <c r="X311" s="3"/>
      <c r="Y311" s="3"/>
      <c r="AA311" s="1407" t="s">
        <v>2666</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2661</v>
      </c>
      <c r="I312" s="1371"/>
      <c r="J312" s="1371"/>
      <c r="K312" s="1371"/>
      <c r="L312" s="1371"/>
      <c r="M312" s="1371"/>
      <c r="N312" s="1371"/>
      <c r="O312" s="1371"/>
      <c r="P312" s="1371"/>
      <c r="Q312" s="1371"/>
      <c r="R312" s="1371"/>
      <c r="S312" s="3"/>
      <c r="T312" s="3" t="s">
        <v>472</v>
      </c>
      <c r="V312" s="3"/>
      <c r="W312" s="3"/>
      <c r="X312" s="3"/>
      <c r="Y312" s="3"/>
      <c r="AA312" s="1371" t="s">
        <v>2667</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2662</v>
      </c>
      <c r="I313" s="1371"/>
      <c r="J313" s="1371"/>
      <c r="K313" s="1371"/>
      <c r="L313" s="1371"/>
      <c r="M313" s="1371"/>
      <c r="N313" s="1371"/>
      <c r="O313" s="1371"/>
      <c r="P313" s="1371"/>
      <c r="Q313" s="1371"/>
      <c r="R313" s="1371"/>
      <c r="S313" s="3"/>
      <c r="T313" s="3" t="s">
        <v>75</v>
      </c>
      <c r="V313" s="3"/>
      <c r="W313" s="3"/>
      <c r="X313" s="3"/>
      <c r="Y313" s="3"/>
      <c r="AA313" s="1371" t="s">
        <v>2668</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2663</v>
      </c>
      <c r="I314" s="1371"/>
      <c r="J314" s="1371"/>
      <c r="K314" s="1371"/>
      <c r="L314" s="1371"/>
      <c r="M314" s="1371"/>
      <c r="N314" s="1371"/>
      <c r="O314" s="1371"/>
      <c r="P314" s="1371"/>
      <c r="Q314" s="1371"/>
      <c r="R314" s="1371"/>
      <c r="S314" s="3"/>
      <c r="T314" s="3" t="s">
        <v>87</v>
      </c>
      <c r="V314" s="3"/>
      <c r="W314" s="3"/>
      <c r="X314" s="3"/>
      <c r="Y314" s="3"/>
      <c r="AA314" s="1371" t="s">
        <v>2669</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3" t="s">
        <v>2664</v>
      </c>
      <c r="I315" s="1543"/>
      <c r="J315" s="1543"/>
      <c r="K315" s="1543"/>
      <c r="L315" s="1543"/>
      <c r="M315" s="1543"/>
      <c r="N315" s="4" t="s">
        <v>206</v>
      </c>
      <c r="O315" s="4"/>
      <c r="P315" s="1527"/>
      <c r="Q315" s="1527"/>
      <c r="R315" s="1527"/>
      <c r="S315" s="3"/>
      <c r="T315" s="3" t="s">
        <v>88</v>
      </c>
      <c r="V315" s="3"/>
      <c r="W315" s="3"/>
      <c r="X315" s="3"/>
      <c r="Y315" s="3"/>
      <c r="AA315" s="1543" t="s">
        <v>2670</v>
      </c>
      <c r="AB315" s="1543"/>
      <c r="AC315" s="1543"/>
      <c r="AD315" s="1543"/>
      <c r="AE315" s="1543"/>
      <c r="AF315" s="1543"/>
      <c r="AG315" s="4" t="s">
        <v>206</v>
      </c>
      <c r="AH315" s="4"/>
      <c r="AI315" s="1527"/>
      <c r="AJ315" s="1527"/>
      <c r="AK315" s="1527"/>
    </row>
    <row r="316" spans="2:37" ht="12.95" customHeight="1">
      <c r="B316" s="3" t="s">
        <v>89</v>
      </c>
      <c r="C316" s="3"/>
      <c r="D316" s="3"/>
      <c r="E316" s="3"/>
      <c r="F316" s="3"/>
      <c r="G316" s="3"/>
      <c r="H316" s="1525" t="s">
        <v>592</v>
      </c>
      <c r="I316" s="1488"/>
      <c r="J316" s="1488"/>
      <c r="K316" s="1488"/>
      <c r="L316" s="1488"/>
      <c r="M316" s="1488"/>
      <c r="N316" s="4"/>
      <c r="O316" s="4"/>
      <c r="P316" s="35"/>
      <c r="Q316" s="35"/>
      <c r="R316" s="35"/>
      <c r="S316" s="3"/>
      <c r="T316" s="3" t="s">
        <v>89</v>
      </c>
      <c r="V316" s="3"/>
      <c r="W316" s="3"/>
      <c r="X316" s="3"/>
      <c r="Y316" s="3"/>
      <c r="AA316" s="1525" t="s">
        <v>592</v>
      </c>
      <c r="AB316" s="1488"/>
      <c r="AC316" s="1488"/>
      <c r="AD316" s="1488"/>
      <c r="AE316" s="1488"/>
      <c r="AF316" s="1488"/>
      <c r="AG316" s="4"/>
      <c r="AH316" s="4"/>
      <c r="AI316" s="35"/>
      <c r="AJ316" s="35"/>
      <c r="AK316" s="35"/>
    </row>
    <row r="317" spans="2:37" ht="12.95" customHeight="1">
      <c r="B317" s="3" t="s">
        <v>76</v>
      </c>
      <c r="C317" s="3"/>
      <c r="D317" s="3"/>
      <c r="E317" s="3"/>
      <c r="F317" s="3"/>
      <c r="G317" s="3"/>
      <c r="H317" s="1371" t="s">
        <v>2665</v>
      </c>
      <c r="I317" s="1371"/>
      <c r="J317" s="1371"/>
      <c r="K317" s="1371"/>
      <c r="L317" s="1371"/>
      <c r="M317" s="1371"/>
      <c r="N317" s="1407"/>
      <c r="O317" s="1407"/>
      <c r="P317" s="1407"/>
      <c r="Q317" s="1407"/>
      <c r="R317" s="1407"/>
      <c r="S317" s="3"/>
      <c r="T317" s="3" t="s">
        <v>76</v>
      </c>
      <c r="V317" s="3"/>
      <c r="W317" s="3"/>
      <c r="X317" s="3"/>
      <c r="Y317" s="3"/>
      <c r="AA317" s="1371" t="s">
        <v>2671</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t="s">
        <v>2659</v>
      </c>
      <c r="I319" s="1407"/>
      <c r="J319" s="1407"/>
      <c r="K319" s="1407"/>
      <c r="L319" s="1407"/>
      <c r="M319" s="1407"/>
      <c r="N319" s="1407"/>
      <c r="O319" s="1407"/>
      <c r="P319" s="1407"/>
      <c r="Q319" s="1407"/>
      <c r="R319" s="1407"/>
      <c r="T319" s="3" t="s">
        <v>366</v>
      </c>
      <c r="V319" s="3"/>
      <c r="W319" s="3"/>
      <c r="X319" s="3"/>
      <c r="Y319" s="3"/>
      <c r="AA319" s="1407" t="s">
        <v>2672</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2673</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2674</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2675</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3"/>
      <c r="I323" s="1543"/>
      <c r="J323" s="1543"/>
      <c r="K323" s="1543"/>
      <c r="L323" s="1543"/>
      <c r="M323" s="1543"/>
      <c r="N323" s="4" t="s">
        <v>206</v>
      </c>
      <c r="O323" s="4"/>
      <c r="P323" s="1527"/>
      <c r="Q323" s="1527"/>
      <c r="R323" s="1527"/>
      <c r="S323" s="3"/>
      <c r="T323" s="3" t="s">
        <v>88</v>
      </c>
      <c r="V323" s="3"/>
      <c r="W323" s="3"/>
      <c r="X323" s="3"/>
      <c r="Y323" s="3"/>
      <c r="AA323" s="1543" t="s">
        <v>2676</v>
      </c>
      <c r="AB323" s="1543"/>
      <c r="AC323" s="1543"/>
      <c r="AD323" s="1543"/>
      <c r="AE323" s="1543"/>
      <c r="AF323" s="1543"/>
      <c r="AG323" s="4" t="s">
        <v>206</v>
      </c>
      <c r="AH323" s="4"/>
      <c r="AI323" s="1527"/>
      <c r="AJ323" s="1527"/>
      <c r="AK323" s="1527"/>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525" t="s">
        <v>592</v>
      </c>
      <c r="AB324" s="1488"/>
      <c r="AC324" s="1488"/>
      <c r="AD324" s="1488"/>
      <c r="AE324" s="1488"/>
      <c r="AF324" s="1488"/>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2677</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2659</v>
      </c>
      <c r="I327" s="1407"/>
      <c r="J327" s="1407"/>
      <c r="K327" s="1407"/>
      <c r="L327" s="1407"/>
      <c r="M327" s="1407"/>
      <c r="N327" s="1407"/>
      <c r="O327" s="1407"/>
      <c r="P327" s="1407"/>
      <c r="Q327" s="1407"/>
      <c r="R327" s="1407"/>
      <c r="T327" s="3" t="s">
        <v>368</v>
      </c>
      <c r="V327" s="3"/>
      <c r="W327" s="3"/>
      <c r="X327" s="3"/>
      <c r="Y327" s="3"/>
      <c r="AA327" s="1407" t="s">
        <v>2659</v>
      </c>
      <c r="AB327" s="1407"/>
      <c r="AC327" s="1407"/>
      <c r="AD327" s="1407"/>
      <c r="AE327" s="1407"/>
      <c r="AF327" s="1407"/>
      <c r="AG327" s="1407"/>
      <c r="AH327" s="1407"/>
      <c r="AI327" s="1407"/>
      <c r="AJ327" s="1407"/>
      <c r="AK327" s="1407"/>
    </row>
    <row r="328" spans="2:37" ht="12.95"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3"/>
      <c r="I331" s="1543"/>
      <c r="J331" s="1543"/>
      <c r="K331" s="1543"/>
      <c r="L331" s="1543"/>
      <c r="M331" s="1543"/>
      <c r="N331" s="4" t="s">
        <v>206</v>
      </c>
      <c r="O331" s="4"/>
      <c r="P331" s="1527"/>
      <c r="Q331" s="1527"/>
      <c r="R331" s="1527"/>
      <c r="S331" s="3"/>
      <c r="T331" s="3" t="s">
        <v>88</v>
      </c>
      <c r="V331" s="3"/>
      <c r="W331" s="3"/>
      <c r="X331" s="3"/>
      <c r="Y331" s="3"/>
      <c r="AA331" s="1543"/>
      <c r="AB331" s="1543"/>
      <c r="AC331" s="1543"/>
      <c r="AD331" s="1543"/>
      <c r="AE331" s="1543"/>
      <c r="AF331" s="1543"/>
      <c r="AG331" s="4" t="s">
        <v>206</v>
      </c>
      <c r="AH331" s="4"/>
      <c r="AI331" s="1527"/>
      <c r="AJ331" s="1527"/>
      <c r="AK331" s="1527"/>
    </row>
    <row r="332" spans="2:37" ht="12.9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2678</v>
      </c>
      <c r="I335" s="1407"/>
      <c r="J335" s="1407"/>
      <c r="K335" s="1407"/>
      <c r="L335" s="1407"/>
      <c r="M335" s="1407"/>
      <c r="N335" s="1407"/>
      <c r="O335" s="1407"/>
      <c r="P335" s="1407"/>
      <c r="Q335" s="1407"/>
      <c r="R335" s="1407"/>
      <c r="T335" s="204" t="s">
        <v>887</v>
      </c>
      <c r="V335" s="3"/>
      <c r="W335" s="3"/>
      <c r="X335" s="3"/>
      <c r="Y335" s="3"/>
      <c r="AA335" s="1407" t="s">
        <v>2685</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2679</v>
      </c>
      <c r="I336" s="1371"/>
      <c r="J336" s="1371"/>
      <c r="K336" s="1371"/>
      <c r="L336" s="1371"/>
      <c r="M336" s="1371"/>
      <c r="N336" s="1371"/>
      <c r="O336" s="1371"/>
      <c r="P336" s="1371"/>
      <c r="Q336" s="1371"/>
      <c r="R336" s="1371"/>
      <c r="T336" s="3" t="s">
        <v>472</v>
      </c>
      <c r="V336" s="3"/>
      <c r="W336" s="3"/>
      <c r="X336" s="3"/>
      <c r="Y336" s="3"/>
      <c r="AA336" s="1371" t="s">
        <v>2646</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2680</v>
      </c>
      <c r="I337" s="1371"/>
      <c r="J337" s="1371"/>
      <c r="K337" s="1371"/>
      <c r="L337" s="1371"/>
      <c r="M337" s="1371"/>
      <c r="N337" s="1371"/>
      <c r="O337" s="1371"/>
      <c r="P337" s="1371"/>
      <c r="Q337" s="1371"/>
      <c r="R337" s="1371"/>
      <c r="T337" s="3" t="s">
        <v>75</v>
      </c>
      <c r="V337" s="3"/>
      <c r="W337" s="3"/>
      <c r="X337" s="3"/>
      <c r="Y337" s="3"/>
      <c r="AA337" s="1371" t="s">
        <v>2647</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2681</v>
      </c>
      <c r="I338" s="1371"/>
      <c r="J338" s="1371"/>
      <c r="K338" s="1371"/>
      <c r="L338" s="1371"/>
      <c r="M338" s="1371"/>
      <c r="N338" s="1371"/>
      <c r="O338" s="1371"/>
      <c r="P338" s="1371"/>
      <c r="Q338" s="1371"/>
      <c r="R338" s="1371"/>
      <c r="T338" s="3" t="s">
        <v>87</v>
      </c>
      <c r="V338" s="3"/>
      <c r="W338" s="3"/>
      <c r="X338" s="3"/>
      <c r="Y338" s="3"/>
      <c r="AA338" s="1371" t="s">
        <v>2686</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3" t="s">
        <v>2682</v>
      </c>
      <c r="I339" s="1543"/>
      <c r="J339" s="1543"/>
      <c r="K339" s="1543"/>
      <c r="L339" s="1543"/>
      <c r="M339" s="1543"/>
      <c r="N339" s="4" t="s">
        <v>206</v>
      </c>
      <c r="O339" s="4"/>
      <c r="P339" s="1527"/>
      <c r="Q339" s="1527"/>
      <c r="R339" s="1527"/>
      <c r="S339" s="3"/>
      <c r="T339" s="3" t="s">
        <v>88</v>
      </c>
      <c r="V339" s="3"/>
      <c r="W339" s="3"/>
      <c r="X339" s="3"/>
      <c r="Y339" s="3"/>
      <c r="AA339" s="1543" t="s">
        <v>2687</v>
      </c>
      <c r="AB339" s="1543"/>
      <c r="AC339" s="1543"/>
      <c r="AD339" s="1543"/>
      <c r="AE339" s="1543"/>
      <c r="AF339" s="1543"/>
      <c r="AG339" s="4" t="s">
        <v>206</v>
      </c>
      <c r="AH339" s="4"/>
      <c r="AI339" s="1527"/>
      <c r="AJ339" s="1527"/>
      <c r="AK339" s="1527"/>
    </row>
    <row r="340" spans="1:66" ht="12.95" customHeight="1">
      <c r="B340" s="3" t="s">
        <v>89</v>
      </c>
      <c r="C340" s="3"/>
      <c r="D340" s="3"/>
      <c r="E340" s="3"/>
      <c r="F340" s="3"/>
      <c r="G340" s="3"/>
      <c r="H340" s="1488" t="s">
        <v>2683</v>
      </c>
      <c r="I340" s="1488"/>
      <c r="J340" s="1488"/>
      <c r="K340" s="1488"/>
      <c r="L340" s="1488"/>
      <c r="M340" s="1488"/>
      <c r="N340" s="4"/>
      <c r="O340" s="4"/>
      <c r="P340" s="35"/>
      <c r="Q340" s="35"/>
      <c r="R340" s="35"/>
      <c r="S340" s="3"/>
      <c r="T340" s="3" t="s">
        <v>89</v>
      </c>
      <c r="V340" s="3"/>
      <c r="W340" s="3"/>
      <c r="X340" s="3"/>
      <c r="Y340" s="3"/>
      <c r="AA340" s="1488" t="s">
        <v>2643</v>
      </c>
      <c r="AB340" s="1488"/>
      <c r="AC340" s="1488"/>
      <c r="AD340" s="1488"/>
      <c r="AE340" s="1488"/>
      <c r="AF340" s="1488"/>
      <c r="AG340" s="4"/>
      <c r="AH340" s="4"/>
      <c r="AI340" s="35"/>
      <c r="AJ340" s="35"/>
      <c r="AK340" s="35"/>
    </row>
    <row r="341" spans="1:66" ht="12.95" customHeight="1">
      <c r="B341" s="3" t="s">
        <v>76</v>
      </c>
      <c r="C341" s="3"/>
      <c r="D341" s="3"/>
      <c r="E341" s="3"/>
      <c r="F341" s="3"/>
      <c r="G341" s="3"/>
      <c r="H341" s="1371" t="s">
        <v>2684</v>
      </c>
      <c r="I341" s="1371"/>
      <c r="J341" s="1371"/>
      <c r="K341" s="1371"/>
      <c r="L341" s="1371"/>
      <c r="M341" s="1371"/>
      <c r="N341" s="1407"/>
      <c r="O341" s="1407"/>
      <c r="P341" s="1407"/>
      <c r="Q341" s="1407"/>
      <c r="R341" s="1407"/>
      <c r="S341" s="3"/>
      <c r="T341" s="3" t="s">
        <v>76</v>
      </c>
      <c r="V341" s="3"/>
      <c r="W341" s="3"/>
      <c r="X341" s="3"/>
      <c r="Y341" s="3"/>
      <c r="AA341" s="1371" t="s">
        <v>2688</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t="s">
        <v>2659</v>
      </c>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2.9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5" t="s">
        <v>543</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16" t="s">
        <v>546</v>
      </c>
      <c r="N355" s="1416"/>
      <c r="P355" t="s">
        <v>1651</v>
      </c>
      <c r="AJ355" s="1416" t="s">
        <v>592</v>
      </c>
      <c r="AK355" s="1416"/>
    </row>
    <row r="356" spans="1:46" ht="12.95" customHeight="1">
      <c r="D356" s="3" t="s">
        <v>1640</v>
      </c>
      <c r="M356" s="1416" t="s">
        <v>592</v>
      </c>
      <c r="N356" s="1416"/>
      <c r="P356" s="3" t="s">
        <v>1720</v>
      </c>
      <c r="AJ356" s="1382" t="s">
        <v>592</v>
      </c>
      <c r="AK356" s="1382"/>
    </row>
    <row r="357" spans="1:46" ht="12.95" customHeight="1">
      <c r="D357" s="3" t="s">
        <v>705</v>
      </c>
      <c r="M357" s="1416" t="s">
        <v>592</v>
      </c>
      <c r="N357" s="1416"/>
      <c r="P357" t="s">
        <v>1650</v>
      </c>
      <c r="AJ357" s="1416" t="s">
        <v>592</v>
      </c>
      <c r="AK357" s="1416"/>
    </row>
    <row r="358" spans="1:46" ht="12.95" customHeight="1">
      <c r="D358" s="3" t="s">
        <v>706</v>
      </c>
      <c r="M358" s="1416" t="s">
        <v>592</v>
      </c>
      <c r="N358" s="1416"/>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2.95" customHeight="1">
      <c r="E364" t="s">
        <v>370</v>
      </c>
      <c r="Y364" s="1416" t="s">
        <v>592</v>
      </c>
      <c r="Z364" s="1416"/>
    </row>
    <row r="365" spans="1:46" ht="12.95"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707</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5"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2.95" customHeight="1">
      <c r="E378" s="4" t="s">
        <v>988</v>
      </c>
      <c r="F378" s="4"/>
      <c r="G378" s="4"/>
      <c r="H378" s="4"/>
      <c r="I378" s="4"/>
      <c r="J378" s="4"/>
      <c r="K378" s="4"/>
      <c r="L378" s="4"/>
      <c r="N378" s="1444"/>
      <c r="O378" s="1444"/>
      <c r="P378" s="1444"/>
    </row>
    <row r="379" spans="1:34" ht="12.95" customHeight="1">
      <c r="E379" s="204" t="s">
        <v>2086</v>
      </c>
      <c r="F379" s="4"/>
      <c r="G379" s="4"/>
      <c r="H379" s="4"/>
      <c r="I379" s="4"/>
      <c r="J379" s="4"/>
      <c r="K379" s="4"/>
      <c r="L379" s="4"/>
      <c r="AG379" s="1447" t="s">
        <v>592</v>
      </c>
      <c r="AH379" s="1447"/>
    </row>
    <row r="380" spans="1:34" ht="12.95" customHeight="1">
      <c r="E380" s="4"/>
      <c r="F380" s="4"/>
      <c r="G380" s="4" t="s">
        <v>2087</v>
      </c>
      <c r="H380" s="4"/>
      <c r="I380" s="4"/>
      <c r="J380" s="4"/>
      <c r="K380" s="4"/>
      <c r="L380" s="4"/>
      <c r="AG380" s="1447" t="s">
        <v>592</v>
      </c>
      <c r="AH380" s="1447"/>
    </row>
    <row r="381" spans="1:34" ht="12.95" customHeight="1">
      <c r="E381" s="4"/>
      <c r="F381" s="4"/>
      <c r="G381" s="320" t="s">
        <v>989</v>
      </c>
      <c r="H381" s="4"/>
      <c r="I381" s="4"/>
      <c r="J381" s="4"/>
      <c r="K381" s="4"/>
      <c r="L381" s="4"/>
      <c r="V381" s="1416" t="s">
        <v>592</v>
      </c>
      <c r="W381" s="1416"/>
      <c r="Y381" s="22" t="s">
        <v>981</v>
      </c>
    </row>
    <row r="382" spans="1:34" ht="12.95" customHeight="1">
      <c r="E382" s="4" t="s">
        <v>982</v>
      </c>
      <c r="F382" s="4"/>
      <c r="G382" s="4"/>
      <c r="H382" s="4"/>
      <c r="I382" s="4"/>
      <c r="J382" s="4"/>
      <c r="K382" s="4"/>
      <c r="L382" s="4"/>
      <c r="V382" s="1416" t="s">
        <v>592</v>
      </c>
      <c r="W382" s="1416"/>
      <c r="Y382" s="4" t="s">
        <v>983</v>
      </c>
    </row>
    <row r="383" spans="1:34" ht="12.95" customHeight="1"/>
    <row r="384" spans="1:34" ht="12.95" customHeight="1">
      <c r="A384" s="2" t="s">
        <v>78</v>
      </c>
      <c r="B384" s="2"/>
    </row>
    <row r="385" spans="4:36" ht="12.95" customHeight="1">
      <c r="D385" t="s">
        <v>428</v>
      </c>
      <c r="J385" s="1407" t="s">
        <v>2732</v>
      </c>
      <c r="K385" s="1407"/>
      <c r="L385" s="1407"/>
      <c r="M385" s="1407"/>
      <c r="N385" s="1407"/>
      <c r="O385" s="1407"/>
      <c r="P385" s="1407"/>
      <c r="Q385" s="1407"/>
      <c r="R385" s="1407"/>
      <c r="S385" s="1407"/>
      <c r="T385" s="1407"/>
      <c r="U385" s="1407"/>
      <c r="V385" s="8" t="s">
        <v>83</v>
      </c>
      <c r="W385" s="8"/>
      <c r="X385" s="8"/>
      <c r="Y385" s="8"/>
      <c r="Z385" s="8"/>
      <c r="AA385" s="8"/>
      <c r="AB385" s="8"/>
      <c r="AC385" s="1407" t="s">
        <v>2733</v>
      </c>
      <c r="AD385" s="1407"/>
      <c r="AE385" s="1407"/>
      <c r="AF385" s="1407"/>
      <c r="AG385" s="1407"/>
      <c r="AH385" s="1407"/>
      <c r="AI385" s="1407"/>
      <c r="AJ385" s="1407"/>
    </row>
    <row r="386" spans="4:36" ht="12.95" customHeight="1">
      <c r="D386" s="3" t="s">
        <v>1183</v>
      </c>
      <c r="J386" s="1371"/>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2.95" customHeight="1">
      <c r="D387" s="3" t="s">
        <v>442</v>
      </c>
      <c r="J387" s="1371" t="s">
        <v>2734</v>
      </c>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8"/>
      <c r="K388" s="1428"/>
      <c r="L388" s="1428"/>
      <c r="M388" s="1428"/>
      <c r="N388" s="1428"/>
      <c r="O388" s="1428"/>
      <c r="P388" s="1428"/>
      <c r="Q388" s="1428"/>
      <c r="R388" s="1428"/>
      <c r="S388" s="1428"/>
      <c r="T388" s="1428"/>
      <c r="U388" s="1428"/>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87"/>
      <c r="R389" s="1587"/>
      <c r="S389" s="1587"/>
      <c r="T389" s="1587"/>
      <c r="U389" s="1587"/>
      <c r="V389" t="s">
        <v>309</v>
      </c>
      <c r="AI389" s="1416" t="s">
        <v>670</v>
      </c>
      <c r="AJ389" s="1416"/>
    </row>
    <row r="390" spans="4:36" ht="12.95" customHeight="1">
      <c r="D390" t="s">
        <v>5</v>
      </c>
      <c r="Q390" s="1522"/>
      <c r="R390" s="1523"/>
      <c r="S390" s="1523"/>
      <c r="T390" s="1523"/>
      <c r="U390" s="1523"/>
      <c r="W390" s="21" t="s">
        <v>74</v>
      </c>
      <c r="AG390" s="1449"/>
      <c r="AH390" s="1449"/>
      <c r="AI390" s="1449"/>
      <c r="AJ390" s="1449"/>
    </row>
    <row r="391" spans="4:36" ht="12.95" customHeight="1">
      <c r="D391" t="s">
        <v>427</v>
      </c>
      <c r="Q391" s="1450">
        <v>6000000</v>
      </c>
      <c r="R391" s="1450"/>
      <c r="S391" s="1450"/>
      <c r="T391" s="1450"/>
      <c r="U391" s="1450"/>
      <c r="V391" s="3" t="s">
        <v>1182</v>
      </c>
      <c r="AG391" s="1519" t="s">
        <v>2735</v>
      </c>
      <c r="AH391" s="1520"/>
      <c r="AI391" s="1520"/>
      <c r="AJ391" s="1520"/>
    </row>
    <row r="392" spans="4:36" ht="12.95" customHeight="1">
      <c r="D392" t="s">
        <v>88</v>
      </c>
      <c r="I392" s="1543"/>
      <c r="J392" s="1543"/>
      <c r="K392" s="1543"/>
      <c r="L392" s="1543"/>
      <c r="M392" s="1543"/>
      <c r="N392" s="1543"/>
      <c r="Q392" s="4" t="s">
        <v>206</v>
      </c>
      <c r="S392" s="1448"/>
      <c r="T392" s="1448"/>
      <c r="U392" s="1448"/>
      <c r="V392" t="s">
        <v>73</v>
      </c>
      <c r="AI392" s="1416" t="s">
        <v>670</v>
      </c>
      <c r="AJ392" s="1416"/>
    </row>
    <row r="393" spans="4:36" ht="12.95" customHeight="1">
      <c r="D393" t="s">
        <v>310</v>
      </c>
      <c r="Q393" s="1526"/>
      <c r="R393" s="1526"/>
      <c r="S393" s="1526"/>
      <c r="T393" s="1526"/>
      <c r="U393" s="1526"/>
      <c r="V393" t="s">
        <v>311</v>
      </c>
      <c r="AG393" s="1449"/>
      <c r="AH393" s="1449"/>
      <c r="AI393" s="1449"/>
      <c r="AJ393" s="1449"/>
    </row>
    <row r="394" spans="4:36" ht="12.95" customHeight="1">
      <c r="D394" t="s">
        <v>312</v>
      </c>
      <c r="Q394" s="1577"/>
      <c r="R394" s="1577"/>
      <c r="S394" s="1577"/>
      <c r="T394" s="1577"/>
      <c r="U394" s="1577"/>
      <c r="V394" t="s">
        <v>1164</v>
      </c>
      <c r="AG394" s="1449"/>
      <c r="AH394" s="1449"/>
      <c r="AI394" s="1449"/>
      <c r="AJ394" s="1449"/>
    </row>
    <row r="395" spans="4:36" ht="12.95" customHeight="1">
      <c r="D395" t="s">
        <v>1163</v>
      </c>
      <c r="AG395" s="1449"/>
      <c r="AH395" s="1449"/>
      <c r="AI395" s="1449"/>
      <c r="AJ395" s="1449"/>
    </row>
    <row r="396" spans="4:36" ht="12.95" customHeight="1">
      <c r="AG396" s="456"/>
      <c r="AH396" s="456"/>
      <c r="AI396" s="456"/>
      <c r="AJ396" s="456"/>
    </row>
    <row r="397" spans="4:36" ht="12.95" customHeight="1">
      <c r="D397" s="3" t="s">
        <v>2143</v>
      </c>
      <c r="AG397" s="456"/>
      <c r="AH397" s="456"/>
      <c r="AI397" s="1416" t="s">
        <v>670</v>
      </c>
      <c r="AJ397" s="1416"/>
    </row>
    <row r="398" spans="4:36" ht="12.95" customHeight="1">
      <c r="D398" s="3" t="s">
        <v>1668</v>
      </c>
      <c r="T398" s="1435"/>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1667</v>
      </c>
      <c r="T399" s="1435"/>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1661</v>
      </c>
      <c r="S401" s="1435" t="s">
        <v>546</v>
      </c>
      <c r="T401" s="1435"/>
      <c r="U401" s="1435"/>
      <c r="V401" t="s">
        <v>1662</v>
      </c>
      <c r="AG401" s="1524">
        <v>99</v>
      </c>
      <c r="AH401" s="1524"/>
      <c r="AI401" s="1524"/>
      <c r="AJ401" s="1524"/>
    </row>
    <row r="402" spans="1:36" ht="12.95" customHeight="1">
      <c r="D402" s="3" t="s">
        <v>1659</v>
      </c>
      <c r="S402" s="1435" t="s">
        <v>546</v>
      </c>
      <c r="T402" s="1435"/>
      <c r="U402" s="1435"/>
      <c r="V402" t="s">
        <v>1664</v>
      </c>
      <c r="AE402" s="1518">
        <v>1584416</v>
      </c>
      <c r="AF402" s="1518"/>
      <c r="AG402" s="1518"/>
      <c r="AH402" s="1518"/>
      <c r="AI402" s="1518"/>
      <c r="AJ402" s="1518"/>
    </row>
    <row r="403" spans="1:36" ht="12.95" customHeight="1">
      <c r="D403" s="3" t="s">
        <v>1660</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5" customHeight="1">
      <c r="D404" s="3" t="s">
        <v>1663</v>
      </c>
      <c r="K404" s="1521" t="s">
        <v>2706</v>
      </c>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5" customHeight="1">
      <c r="D405" s="3" t="s">
        <v>1666</v>
      </c>
      <c r="E405" s="477"/>
      <c r="F405" s="477"/>
      <c r="G405" s="477"/>
      <c r="H405" s="477"/>
      <c r="I405" s="477"/>
      <c r="J405" s="477"/>
      <c r="K405" s="477"/>
      <c r="L405" s="477"/>
      <c r="M405" s="477"/>
      <c r="N405" s="477"/>
      <c r="O405" s="477"/>
      <c r="P405" s="477"/>
      <c r="Q405" s="477"/>
      <c r="R405" s="477"/>
      <c r="S405" s="1446" t="s">
        <v>2731</v>
      </c>
      <c r="T405" s="1446"/>
      <c r="U405" s="1446"/>
      <c r="V405" s="1446"/>
      <c r="W405" s="1446"/>
      <c r="X405" s="1446"/>
      <c r="Y405" s="1446"/>
      <c r="Z405" s="1446"/>
      <c r="AA405" s="1446"/>
      <c r="AB405" s="1446"/>
      <c r="AC405" s="1446"/>
      <c r="AD405" s="1446"/>
      <c r="AE405" s="1446"/>
      <c r="AF405" s="1446"/>
      <c r="AG405" s="1446"/>
      <c r="AH405" s="1446"/>
      <c r="AI405" s="1446"/>
      <c r="AJ405" s="1446"/>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08" t="s">
        <v>2700</v>
      </c>
      <c r="J410" s="1408"/>
      <c r="K410" s="1408"/>
      <c r="L410" s="1408"/>
      <c r="M410" s="1408"/>
      <c r="N410" s="1408"/>
      <c r="O410" s="1408"/>
      <c r="P410" s="1408"/>
      <c r="Q410" s="1408"/>
      <c r="R410" s="1408"/>
      <c r="S410" s="1408"/>
      <c r="T410" s="1408"/>
      <c r="U410" s="1408"/>
      <c r="V410" s="1408"/>
      <c r="W410" s="1408"/>
      <c r="X410" s="1408"/>
      <c r="Y410" s="1408"/>
      <c r="Z410" s="1408"/>
      <c r="AA410" s="1408"/>
      <c r="AB410" s="1408"/>
      <c r="AC410" s="1408"/>
      <c r="AD410" s="1408"/>
      <c r="AE410" s="1408"/>
    </row>
    <row r="411" spans="1:36" ht="12.95" customHeight="1">
      <c r="E411" t="s">
        <v>106</v>
      </c>
      <c r="R411" s="1416" t="s">
        <v>592</v>
      </c>
      <c r="S411" s="1416"/>
      <c r="AC411" s="27" t="s">
        <v>571</v>
      </c>
      <c r="AD411" s="1390"/>
      <c r="AE411" s="1390"/>
    </row>
    <row r="412" spans="1:36" ht="12.95" customHeight="1">
      <c r="E412" t="s">
        <v>107</v>
      </c>
      <c r="R412" s="1416" t="s">
        <v>546</v>
      </c>
      <c r="S412" s="1416"/>
      <c r="AC412" s="27" t="s">
        <v>571</v>
      </c>
      <c r="AD412" s="1390">
        <v>3</v>
      </c>
      <c r="AE412" s="1390"/>
    </row>
    <row r="413" spans="1:36" ht="12.95" customHeight="1">
      <c r="E413" t="s">
        <v>108</v>
      </c>
      <c r="S413" s="1416" t="s">
        <v>592</v>
      </c>
      <c r="T413" s="1416"/>
    </row>
    <row r="414" spans="1:36" ht="12.95" customHeight="1">
      <c r="E414" t="s">
        <v>170</v>
      </c>
      <c r="H414" s="1578" t="s">
        <v>2701</v>
      </c>
      <c r="I414" s="1578"/>
      <c r="J414" s="1578"/>
      <c r="K414" s="1578"/>
      <c r="L414" s="1578"/>
      <c r="M414" s="1578"/>
      <c r="N414" s="1578"/>
      <c r="O414" s="1578"/>
      <c r="P414" s="1578"/>
      <c r="Q414" s="1578"/>
      <c r="R414" s="1578"/>
      <c r="S414" s="1578"/>
      <c r="T414" s="1578"/>
      <c r="U414" s="1578"/>
      <c r="V414" s="1578"/>
      <c r="W414" s="1578"/>
      <c r="X414" s="1578"/>
      <c r="Y414" s="1578"/>
      <c r="Z414" s="1578"/>
      <c r="AA414" s="1578"/>
      <c r="AB414" s="1578"/>
      <c r="AC414" s="1578"/>
      <c r="AD414" s="1578"/>
      <c r="AE414" s="1578"/>
    </row>
    <row r="415" spans="1:36" ht="12.95" customHeight="1">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row>
    <row r="416" spans="1:36" ht="12.95" customHeight="1"/>
    <row r="417" spans="1:39" ht="12.95" customHeight="1">
      <c r="A417" s="2" t="s">
        <v>591</v>
      </c>
      <c r="B417" s="2"/>
      <c r="C417" s="2"/>
      <c r="D417" s="2" t="s">
        <v>114</v>
      </c>
      <c r="AF417" s="2" t="s">
        <v>958</v>
      </c>
    </row>
    <row r="418" spans="1:39" ht="12.95" customHeight="1">
      <c r="E418" s="1444"/>
      <c r="F418" s="1444"/>
      <c r="G418" s="1444"/>
      <c r="H418" s="13" t="s">
        <v>115</v>
      </c>
      <c r="I418" s="1444"/>
      <c r="J418" s="1444"/>
      <c r="K418" s="1444"/>
      <c r="L418" t="s">
        <v>116</v>
      </c>
      <c r="N418" s="27" t="s">
        <v>576</v>
      </c>
      <c r="P418" s="1581">
        <v>12.723000000000001</v>
      </c>
      <c r="Q418" s="1581"/>
      <c r="R418" s="1581"/>
      <c r="S418" t="s">
        <v>117</v>
      </c>
      <c r="W418" s="1445">
        <f>IF(E418&gt;0,(E418*I418),(P418*43560))</f>
        <v>554213.88</v>
      </c>
      <c r="X418" s="1445"/>
      <c r="Y418" s="1445"/>
      <c r="Z418" t="s">
        <v>118</v>
      </c>
      <c r="AF418" s="1582">
        <f>IFERROR(IF(P418&gt;0,(AG437/P418),(AG437/(W418/43560))),0)</f>
        <v>25.465692053760904</v>
      </c>
      <c r="AG418" s="1582"/>
      <c r="AH418" s="1582"/>
      <c r="AM418" s="3"/>
    </row>
    <row r="419" spans="1:39" ht="12.95" customHeight="1">
      <c r="E419" t="s">
        <v>51</v>
      </c>
    </row>
    <row r="420" spans="1:39" ht="12.9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5" customHeight="1">
      <c r="E421" s="118" t="s">
        <v>1737</v>
      </c>
      <c r="F421" s="1013"/>
      <c r="G421" s="1013"/>
      <c r="H421" s="1013"/>
      <c r="I421" s="1580">
        <v>11.23</v>
      </c>
      <c r="J421" s="1580"/>
      <c r="K421" s="1580"/>
      <c r="L421" s="1013"/>
      <c r="M421" s="118"/>
      <c r="N421" s="1013"/>
      <c r="O421" s="1013"/>
      <c r="P421" s="1833">
        <f>(DU755+DU778+DU800)/I421</f>
        <v>58.058771148708814</v>
      </c>
      <c r="Q421" s="1833"/>
      <c r="R421" s="1833"/>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6">
        <v>9</v>
      </c>
      <c r="Q424" s="1416"/>
      <c r="S424" t="s">
        <v>189</v>
      </c>
      <c r="AE424" s="1416">
        <v>8</v>
      </c>
      <c r="AF424" s="1416"/>
    </row>
    <row r="425" spans="1:39" ht="12.95" customHeight="1">
      <c r="E425" t="s">
        <v>190</v>
      </c>
      <c r="P425" s="1416">
        <v>1</v>
      </c>
      <c r="Q425" s="1416"/>
      <c r="S425" t="s">
        <v>131</v>
      </c>
      <c r="AE425" s="1416" t="s">
        <v>592</v>
      </c>
      <c r="AF425" s="1416"/>
    </row>
    <row r="426" spans="1:39" ht="12.95" customHeight="1">
      <c r="F426" s="28" t="s">
        <v>132</v>
      </c>
    </row>
    <row r="427" spans="1:39" ht="12.95" customHeight="1">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2.95"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2.95" customHeight="1">
      <c r="E429" t="s">
        <v>609</v>
      </c>
      <c r="P429" s="1"/>
      <c r="Q429" s="1416" t="s">
        <v>546</v>
      </c>
      <c r="R429" s="1416"/>
    </row>
    <row r="430" spans="1:39" ht="12.95" customHeight="1">
      <c r="F430" t="s">
        <v>610</v>
      </c>
      <c r="P430" s="1"/>
      <c r="Q430" s="1"/>
      <c r="AF430" s="1416" t="s">
        <v>592</v>
      </c>
      <c r="AG430" s="1506"/>
    </row>
    <row r="431" spans="1:39" ht="12.95" customHeight="1"/>
    <row r="432" spans="1:39" ht="12.95" customHeight="1">
      <c r="A432" s="2"/>
      <c r="B432" s="2"/>
      <c r="C432" s="2"/>
      <c r="E432" s="4" t="s">
        <v>308</v>
      </c>
      <c r="Z432" s="1416" t="s">
        <v>670</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2.95" customHeight="1"/>
    <row r="436" spans="1:55" ht="12.95" customHeight="1">
      <c r="A436" s="2" t="s">
        <v>468</v>
      </c>
      <c r="B436" s="2"/>
      <c r="C436" s="2"/>
      <c r="D436" s="2" t="s">
        <v>765</v>
      </c>
      <c r="AF436" s="48"/>
    </row>
    <row r="437" spans="1:55" ht="12.95"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324</v>
      </c>
      <c r="AH437" s="1385"/>
      <c r="AI437" s="1385"/>
      <c r="AJ437" s="1385"/>
    </row>
    <row r="438" spans="1:55" ht="12.95" customHeight="1">
      <c r="D438" s="1419" t="s">
        <v>1223</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2.95" customHeight="1">
      <c r="D439" s="1419" t="s">
        <v>1032</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321</v>
      </c>
      <c r="AH439" s="1385"/>
      <c r="AI439" s="1385"/>
      <c r="AJ439" s="1385"/>
    </row>
    <row r="440" spans="1:55" ht="12.95" customHeight="1">
      <c r="D440" s="1419" t="s">
        <v>1033</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321</v>
      </c>
      <c r="AH440" s="1385"/>
      <c r="AI440" s="1385"/>
      <c r="AJ440" s="1385"/>
    </row>
    <row r="441" spans="1:55" ht="12.95" customHeight="1">
      <c r="D441" s="1419" t="s">
        <v>1035</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1034</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270996</v>
      </c>
      <c r="AH442" s="1417"/>
      <c r="AI442" s="1417"/>
      <c r="AJ442" s="1417"/>
    </row>
    <row r="443" spans="1:55" ht="12.95" customHeight="1">
      <c r="D443" s="1419" t="s">
        <v>1036</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270996</v>
      </c>
      <c r="AH443" s="1417"/>
      <c r="AI443" s="1417"/>
      <c r="AJ443" s="1417"/>
    </row>
    <row r="444" spans="1:55" ht="12.95" customHeight="1">
      <c r="D444" s="1419" t="s">
        <v>1037</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1038</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5588</v>
      </c>
      <c r="AH446" s="1417"/>
      <c r="AI446" s="1417"/>
      <c r="AJ446" s="1417"/>
      <c r="AZ446" s="34"/>
      <c r="BA446" s="34"/>
      <c r="BB446" s="34"/>
      <c r="BC446" s="34"/>
    </row>
    <row r="447" spans="1:55" ht="12.95" customHeight="1">
      <c r="D447" s="1505"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2.95" customHeight="1">
      <c r="D448" s="1419" t="s">
        <v>1206</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7278</v>
      </c>
      <c r="AH448" s="1417"/>
      <c r="AI448" s="1417"/>
      <c r="AJ448" s="1417"/>
      <c r="AZ448" s="3"/>
      <c r="BA448" s="3"/>
      <c r="BB448" s="3"/>
      <c r="BC448" s="3"/>
    </row>
    <row r="449" spans="1:55" ht="12.95" customHeight="1">
      <c r="D449" s="1419" t="s">
        <v>1039</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2.95" customHeight="1">
      <c r="D450" s="1574" t="s">
        <v>1040</v>
      </c>
      <c r="E450" s="1575"/>
      <c r="F450" s="1575"/>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1575"/>
      <c r="AD450" s="1575"/>
      <c r="AE450" s="1575"/>
      <c r="AF450" s="1576"/>
      <c r="AG450" s="1430">
        <f>AG442+AG446+AG448+AG449</f>
        <v>283862</v>
      </c>
      <c r="AH450" s="1430"/>
      <c r="AI450" s="1430"/>
      <c r="AJ450" s="1430"/>
      <c r="AZ450" s="3"/>
      <c r="BA450" s="3"/>
      <c r="BB450" s="3"/>
      <c r="BC450" s="3"/>
    </row>
    <row r="451" spans="1:55" ht="12.95" customHeight="1">
      <c r="D451" s="1583" t="s">
        <v>1207</v>
      </c>
      <c r="E451" s="1583"/>
      <c r="F451" s="1583"/>
      <c r="G451" s="1583"/>
      <c r="H451" s="1583"/>
      <c r="I451" s="1583"/>
      <c r="J451" s="1583"/>
      <c r="K451" s="1583"/>
      <c r="L451" s="1583"/>
      <c r="M451" s="1583"/>
      <c r="N451" s="1583"/>
      <c r="O451" s="1583"/>
      <c r="P451" s="1583"/>
      <c r="Q451" s="1583"/>
      <c r="R451" s="1583"/>
      <c r="S451" s="1583"/>
      <c r="T451" s="1583"/>
      <c r="U451" s="1583"/>
      <c r="V451" s="1583"/>
      <c r="W451" s="1583"/>
      <c r="X451" s="1583"/>
      <c r="Y451" s="1583"/>
      <c r="Z451" s="1583"/>
      <c r="AA451" s="1583"/>
      <c r="AB451" s="1583"/>
      <c r="AC451" s="1583"/>
      <c r="AD451" s="1583"/>
      <c r="AE451" s="1583"/>
      <c r="AF451" s="1583"/>
      <c r="AG451" s="1583"/>
      <c r="AH451" s="1583"/>
      <c r="AI451" s="1583"/>
      <c r="AJ451" s="1583"/>
      <c r="AZ451" s="3"/>
      <c r="BA451" s="3"/>
      <c r="BB451" s="3"/>
      <c r="BC451" s="3"/>
    </row>
    <row r="452" spans="1:55" ht="12.95" customHeight="1">
      <c r="D452" s="1584"/>
      <c r="E452" s="1584"/>
      <c r="F452" s="1584"/>
      <c r="G452" s="1584"/>
      <c r="H452" s="1584"/>
      <c r="I452" s="1584"/>
      <c r="J452" s="1584"/>
      <c r="K452" s="1584"/>
      <c r="L452" s="1584"/>
      <c r="M452" s="1584"/>
      <c r="N452" s="1584"/>
      <c r="O452" s="1584"/>
      <c r="P452" s="1584"/>
      <c r="Q452" s="1584"/>
      <c r="R452" s="1584"/>
      <c r="S452" s="1584"/>
      <c r="T452" s="1584"/>
      <c r="U452" s="1584"/>
      <c r="V452" s="1584"/>
      <c r="W452" s="1584"/>
      <c r="X452" s="1584"/>
      <c r="Y452" s="1584"/>
      <c r="Z452" s="1584"/>
      <c r="AA452" s="1584"/>
      <c r="AB452" s="1584"/>
      <c r="AC452" s="1584"/>
      <c r="AD452" s="1584"/>
      <c r="AE452" s="1584"/>
      <c r="AF452" s="1584"/>
      <c r="AG452" s="1584"/>
      <c r="AH452" s="1584"/>
      <c r="AI452" s="1584"/>
      <c r="AJ452" s="1584"/>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475037.54320987652</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475037.54320987652</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440981.34876543208</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50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0"/>
      <c r="H474" s="1671"/>
      <c r="I474" s="1671"/>
      <c r="J474" s="1671"/>
      <c r="K474" s="1671"/>
      <c r="L474" s="1671"/>
      <c r="M474" s="1671"/>
      <c r="N474" s="1671"/>
      <c r="O474" s="1671"/>
      <c r="P474" s="1671"/>
      <c r="Q474" s="1671"/>
      <c r="R474" s="1671"/>
      <c r="S474" s="1671"/>
      <c r="T474" s="1671"/>
      <c r="U474" s="1671"/>
      <c r="V474" s="1672"/>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5" t="s">
        <v>811</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2736</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2736</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592</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68" t="s">
        <v>166</v>
      </c>
      <c r="T489" s="1569"/>
      <c r="U489" s="1569"/>
      <c r="V489" s="1569"/>
      <c r="W489" s="1569"/>
      <c r="X489" s="1569"/>
      <c r="Y489" s="1569"/>
      <c r="Z489" s="1569"/>
      <c r="AA489" s="1569"/>
      <c r="AB489" s="1569"/>
      <c r="AC489" s="1569"/>
      <c r="AD489" s="1569"/>
      <c r="AE489" s="1569"/>
      <c r="AF489" s="1569"/>
      <c r="AG489" s="1569"/>
      <c r="AH489" s="1569"/>
      <c r="AI489" s="1569"/>
      <c r="AJ489" s="1569"/>
      <c r="AK489" s="1570"/>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71"/>
      <c r="T490" s="1531"/>
      <c r="U490" s="1531"/>
      <c r="V490" s="1531"/>
      <c r="W490" s="1531"/>
      <c r="X490" s="1531"/>
      <c r="Y490" s="1531"/>
      <c r="Z490" s="1531"/>
      <c r="AA490" s="1531"/>
      <c r="AB490" s="1531"/>
      <c r="AC490" s="1531"/>
      <c r="AD490" s="1531"/>
      <c r="AE490" s="1531"/>
      <c r="AF490" s="1531"/>
      <c r="AG490" s="1531"/>
      <c r="AH490" s="1531"/>
      <c r="AI490" s="1531"/>
      <c r="AJ490" s="1531"/>
      <c r="AK490" s="1572"/>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2737</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2738</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562</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c r="N495" s="1382"/>
      <c r="O495" s="1382"/>
      <c r="P495" s="1383"/>
      <c r="Q495" s="121" t="s">
        <v>1671</v>
      </c>
      <c r="R495" s="5"/>
      <c r="S495" s="5"/>
      <c r="T495" s="5"/>
      <c r="U495" s="5"/>
      <c r="V495" s="5"/>
      <c r="W495" s="5"/>
      <c r="X495" s="5"/>
      <c r="Y495" s="5"/>
      <c r="Z495" s="5"/>
      <c r="AA495" s="5"/>
      <c r="AB495" s="5"/>
      <c r="AC495" s="5"/>
      <c r="AD495" s="5"/>
      <c r="AE495" s="5"/>
      <c r="AF495" s="5"/>
      <c r="AG495" s="5"/>
      <c r="AH495" s="1381">
        <v>562</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1</v>
      </c>
      <c r="AD501" s="1390"/>
      <c r="AE501" s="1390"/>
      <c r="AF501" s="1390"/>
      <c r="AG501" s="13" t="s">
        <v>403</v>
      </c>
      <c r="AH501" s="1428">
        <v>2025</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6</v>
      </c>
      <c r="AD502" s="1390"/>
      <c r="AE502" s="1390"/>
      <c r="AF502" s="1390"/>
      <c r="AG502" s="38" t="s">
        <v>403</v>
      </c>
      <c r="AH502" s="1428">
        <v>2024</v>
      </c>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8"/>
      <c r="AI505" s="1428"/>
      <c r="AJ505" s="1428"/>
      <c r="AK505" s="1429"/>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5</v>
      </c>
      <c r="AD506" s="1390"/>
      <c r="AE506" s="1390"/>
      <c r="AF506" s="1390"/>
      <c r="AG506" s="13" t="s">
        <v>403</v>
      </c>
      <c r="AH506" s="1428">
        <v>2026</v>
      </c>
      <c r="AI506" s="1428"/>
      <c r="AJ506" s="1428"/>
      <c r="AK506" s="1429"/>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5</v>
      </c>
      <c r="AD507" s="1356"/>
      <c r="AE507" s="1356"/>
      <c r="AF507" s="1356"/>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4" t="s">
        <v>2739</v>
      </c>
      <c r="M508" s="1435"/>
      <c r="N508" s="1435"/>
      <c r="O508" s="1435"/>
      <c r="P508" s="1435"/>
      <c r="Q508" s="1435"/>
      <c r="R508" s="1435"/>
      <c r="S508" s="1435"/>
      <c r="T508" s="1435"/>
      <c r="U508" s="1435"/>
      <c r="V508" s="1435"/>
      <c r="W508" s="1435"/>
      <c r="X508" s="1435"/>
      <c r="Y508" s="1435"/>
      <c r="Z508" s="1435"/>
      <c r="AA508" s="1435"/>
      <c r="AB508" s="1436"/>
      <c r="AC508" s="1389">
        <v>11</v>
      </c>
      <c r="AD508" s="1390"/>
      <c r="AE508" s="1390"/>
      <c r="AF508" s="1390"/>
      <c r="AG508" s="38" t="s">
        <v>403</v>
      </c>
      <c r="AH508" s="1428">
        <v>2023</v>
      </c>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5"/>
      <c r="AI512" s="1585"/>
      <c r="AJ512" s="1585"/>
      <c r="AK512" s="1586"/>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3"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416</v>
      </c>
      <c r="AC515" s="1389">
        <v>8</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416</v>
      </c>
      <c r="AC518" s="1389">
        <v>8</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8">
        <v>2026</v>
      </c>
      <c r="AI519" s="1428"/>
      <c r="AJ519" s="1428"/>
      <c r="AK519" s="1429"/>
      <c r="BB519" s="3"/>
      <c r="BC519" s="3"/>
      <c r="BD519" s="3"/>
      <c r="BE519" s="3"/>
      <c r="BF519" s="3"/>
      <c r="BG519" s="3"/>
      <c r="BH519" s="3"/>
      <c r="BI519" s="3"/>
      <c r="BJ519" s="3"/>
      <c r="BK519" s="3"/>
      <c r="BL519" s="3"/>
      <c r="BM519" s="3"/>
      <c r="BN519" s="3" t="s">
        <v>2111</v>
      </c>
    </row>
    <row r="520" spans="2:66" ht="12.95" customHeight="1">
      <c r="B520" s="1396" t="s">
        <v>419</v>
      </c>
      <c r="C520" s="1397"/>
      <c r="D520" s="1397"/>
      <c r="E520" s="1397"/>
      <c r="F520" s="1397"/>
      <c r="G520" s="1397"/>
      <c r="H520" s="1398"/>
      <c r="I520" s="41" t="s">
        <v>420</v>
      </c>
      <c r="J520" s="42"/>
      <c r="K520" s="42"/>
      <c r="L520" s="42"/>
      <c r="M520" s="42"/>
      <c r="N520" s="42"/>
      <c r="O520" s="1434" t="s">
        <v>2618</v>
      </c>
      <c r="P520" s="1435"/>
      <c r="Q520" s="1435"/>
      <c r="R520" s="1435"/>
      <c r="S520" s="1435"/>
      <c r="T520" s="1435"/>
      <c r="U520" s="1435"/>
      <c r="V520" s="1435"/>
      <c r="W520" s="1435"/>
      <c r="X520" s="1435"/>
      <c r="Y520" s="1435"/>
      <c r="Z520" s="1435"/>
      <c r="AA520" s="1435"/>
      <c r="AB520" s="58"/>
      <c r="AC520" s="1355" t="s">
        <v>592</v>
      </c>
      <c r="AD520" s="1356"/>
      <c r="AE520" s="1356"/>
      <c r="AF520" s="1356"/>
      <c r="AG520" s="129" t="s">
        <v>403</v>
      </c>
      <c r="AH520" s="1428"/>
      <c r="AI520" s="1428"/>
      <c r="AJ520" s="1428"/>
      <c r="AK520" s="1429"/>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421</v>
      </c>
      <c r="AB521" s="65"/>
      <c r="AC521" s="1389">
        <v>8</v>
      </c>
      <c r="AD521" s="1390"/>
      <c r="AE521" s="1390"/>
      <c r="AF521" s="1390"/>
      <c r="AG521" s="13" t="s">
        <v>403</v>
      </c>
      <c r="AH521" s="1428">
        <v>2026</v>
      </c>
      <c r="AI521" s="1428"/>
      <c r="AJ521" s="1428"/>
      <c r="AK521" s="1429"/>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8">
        <v>2026</v>
      </c>
      <c r="AI522" s="1428"/>
      <c r="AJ522" s="1428"/>
      <c r="AK522" s="1429"/>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423</v>
      </c>
      <c r="J523" s="42"/>
      <c r="K523" s="42"/>
      <c r="L523" s="42"/>
      <c r="M523" s="42"/>
      <c r="N523" s="42"/>
      <c r="O523" s="1434" t="s">
        <v>334</v>
      </c>
      <c r="P523" s="1435"/>
      <c r="Q523" s="1435"/>
      <c r="R523" s="1435"/>
      <c r="S523" s="1435"/>
      <c r="T523" s="1435"/>
      <c r="U523" s="1435"/>
      <c r="V523" s="1435"/>
      <c r="W523" s="1435"/>
      <c r="X523" s="1435"/>
      <c r="Y523" s="1435"/>
      <c r="Z523" s="1435"/>
      <c r="AA523" s="1435"/>
      <c r="AC523" s="1389" t="s">
        <v>592</v>
      </c>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421</v>
      </c>
      <c r="AC524" s="1389" t="s">
        <v>592</v>
      </c>
      <c r="AD524" s="1390"/>
      <c r="AE524" s="1390"/>
      <c r="AF524" s="1390"/>
      <c r="AG524" s="13" t="s">
        <v>403</v>
      </c>
      <c r="AH524" s="1428"/>
      <c r="AI524" s="1428"/>
      <c r="AJ524" s="1428"/>
      <c r="AK524" s="1429"/>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8"/>
      <c r="AI525" s="1428"/>
      <c r="AJ525" s="1428"/>
      <c r="AK525" s="1429"/>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89" t="s">
        <v>592</v>
      </c>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421</v>
      </c>
      <c r="AC527" s="1389" t="s">
        <v>592</v>
      </c>
      <c r="AD527" s="1390"/>
      <c r="AE527" s="1390"/>
      <c r="AF527" s="1390"/>
      <c r="AG527" s="13" t="s">
        <v>403</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89" t="s">
        <v>592</v>
      </c>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421</v>
      </c>
      <c r="AC530" s="1389" t="s">
        <v>592</v>
      </c>
      <c r="AD530" s="1390"/>
      <c r="AE530" s="1390"/>
      <c r="AF530" s="1390"/>
      <c r="AG530" s="13" t="s">
        <v>403</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89" t="s">
        <v>592</v>
      </c>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421</v>
      </c>
      <c r="AC533" s="1389" t="s">
        <v>592</v>
      </c>
      <c r="AD533" s="1390"/>
      <c r="AE533" s="1390"/>
      <c r="AF533" s="1390"/>
      <c r="AG533" s="38" t="s">
        <v>403</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89" t="s">
        <v>592</v>
      </c>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421</v>
      </c>
      <c r="AC536" s="1389" t="s">
        <v>592</v>
      </c>
      <c r="AD536" s="1390"/>
      <c r="AE536" s="1390"/>
      <c r="AF536" s="1390"/>
      <c r="AG536" s="13" t="s">
        <v>403</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5</v>
      </c>
      <c r="AD538" s="1390"/>
      <c r="AE538" s="1390"/>
      <c r="AF538" s="1390"/>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5</v>
      </c>
      <c r="AD539" s="1390"/>
      <c r="AE539" s="1390"/>
      <c r="AF539" s="1390"/>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v>
      </c>
      <c r="AD540" s="1390"/>
      <c r="AE540" s="1390"/>
      <c r="AF540" s="1390"/>
      <c r="AG540" s="38" t="s">
        <v>403</v>
      </c>
      <c r="AH540" s="1428">
        <v>2029</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v>
      </c>
      <c r="AD541" s="1390"/>
      <c r="AE541" s="1390"/>
      <c r="AF541" s="1390"/>
      <c r="AG541" s="38" t="s">
        <v>403</v>
      </c>
      <c r="AH541" s="1428">
        <v>2030</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5</v>
      </c>
      <c r="AD542" s="1390"/>
      <c r="AE542" s="1390"/>
      <c r="AF542" s="1390"/>
      <c r="AG542" s="38" t="s">
        <v>403</v>
      </c>
      <c r="AH542" s="1428">
        <v>2030</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40" t="s">
        <v>2702</v>
      </c>
      <c r="D554" s="1440"/>
      <c r="E554" s="1440"/>
      <c r="F554" s="1440"/>
      <c r="G554" s="1440"/>
      <c r="H554" s="1440"/>
      <c r="I554" s="1440"/>
      <c r="J554" s="1440"/>
      <c r="K554" s="1440"/>
      <c r="L554" s="1440"/>
      <c r="M554" s="1440" t="s">
        <v>2120</v>
      </c>
      <c r="N554" s="1440"/>
      <c r="O554" s="1440"/>
      <c r="P554" s="1440"/>
      <c r="Q554" s="1426">
        <v>48</v>
      </c>
      <c r="R554" s="1426"/>
      <c r="S554" s="1427"/>
      <c r="T554" s="1425"/>
      <c r="U554" s="1426"/>
      <c r="V554" s="1427"/>
      <c r="W554" s="1422">
        <v>6.3E-2</v>
      </c>
      <c r="X554" s="1423"/>
      <c r="Y554" s="1424"/>
      <c r="Z554" s="1431" t="s">
        <v>2703</v>
      </c>
      <c r="AA554" s="1431"/>
      <c r="AB554" s="1431"/>
      <c r="AC554" s="1431"/>
      <c r="AD554" s="1431"/>
      <c r="AE554" s="1413">
        <v>1</v>
      </c>
      <c r="AF554" s="1414"/>
      <c r="AG554" s="1414"/>
      <c r="AH554" s="1415"/>
      <c r="AI554" s="1437"/>
      <c r="AJ554" s="1438"/>
      <c r="AK554" s="1438"/>
      <c r="AL554" s="1439"/>
      <c r="AM554" s="1466">
        <f>41490000-AM555</f>
        <v>36990000</v>
      </c>
      <c r="AN554" s="1467"/>
      <c r="AO554" s="1467"/>
      <c r="AP554" s="1467"/>
      <c r="AQ554" s="1467"/>
      <c r="AR554" s="1467"/>
      <c r="AS554" s="1468"/>
      <c r="AT554" s="1148"/>
      <c r="AU554" s="1147"/>
      <c r="BB554" s="3"/>
      <c r="BC554" s="3"/>
      <c r="BD554" s="3"/>
      <c r="BE554" s="3"/>
      <c r="BF554" s="3"/>
      <c r="BG554" s="3"/>
      <c r="BH554" s="3"/>
      <c r="BI554" s="3"/>
    </row>
    <row r="555" spans="1:61" ht="12.95" customHeight="1">
      <c r="B555" s="52" t="s">
        <v>113</v>
      </c>
      <c r="C555" s="1441" t="s">
        <v>2702</v>
      </c>
      <c r="D555" s="1441"/>
      <c r="E555" s="1441"/>
      <c r="F555" s="1441"/>
      <c r="G555" s="1441"/>
      <c r="H555" s="1441"/>
      <c r="I555" s="1441"/>
      <c r="J555" s="1441"/>
      <c r="K555" s="1441"/>
      <c r="L555" s="1441"/>
      <c r="M555" s="1440" t="s">
        <v>2121</v>
      </c>
      <c r="N555" s="1440"/>
      <c r="O555" s="1440"/>
      <c r="P555" s="1440"/>
      <c r="Q555" s="1425">
        <v>48</v>
      </c>
      <c r="R555" s="1426"/>
      <c r="S555" s="1427"/>
      <c r="T555" s="1425"/>
      <c r="U555" s="1426"/>
      <c r="V555" s="1427"/>
      <c r="W555" s="1422">
        <v>6.3E-2</v>
      </c>
      <c r="X555" s="1423"/>
      <c r="Y555" s="1424"/>
      <c r="Z555" s="1431" t="s">
        <v>2703</v>
      </c>
      <c r="AA555" s="1431"/>
      <c r="AB555" s="1431"/>
      <c r="AC555" s="1431"/>
      <c r="AD555" s="1431"/>
      <c r="AE555" s="1413"/>
      <c r="AF555" s="1414"/>
      <c r="AG555" s="1414"/>
      <c r="AH555" s="1415"/>
      <c r="AI555" s="1437"/>
      <c r="AJ555" s="1438"/>
      <c r="AK555" s="1438"/>
      <c r="AL555" s="1439"/>
      <c r="AM555" s="1466">
        <v>4500000</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5" customHeight="1">
      <c r="B556" s="52" t="s">
        <v>119</v>
      </c>
      <c r="C556" s="1441" t="s">
        <v>2702</v>
      </c>
      <c r="D556" s="1441"/>
      <c r="E556" s="1441"/>
      <c r="F556" s="1441"/>
      <c r="G556" s="1441"/>
      <c r="H556" s="1441"/>
      <c r="I556" s="1441"/>
      <c r="J556" s="1441"/>
      <c r="K556" s="1441"/>
      <c r="L556" s="1441"/>
      <c r="M556" s="1440" t="s">
        <v>2119</v>
      </c>
      <c r="N556" s="1440"/>
      <c r="O556" s="1440"/>
      <c r="P556" s="1440"/>
      <c r="Q556" s="1425">
        <v>48</v>
      </c>
      <c r="R556" s="1426"/>
      <c r="S556" s="1427"/>
      <c r="T556" s="1425"/>
      <c r="U556" s="1426"/>
      <c r="V556" s="1427"/>
      <c r="W556" s="1422">
        <v>7.0499999999999993E-2</v>
      </c>
      <c r="X556" s="1423"/>
      <c r="Y556" s="1424"/>
      <c r="Z556" s="1431" t="s">
        <v>2703</v>
      </c>
      <c r="AA556" s="1431"/>
      <c r="AB556" s="1431"/>
      <c r="AC556" s="1431"/>
      <c r="AD556" s="1431"/>
      <c r="AE556" s="1413"/>
      <c r="AF556" s="1414"/>
      <c r="AG556" s="1414"/>
      <c r="AH556" s="1415"/>
      <c r="AI556" s="1437"/>
      <c r="AJ556" s="1438"/>
      <c r="AK556" s="1438"/>
      <c r="AL556" s="1439"/>
      <c r="AM556" s="1466">
        <v>47000000</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5" customHeight="1">
      <c r="B557" s="52" t="s">
        <v>582</v>
      </c>
      <c r="C557" s="1441" t="s">
        <v>2618</v>
      </c>
      <c r="D557" s="1441"/>
      <c r="E557" s="1441"/>
      <c r="F557" s="1441"/>
      <c r="G557" s="1441"/>
      <c r="H557" s="1441"/>
      <c r="I557" s="1441"/>
      <c r="J557" s="1441"/>
      <c r="K557" s="1441"/>
      <c r="L557" s="1441"/>
      <c r="M557" s="1440" t="s">
        <v>2116</v>
      </c>
      <c r="N557" s="1440"/>
      <c r="O557" s="1440"/>
      <c r="P557" s="1440"/>
      <c r="Q557" s="1425"/>
      <c r="R557" s="1426"/>
      <c r="S557" s="1427"/>
      <c r="T557" s="1425"/>
      <c r="U557" s="1426"/>
      <c r="V557" s="1427"/>
      <c r="W557" s="1422">
        <v>0.03</v>
      </c>
      <c r="X557" s="1423"/>
      <c r="Y557" s="1424"/>
      <c r="Z557" s="1431" t="s">
        <v>2704</v>
      </c>
      <c r="AA557" s="1431"/>
      <c r="AB557" s="1431"/>
      <c r="AC557" s="1431"/>
      <c r="AD557" s="1431"/>
      <c r="AE557" s="1413"/>
      <c r="AF557" s="1414"/>
      <c r="AG557" s="1414"/>
      <c r="AH557" s="1415"/>
      <c r="AI557" s="1437"/>
      <c r="AJ557" s="1438"/>
      <c r="AK557" s="1438"/>
      <c r="AL557" s="1439"/>
      <c r="AM557" s="1466">
        <v>1700000</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5" customHeight="1">
      <c r="B558" s="52" t="s">
        <v>764</v>
      </c>
      <c r="C558" s="1441" t="s">
        <v>2122</v>
      </c>
      <c r="D558" s="1441"/>
      <c r="E558" s="1441"/>
      <c r="F558" s="1441"/>
      <c r="G558" s="1441"/>
      <c r="H558" s="1441"/>
      <c r="I558" s="1441"/>
      <c r="J558" s="1441"/>
      <c r="K558" s="1441"/>
      <c r="L558" s="1441"/>
      <c r="M558" s="1440" t="s">
        <v>2122</v>
      </c>
      <c r="N558" s="1440"/>
      <c r="O558" s="1440"/>
      <c r="P558" s="1440"/>
      <c r="Q558" s="1425"/>
      <c r="R558" s="1426"/>
      <c r="S558" s="1427"/>
      <c r="T558" s="1425"/>
      <c r="U558" s="1426"/>
      <c r="V558" s="1427"/>
      <c r="W558" s="1422"/>
      <c r="X558" s="1423"/>
      <c r="Y558" s="1424"/>
      <c r="Z558" s="1431" t="s">
        <v>1185</v>
      </c>
      <c r="AA558" s="1431"/>
      <c r="AB558" s="1431"/>
      <c r="AC558" s="1431"/>
      <c r="AD558" s="1431"/>
      <c r="AE558" s="1413"/>
      <c r="AF558" s="1414"/>
      <c r="AG558" s="1414"/>
      <c r="AH558" s="1415"/>
      <c r="AI558" s="1437"/>
      <c r="AJ558" s="1438"/>
      <c r="AK558" s="1438"/>
      <c r="AL558" s="1439"/>
      <c r="AM558" s="1466">
        <v>526040</v>
      </c>
      <c r="AN558" s="1467"/>
      <c r="AO558" s="1467"/>
      <c r="AP558" s="1467"/>
      <c r="AQ558" s="1467"/>
      <c r="AR558" s="1467"/>
      <c r="AS558" s="1468"/>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41" t="s">
        <v>2705</v>
      </c>
      <c r="D559" s="1441"/>
      <c r="E559" s="1441"/>
      <c r="F559" s="1441"/>
      <c r="G559" s="1441"/>
      <c r="H559" s="1441"/>
      <c r="I559" s="1441"/>
      <c r="J559" s="1441"/>
      <c r="K559" s="1441"/>
      <c r="L559" s="1441"/>
      <c r="M559" s="1440" t="s">
        <v>2106</v>
      </c>
      <c r="N559" s="1440"/>
      <c r="O559" s="1440"/>
      <c r="P559" s="1440"/>
      <c r="Q559" s="1425"/>
      <c r="R559" s="1426"/>
      <c r="S559" s="1427"/>
      <c r="T559" s="1425"/>
      <c r="U559" s="1426"/>
      <c r="V559" s="1427"/>
      <c r="W559" s="1422"/>
      <c r="X559" s="1423"/>
      <c r="Y559" s="1424"/>
      <c r="Z559" s="1431" t="s">
        <v>1185</v>
      </c>
      <c r="AA559" s="1431"/>
      <c r="AB559" s="1431"/>
      <c r="AC559" s="1431"/>
      <c r="AD559" s="1431"/>
      <c r="AE559" s="1413"/>
      <c r="AF559" s="1414"/>
      <c r="AG559" s="1414"/>
      <c r="AH559" s="1415"/>
      <c r="AI559" s="1437"/>
      <c r="AJ559" s="1438"/>
      <c r="AK559" s="1438"/>
      <c r="AL559" s="1439"/>
      <c r="AM559" s="1466">
        <v>20440432</v>
      </c>
      <c r="AN559" s="1467"/>
      <c r="AO559" s="1467"/>
      <c r="AP559" s="1467"/>
      <c r="AQ559" s="1467"/>
      <c r="AR559" s="1467"/>
      <c r="AS559" s="1468"/>
      <c r="AT559" s="1148" t="str">
        <f t="shared" si="0"/>
        <v/>
      </c>
      <c r="AU559" s="1147"/>
      <c r="BB559" s="3"/>
      <c r="BC559" s="3"/>
      <c r="BD559" s="3"/>
      <c r="BE559" s="3"/>
      <c r="BF559" s="3"/>
      <c r="BG559" s="3"/>
      <c r="BH559" s="3" t="s">
        <v>585</v>
      </c>
      <c r="BI559" s="3" t="str">
        <f>AG665</f>
        <v>No</v>
      </c>
    </row>
    <row r="560" spans="1:61" ht="12.95" customHeight="1">
      <c r="B560" s="52" t="s">
        <v>456</v>
      </c>
      <c r="C560" s="1441" t="s">
        <v>2706</v>
      </c>
      <c r="D560" s="1441"/>
      <c r="E560" s="1441"/>
      <c r="F560" s="1441"/>
      <c r="G560" s="1441"/>
      <c r="H560" s="1441"/>
      <c r="I560" s="1441"/>
      <c r="J560" s="1441"/>
      <c r="K560" s="1441"/>
      <c r="L560" s="1441"/>
      <c r="M560" s="1440" t="s">
        <v>2123</v>
      </c>
      <c r="N560" s="1440"/>
      <c r="O560" s="1440"/>
      <c r="P560" s="1440"/>
      <c r="Q560" s="1425"/>
      <c r="R560" s="1426"/>
      <c r="S560" s="1427"/>
      <c r="T560" s="1425"/>
      <c r="U560" s="1426"/>
      <c r="V560" s="1427"/>
      <c r="W560" s="1422"/>
      <c r="X560" s="1423"/>
      <c r="Y560" s="1424"/>
      <c r="Z560" s="1431" t="s">
        <v>1185</v>
      </c>
      <c r="AA560" s="1431"/>
      <c r="AB560" s="1431"/>
      <c r="AC560" s="1431"/>
      <c r="AD560" s="1431"/>
      <c r="AE560" s="1413"/>
      <c r="AF560" s="1414"/>
      <c r="AG560" s="1414"/>
      <c r="AH560" s="1415"/>
      <c r="AI560" s="1437"/>
      <c r="AJ560" s="1438"/>
      <c r="AK560" s="1438"/>
      <c r="AL560" s="1439"/>
      <c r="AM560" s="1466">
        <v>23560000</v>
      </c>
      <c r="AN560" s="1467"/>
      <c r="AO560" s="1467"/>
      <c r="AP560" s="1467"/>
      <c r="AQ560" s="1467"/>
      <c r="AR560" s="1467"/>
      <c r="AS560" s="1468"/>
      <c r="AT560" s="1148" t="str">
        <f t="shared" si="0"/>
        <v/>
      </c>
      <c r="AU560" s="1147"/>
      <c r="BB560" s="3"/>
      <c r="BC560" s="3"/>
      <c r="BD560" s="3"/>
      <c r="BE560" s="3"/>
      <c r="BF560" s="3"/>
      <c r="BG560" s="3"/>
      <c r="BH560" s="3"/>
      <c r="BI560" s="3"/>
    </row>
    <row r="561" spans="1:61" ht="12.95" customHeight="1">
      <c r="B561" s="52" t="s">
        <v>457</v>
      </c>
      <c r="C561" s="1441" t="s">
        <v>2707</v>
      </c>
      <c r="D561" s="1441"/>
      <c r="E561" s="1441"/>
      <c r="F561" s="1441"/>
      <c r="G561" s="1441"/>
      <c r="H561" s="1441"/>
      <c r="I561" s="1441"/>
      <c r="J561" s="1441"/>
      <c r="K561" s="1441"/>
      <c r="L561" s="1441"/>
      <c r="M561" s="1440" t="s">
        <v>2111</v>
      </c>
      <c r="N561" s="1440"/>
      <c r="O561" s="1440"/>
      <c r="P561" s="1440"/>
      <c r="Q561" s="1425"/>
      <c r="R561" s="1426"/>
      <c r="S561" s="1427"/>
      <c r="T561" s="1425"/>
      <c r="U561" s="1426"/>
      <c r="V561" s="1427"/>
      <c r="W561" s="1422"/>
      <c r="X561" s="1423"/>
      <c r="Y561" s="1424"/>
      <c r="Z561" s="1431" t="s">
        <v>1185</v>
      </c>
      <c r="AA561" s="1431"/>
      <c r="AB561" s="1431"/>
      <c r="AC561" s="1431"/>
      <c r="AD561" s="1431"/>
      <c r="AE561" s="1413"/>
      <c r="AF561" s="1414"/>
      <c r="AG561" s="1414"/>
      <c r="AH561" s="1415"/>
      <c r="AI561" s="1437"/>
      <c r="AJ561" s="1438"/>
      <c r="AK561" s="1438"/>
      <c r="AL561" s="1439"/>
      <c r="AM561" s="1466">
        <v>13076191</v>
      </c>
      <c r="AN561" s="1467"/>
      <c r="AO561" s="1467"/>
      <c r="AP561" s="1467"/>
      <c r="AQ561" s="1467"/>
      <c r="AR561" s="1467"/>
      <c r="AS561" s="1468"/>
      <c r="AT561" s="1148" t="str">
        <f t="shared" si="0"/>
        <v/>
      </c>
      <c r="AU561" s="1147"/>
      <c r="BB561" s="3"/>
      <c r="BC561" s="3"/>
      <c r="BD561" s="3"/>
      <c r="BE561" s="3"/>
      <c r="BF561" s="3"/>
      <c r="BG561" s="3"/>
      <c r="BH561" s="3"/>
      <c r="BI561" s="3"/>
    </row>
    <row r="562" spans="1:61" ht="12.95" customHeight="1">
      <c r="B562" s="52" t="s">
        <v>462</v>
      </c>
      <c r="C562" s="1441"/>
      <c r="D562" s="1441"/>
      <c r="E562" s="1441"/>
      <c r="F562" s="1441"/>
      <c r="G562" s="1441"/>
      <c r="H562" s="1441"/>
      <c r="I562" s="1441"/>
      <c r="J562" s="1441"/>
      <c r="K562" s="1441"/>
      <c r="L562" s="1441"/>
      <c r="M562" s="1440" t="s">
        <v>1185</v>
      </c>
      <c r="N562" s="1440"/>
      <c r="O562" s="1440"/>
      <c r="P562" s="1440"/>
      <c r="Q562" s="1425"/>
      <c r="R562" s="1426"/>
      <c r="S562" s="1427"/>
      <c r="T562" s="1425"/>
      <c r="U562" s="1426"/>
      <c r="V562" s="1427"/>
      <c r="W562" s="1422"/>
      <c r="X562" s="1423"/>
      <c r="Y562" s="1424"/>
      <c r="Z562" s="1431" t="s">
        <v>1185</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2.95" customHeight="1">
      <c r="B563" s="52" t="s">
        <v>647</v>
      </c>
      <c r="C563" s="1441"/>
      <c r="D563" s="1441"/>
      <c r="E563" s="1441"/>
      <c r="F563" s="1441"/>
      <c r="G563" s="1441"/>
      <c r="H563" s="1441"/>
      <c r="I563" s="1441"/>
      <c r="J563" s="1441"/>
      <c r="K563" s="1441"/>
      <c r="L563" s="1441"/>
      <c r="M563" s="1440" t="s">
        <v>1185</v>
      </c>
      <c r="N563" s="1440"/>
      <c r="O563" s="1440"/>
      <c r="P563" s="1440"/>
      <c r="Q563" s="1425"/>
      <c r="R563" s="1426"/>
      <c r="S563" s="1427"/>
      <c r="T563" s="1425"/>
      <c r="U563" s="1426"/>
      <c r="V563" s="1427"/>
      <c r="W563" s="1422"/>
      <c r="X563" s="1423"/>
      <c r="Y563" s="1424"/>
      <c r="Z563" s="1431" t="s">
        <v>1185</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2.95" customHeight="1">
      <c r="B564" s="52" t="s">
        <v>362</v>
      </c>
      <c r="C564" s="1441"/>
      <c r="D564" s="1441"/>
      <c r="E564" s="1441"/>
      <c r="F564" s="1441"/>
      <c r="G564" s="1441"/>
      <c r="H564" s="1441"/>
      <c r="I564" s="1441"/>
      <c r="J564" s="1441"/>
      <c r="K564" s="1441"/>
      <c r="L564" s="1441"/>
      <c r="M564" s="1440" t="s">
        <v>1185</v>
      </c>
      <c r="N564" s="1440"/>
      <c r="O564" s="1440"/>
      <c r="P564" s="1440"/>
      <c r="Q564" s="1425"/>
      <c r="R564" s="1426"/>
      <c r="S564" s="1427"/>
      <c r="T564" s="1425"/>
      <c r="U564" s="1426"/>
      <c r="V564" s="1427"/>
      <c r="W564" s="1422"/>
      <c r="X564" s="1423"/>
      <c r="Y564" s="1424"/>
      <c r="Z564" s="1431" t="s">
        <v>1185</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2.95" customHeight="1">
      <c r="B565" s="52" t="s">
        <v>363</v>
      </c>
      <c r="C565" s="1441"/>
      <c r="D565" s="1441"/>
      <c r="E565" s="1441"/>
      <c r="F565" s="1441"/>
      <c r="G565" s="1441"/>
      <c r="H565" s="1441"/>
      <c r="I565" s="1441"/>
      <c r="J565" s="1441"/>
      <c r="K565" s="1441"/>
      <c r="L565" s="1441"/>
      <c r="M565" s="1440" t="s">
        <v>1185</v>
      </c>
      <c r="N565" s="1440"/>
      <c r="O565" s="1440"/>
      <c r="P565" s="1440"/>
      <c r="Q565" s="1425"/>
      <c r="R565" s="1426"/>
      <c r="S565" s="1427"/>
      <c r="T565" s="1425"/>
      <c r="U565" s="1426"/>
      <c r="V565" s="1427"/>
      <c r="W565" s="1422"/>
      <c r="X565" s="1423"/>
      <c r="Y565" s="1424"/>
      <c r="Z565" s="1431" t="s">
        <v>1185</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147792663</v>
      </c>
      <c r="AN566" s="1474"/>
      <c r="AO566" s="1474"/>
      <c r="AP566" s="1474"/>
      <c r="AQ566" s="1474"/>
      <c r="AR566" s="1474"/>
      <c r="AS566" s="1475"/>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4" t="str">
        <f>C554</f>
        <v>Citi Community Capital</v>
      </c>
      <c r="H568" s="1484"/>
      <c r="I568" s="1484"/>
      <c r="J568" s="1484"/>
      <c r="K568" s="1484"/>
      <c r="L568" s="1484"/>
      <c r="M568" s="1484"/>
      <c r="N568" s="1484"/>
      <c r="O568" s="1484"/>
      <c r="P568" s="1484"/>
      <c r="Q568" s="1484"/>
      <c r="R568" s="1484"/>
      <c r="S568" s="8"/>
      <c r="T568" s="55" t="s">
        <v>113</v>
      </c>
      <c r="U568" t="s">
        <v>464</v>
      </c>
      <c r="Z568" s="1484" t="str">
        <f>C555</f>
        <v>Citi Community Capital</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5" customHeight="1">
      <c r="A569" s="22"/>
      <c r="B569" t="s">
        <v>85</v>
      </c>
      <c r="G569" s="1408" t="s">
        <v>2709</v>
      </c>
      <c r="H569" s="1407"/>
      <c r="I569" s="1407"/>
      <c r="J569" s="1407"/>
      <c r="K569" s="1407"/>
      <c r="L569" s="1407"/>
      <c r="M569" s="1407"/>
      <c r="N569" s="1407"/>
      <c r="O569" s="1407"/>
      <c r="P569" s="1407"/>
      <c r="Q569" s="1407"/>
      <c r="R569" s="1407"/>
      <c r="S569" s="8"/>
      <c r="T569" s="22"/>
      <c r="U569" t="s">
        <v>85</v>
      </c>
      <c r="Z569" s="1407" t="s">
        <v>2709</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8" t="s">
        <v>2710</v>
      </c>
      <c r="H570" s="1407"/>
      <c r="I570" s="1407"/>
      <c r="J570" s="1407"/>
      <c r="K570" s="1407"/>
      <c r="L570" s="1407"/>
      <c r="M570" s="1407"/>
      <c r="N570" s="1407"/>
      <c r="O570" s="1407"/>
      <c r="P570" s="1407"/>
      <c r="Q570" s="1407"/>
      <c r="R570" s="1407"/>
      <c r="T570" s="22"/>
      <c r="U570" t="s">
        <v>581</v>
      </c>
      <c r="Z570" s="1371" t="s">
        <v>2710</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8" t="s">
        <v>2711</v>
      </c>
      <c r="H571" s="1407"/>
      <c r="I571" s="1407"/>
      <c r="J571" s="1407"/>
      <c r="K571" s="1407"/>
      <c r="L571" s="1407"/>
      <c r="M571" s="1407"/>
      <c r="N571" s="1407"/>
      <c r="O571" s="1407"/>
      <c r="P571" s="1407"/>
      <c r="Q571" s="1407"/>
      <c r="R571" s="1407"/>
      <c r="S571" s="8"/>
      <c r="T571" s="22"/>
      <c r="U571" t="s">
        <v>17</v>
      </c>
      <c r="Z571" s="1371" t="s">
        <v>2711</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8">
        <v>8053585673</v>
      </c>
      <c r="H572" s="1488"/>
      <c r="I572" s="1488"/>
      <c r="J572" s="1488"/>
      <c r="K572" s="1488"/>
      <c r="L572" s="1488"/>
      <c r="O572" s="33" t="s">
        <v>206</v>
      </c>
      <c r="P572" s="1472"/>
      <c r="Q572" s="1472"/>
      <c r="R572" s="1472"/>
      <c r="S572" s="10"/>
      <c r="T572" s="22"/>
      <c r="U572" t="s">
        <v>316</v>
      </c>
      <c r="Z572" s="1488">
        <v>8053585673</v>
      </c>
      <c r="AA572" s="1488"/>
      <c r="AB572" s="1488"/>
      <c r="AC572" s="1488"/>
      <c r="AD572" s="1488"/>
      <c r="AE572" s="1488"/>
      <c r="AH572" s="33" t="s">
        <v>206</v>
      </c>
      <c r="AI572" s="1472"/>
      <c r="AJ572" s="1472"/>
      <c r="AK572" s="1472"/>
      <c r="BB572" s="3"/>
      <c r="BC572" s="3"/>
      <c r="BD572" s="3"/>
      <c r="BE572" s="3"/>
      <c r="BF572" s="3"/>
      <c r="BG572" s="3"/>
      <c r="BH572" s="3"/>
      <c r="BI572" s="3"/>
    </row>
    <row r="573" spans="1:61" ht="12.95" customHeight="1">
      <c r="A573" s="22"/>
      <c r="B573" t="s">
        <v>18</v>
      </c>
      <c r="H573" s="1408" t="s">
        <v>2120</v>
      </c>
      <c r="I573" s="1407"/>
      <c r="J573" s="1407"/>
      <c r="K573" s="1407"/>
      <c r="L573" s="1407"/>
      <c r="M573" s="1407"/>
      <c r="N573" s="1407"/>
      <c r="O573" s="1407"/>
      <c r="P573" s="1407"/>
      <c r="Q573" s="1407"/>
      <c r="R573" s="1407"/>
      <c r="S573" s="8"/>
      <c r="T573" s="22"/>
      <c r="U573" t="s">
        <v>18</v>
      </c>
      <c r="AA573" s="1408" t="s">
        <v>2121</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669"/>
      <c r="N574" s="1597"/>
      <c r="O574" s="1597"/>
      <c r="P574" s="1597"/>
      <c r="Q574" s="1597"/>
      <c r="R574" s="1597"/>
      <c r="S574" s="8"/>
      <c r="T574" s="22"/>
      <c r="U574" s="320" t="s">
        <v>1186</v>
      </c>
      <c r="AA574" s="8"/>
      <c r="AB574" s="8"/>
      <c r="AC574" s="8"/>
      <c r="AD574" s="8"/>
      <c r="AE574" s="8"/>
      <c r="AF574" s="1597"/>
      <c r="AG574" s="1597"/>
      <c r="AH574" s="1597"/>
      <c r="AI574" s="1597"/>
      <c r="AJ574" s="1597"/>
      <c r="AK574" s="1597"/>
      <c r="BB574" s="3"/>
      <c r="BC574" s="3"/>
      <c r="BD574" s="3"/>
      <c r="BE574" s="3"/>
      <c r="BF574" s="3"/>
      <c r="BG574" s="3"/>
      <c r="BH574" s="3"/>
      <c r="BI574" s="3"/>
    </row>
    <row r="575" spans="1:61" ht="12.95" customHeight="1">
      <c r="A575" s="22"/>
      <c r="B575" t="s">
        <v>20</v>
      </c>
      <c r="N575" s="1416" t="s">
        <v>546</v>
      </c>
      <c r="O575" s="1416"/>
      <c r="T575" s="22"/>
      <c r="U575" t="s">
        <v>20</v>
      </c>
      <c r="AG575" s="1416" t="s">
        <v>546</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4" t="str">
        <f>C556</f>
        <v>Citi Community Capital</v>
      </c>
      <c r="H577" s="1484"/>
      <c r="I577" s="1484"/>
      <c r="J577" s="1484"/>
      <c r="K577" s="1484"/>
      <c r="L577" s="1484"/>
      <c r="M577" s="1484"/>
      <c r="N577" s="1484"/>
      <c r="O577" s="1484"/>
      <c r="P577" s="1484"/>
      <c r="Q577" s="1484"/>
      <c r="R577" s="1484"/>
      <c r="T577" s="55" t="s">
        <v>582</v>
      </c>
      <c r="U577" t="s">
        <v>464</v>
      </c>
      <c r="Z577" s="1484" t="str">
        <f>C557</f>
        <v>City of Rocklin</v>
      </c>
      <c r="AA577" s="1484"/>
      <c r="AB577" s="1484"/>
      <c r="AC577" s="1484"/>
      <c r="AD577" s="1484"/>
      <c r="AE577" s="1484"/>
      <c r="AF577" s="1484"/>
      <c r="AG577" s="1484"/>
      <c r="AH577" s="1484"/>
      <c r="AI577" s="1484"/>
      <c r="AJ577" s="1484"/>
      <c r="AK577" s="1484"/>
      <c r="BB577" s="3"/>
      <c r="BC577" s="3"/>
    </row>
    <row r="578" spans="1:55" ht="12.95" customHeight="1">
      <c r="A578" s="22"/>
      <c r="B578" t="s">
        <v>85</v>
      </c>
      <c r="G578" s="1407" t="s">
        <v>2709</v>
      </c>
      <c r="H578" s="1407"/>
      <c r="I578" s="1407"/>
      <c r="J578" s="1407"/>
      <c r="K578" s="1407"/>
      <c r="L578" s="1407"/>
      <c r="M578" s="1407"/>
      <c r="N578" s="1407"/>
      <c r="O578" s="1407"/>
      <c r="P578" s="1407"/>
      <c r="Q578" s="1407"/>
      <c r="R578" s="1407"/>
      <c r="T578" s="22"/>
      <c r="U578" t="s">
        <v>85</v>
      </c>
      <c r="Z578" s="1407" t="s">
        <v>2715</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2710</v>
      </c>
      <c r="H579" s="1371"/>
      <c r="I579" s="1371"/>
      <c r="J579" s="1371"/>
      <c r="K579" s="1371"/>
      <c r="L579" s="1371"/>
      <c r="M579" s="1371"/>
      <c r="N579" s="1371"/>
      <c r="O579" s="1371"/>
      <c r="P579" s="1371"/>
      <c r="Q579" s="1371"/>
      <c r="R579" s="1371"/>
      <c r="T579" s="22"/>
      <c r="U579" t="s">
        <v>581</v>
      </c>
      <c r="Z579" s="1371" t="s">
        <v>2621</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2711</v>
      </c>
      <c r="H580" s="1371"/>
      <c r="I580" s="1371"/>
      <c r="J580" s="1371"/>
      <c r="K580" s="1371"/>
      <c r="L580" s="1371"/>
      <c r="M580" s="1371"/>
      <c r="N580" s="1371"/>
      <c r="O580" s="1371"/>
      <c r="P580" s="1371"/>
      <c r="Q580" s="1371"/>
      <c r="R580" s="1371"/>
      <c r="T580" s="22"/>
      <c r="U580" t="s">
        <v>17</v>
      </c>
      <c r="Z580" s="1371" t="s">
        <v>2716</v>
      </c>
      <c r="AA580" s="1371"/>
      <c r="AB580" s="1371"/>
      <c r="AC580" s="1371"/>
      <c r="AD580" s="1371"/>
      <c r="AE580" s="1371"/>
      <c r="AF580" s="1371"/>
      <c r="AG580" s="1371"/>
      <c r="AH580" s="1371"/>
      <c r="AI580" s="1371"/>
      <c r="AJ580" s="1371"/>
      <c r="AK580" s="1371"/>
      <c r="BB580" s="3"/>
      <c r="BC580" s="3"/>
    </row>
    <row r="581" spans="1:55" ht="12.95" customHeight="1">
      <c r="A581" s="22"/>
      <c r="B581" t="s">
        <v>316</v>
      </c>
      <c r="G581" s="1488">
        <v>8053585673</v>
      </c>
      <c r="H581" s="1488"/>
      <c r="I581" s="1488"/>
      <c r="J581" s="1488"/>
      <c r="K581" s="1488"/>
      <c r="L581" s="1488"/>
      <c r="O581" s="33" t="s">
        <v>206</v>
      </c>
      <c r="P581" s="1472"/>
      <c r="Q581" s="1472"/>
      <c r="R581" s="1472"/>
      <c r="T581" s="22"/>
      <c r="U581" t="s">
        <v>316</v>
      </c>
      <c r="Z581" s="1488">
        <v>9166251500</v>
      </c>
      <c r="AA581" s="1488"/>
      <c r="AB581" s="1488"/>
      <c r="AC581" s="1488"/>
      <c r="AD581" s="1488"/>
      <c r="AE581" s="1488"/>
      <c r="AH581" s="33" t="s">
        <v>206</v>
      </c>
      <c r="AI581" s="1472"/>
      <c r="AJ581" s="1472"/>
      <c r="AK581" s="1472"/>
      <c r="BB581" s="3"/>
      <c r="BC581" s="3"/>
    </row>
    <row r="582" spans="1:55" ht="12.95" customHeight="1">
      <c r="A582" s="22"/>
      <c r="B582" t="s">
        <v>18</v>
      </c>
      <c r="H582" s="1408" t="s">
        <v>2119</v>
      </c>
      <c r="I582" s="1407"/>
      <c r="J582" s="1407"/>
      <c r="K582" s="1407"/>
      <c r="L582" s="1407"/>
      <c r="M582" s="1407"/>
      <c r="N582" s="1407"/>
      <c r="O582" s="1407"/>
      <c r="P582" s="1407"/>
      <c r="Q582" s="1407"/>
      <c r="R582" s="1407"/>
      <c r="T582" s="22"/>
      <c r="U582" t="s">
        <v>18</v>
      </c>
      <c r="AA582" s="1407" t="s">
        <v>2116</v>
      </c>
      <c r="AB582" s="1407"/>
      <c r="AC582" s="1407"/>
      <c r="AD582" s="1407"/>
      <c r="AE582" s="1407"/>
      <c r="AF582" s="1407"/>
      <c r="AG582" s="1407"/>
      <c r="AH582" s="1407"/>
      <c r="AI582" s="1407"/>
      <c r="AJ582" s="1407"/>
      <c r="AK582" s="1407"/>
      <c r="BB582" s="3"/>
      <c r="BC582" s="3"/>
    </row>
    <row r="583" spans="1:55" ht="12.95" customHeight="1">
      <c r="A583" s="22"/>
      <c r="B583" t="s">
        <v>20</v>
      </c>
      <c r="N583" s="1416" t="s">
        <v>546</v>
      </c>
      <c r="O583" s="1416"/>
      <c r="T583" s="22"/>
      <c r="U583" t="s">
        <v>20</v>
      </c>
      <c r="AG583" s="1416" t="s">
        <v>670</v>
      </c>
      <c r="AH583" s="1416"/>
      <c r="BB583" s="3"/>
      <c r="BC583" s="3"/>
    </row>
    <row r="584" spans="1:55" ht="12.95" customHeight="1">
      <c r="A584" s="22"/>
      <c r="T584" s="22"/>
      <c r="BB584" s="3"/>
      <c r="BC584" s="3"/>
    </row>
    <row r="585" spans="1:55" ht="12.95" customHeight="1">
      <c r="A585" s="55" t="s">
        <v>764</v>
      </c>
      <c r="B585" t="s">
        <v>464</v>
      </c>
      <c r="G585" s="1484" t="str">
        <f>C558</f>
        <v>Net Operating Income</v>
      </c>
      <c r="H585" s="1484"/>
      <c r="I585" s="1484"/>
      <c r="J585" s="1484"/>
      <c r="K585" s="1484"/>
      <c r="L585" s="1484"/>
      <c r="M585" s="1484"/>
      <c r="N585" s="1484"/>
      <c r="O585" s="1484"/>
      <c r="P585" s="1484"/>
      <c r="Q585" s="1484"/>
      <c r="R585" s="1484"/>
      <c r="T585" s="55" t="s">
        <v>585</v>
      </c>
      <c r="U585" t="s">
        <v>464</v>
      </c>
      <c r="Z585" s="1484" t="str">
        <f>C559</f>
        <v>Deferred Costs</v>
      </c>
      <c r="AA585" s="1484"/>
      <c r="AB585" s="1484"/>
      <c r="AC585" s="1484"/>
      <c r="AD585" s="1484"/>
      <c r="AE585" s="1484"/>
      <c r="AF585" s="1484"/>
      <c r="AG585" s="1484"/>
      <c r="AH585" s="1484"/>
      <c r="AI585" s="1484"/>
      <c r="AJ585" s="1484"/>
      <c r="AK585" s="1484"/>
      <c r="BB585" s="3"/>
      <c r="BC585" s="3"/>
    </row>
    <row r="586" spans="1:55" ht="12.95" customHeight="1">
      <c r="A586" s="22"/>
      <c r="B586" t="s">
        <v>85</v>
      </c>
      <c r="G586" s="1408" t="s">
        <v>2629</v>
      </c>
      <c r="H586" s="1407"/>
      <c r="I586" s="1407"/>
      <c r="J586" s="1407"/>
      <c r="K586" s="1407"/>
      <c r="L586" s="1407"/>
      <c r="M586" s="1407"/>
      <c r="N586" s="1407"/>
      <c r="O586" s="1407"/>
      <c r="P586" s="1407"/>
      <c r="Q586" s="1407"/>
      <c r="R586" s="1407"/>
      <c r="T586" s="22"/>
      <c r="U586" t="s">
        <v>85</v>
      </c>
      <c r="Z586" s="1407" t="s">
        <v>2629</v>
      </c>
      <c r="AA586" s="1407"/>
      <c r="AB586" s="1407"/>
      <c r="AC586" s="1407"/>
      <c r="AD586" s="1407"/>
      <c r="AE586" s="1407"/>
      <c r="AF586" s="1407"/>
      <c r="AG586" s="1407"/>
      <c r="AH586" s="1407"/>
      <c r="AI586" s="1407"/>
      <c r="AJ586" s="1407"/>
      <c r="AK586" s="1407"/>
      <c r="BB586" s="3"/>
      <c r="BC586" s="3"/>
    </row>
    <row r="587" spans="1:55" ht="12.95" customHeight="1">
      <c r="A587" s="22"/>
      <c r="B587" t="s">
        <v>581</v>
      </c>
      <c r="G587" s="1408" t="s">
        <v>2615</v>
      </c>
      <c r="H587" s="1407"/>
      <c r="I587" s="1407"/>
      <c r="J587" s="1407"/>
      <c r="K587" s="1407"/>
      <c r="L587" s="1407"/>
      <c r="M587" s="1407"/>
      <c r="N587" s="1407"/>
      <c r="O587" s="1407"/>
      <c r="P587" s="1407"/>
      <c r="Q587" s="1407"/>
      <c r="R587" s="1407"/>
      <c r="T587" s="22"/>
      <c r="U587" t="s">
        <v>581</v>
      </c>
      <c r="Z587" s="1371" t="s">
        <v>2615</v>
      </c>
      <c r="AA587" s="1371"/>
      <c r="AB587" s="1371"/>
      <c r="AC587" s="1371"/>
      <c r="AD587" s="1371"/>
      <c r="AE587" s="1371"/>
      <c r="AF587" s="1371"/>
      <c r="AG587" s="1371"/>
      <c r="AH587" s="1371"/>
      <c r="AI587" s="1371"/>
      <c r="AJ587" s="1371"/>
      <c r="AK587" s="1371"/>
      <c r="BB587" s="3"/>
      <c r="BC587" s="3"/>
    </row>
    <row r="588" spans="1:55" ht="12.95" customHeight="1">
      <c r="A588" s="22"/>
      <c r="B588" t="s">
        <v>17</v>
      </c>
      <c r="G588" s="1408" t="s">
        <v>2616</v>
      </c>
      <c r="H588" s="1407"/>
      <c r="I588" s="1407"/>
      <c r="J588" s="1407"/>
      <c r="K588" s="1407"/>
      <c r="L588" s="1407"/>
      <c r="M588" s="1407"/>
      <c r="N588" s="1407"/>
      <c r="O588" s="1407"/>
      <c r="P588" s="1407"/>
      <c r="Q588" s="1407"/>
      <c r="R588" s="1407"/>
      <c r="T588" s="22"/>
      <c r="U588" t="s">
        <v>17</v>
      </c>
      <c r="Z588" s="1371" t="s">
        <v>2616</v>
      </c>
      <c r="AA588" s="1371"/>
      <c r="AB588" s="1371"/>
      <c r="AC588" s="1371"/>
      <c r="AD588" s="1371"/>
      <c r="AE588" s="1371"/>
      <c r="AF588" s="1371"/>
      <c r="AG588" s="1371"/>
      <c r="AH588" s="1371"/>
      <c r="AI588" s="1371"/>
      <c r="AJ588" s="1371"/>
      <c r="AK588" s="1371"/>
    </row>
    <row r="589" spans="1:55" ht="12.95" customHeight="1">
      <c r="A589" s="22"/>
      <c r="B589" t="s">
        <v>316</v>
      </c>
      <c r="G589" s="1488">
        <v>9168653981</v>
      </c>
      <c r="H589" s="1488"/>
      <c r="I589" s="1488"/>
      <c r="J589" s="1488"/>
      <c r="K589" s="1488"/>
      <c r="L589" s="1488"/>
      <c r="O589" s="33" t="s">
        <v>206</v>
      </c>
      <c r="P589" s="1472"/>
      <c r="Q589" s="1472"/>
      <c r="R589" s="1472"/>
      <c r="T589" s="22"/>
      <c r="U589" t="s">
        <v>316</v>
      </c>
      <c r="Z589" s="1525" t="s">
        <v>2633</v>
      </c>
      <c r="AA589" s="1488"/>
      <c r="AB589" s="1488"/>
      <c r="AC589" s="1488"/>
      <c r="AD589" s="1488"/>
      <c r="AE589" s="1488"/>
      <c r="AH589" s="33" t="s">
        <v>206</v>
      </c>
      <c r="AI589" s="1472"/>
      <c r="AJ589" s="1472"/>
      <c r="AK589" s="1472"/>
      <c r="AZ589" s="3"/>
      <c r="BA589" s="3"/>
      <c r="BB589" s="3"/>
      <c r="BC589" s="3"/>
    </row>
    <row r="590" spans="1:55" ht="12.95" customHeight="1">
      <c r="A590" s="22"/>
      <c r="B590" t="s">
        <v>18</v>
      </c>
      <c r="H590" s="1408" t="s">
        <v>2122</v>
      </c>
      <c r="I590" s="1407"/>
      <c r="J590" s="1407"/>
      <c r="K590" s="1407"/>
      <c r="L590" s="1407"/>
      <c r="M590" s="1407"/>
      <c r="N590" s="1407"/>
      <c r="O590" s="1407"/>
      <c r="P590" s="1407"/>
      <c r="Q590" s="1407"/>
      <c r="R590" s="1407"/>
      <c r="T590" s="22"/>
      <c r="U590" t="s">
        <v>18</v>
      </c>
      <c r="AA590" s="1408" t="s">
        <v>2106</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6" t="s">
        <v>546</v>
      </c>
      <c r="O591" s="1416"/>
      <c r="T591" s="22"/>
      <c r="U591" t="s">
        <v>20</v>
      </c>
      <c r="AG591" s="1416" t="s">
        <v>546</v>
      </c>
      <c r="AH591" s="1416"/>
      <c r="AZ591" s="3"/>
      <c r="BA591" s="3"/>
      <c r="BB591" s="3"/>
      <c r="BC591" s="3"/>
    </row>
    <row r="592" spans="1:55" ht="12.95" customHeight="1">
      <c r="A592" s="22"/>
      <c r="T592" s="22"/>
      <c r="AZ592" s="3"/>
      <c r="BA592" s="3"/>
      <c r="BB592" s="3"/>
      <c r="BC592" s="3"/>
    </row>
    <row r="593" spans="1:55" ht="12.95" customHeight="1">
      <c r="A593" s="55" t="s">
        <v>456</v>
      </c>
      <c r="B593" t="s">
        <v>464</v>
      </c>
      <c r="G593" s="1484" t="str">
        <f>C560</f>
        <v>Safehold, Inc.</v>
      </c>
      <c r="H593" s="1484"/>
      <c r="I593" s="1484"/>
      <c r="J593" s="1484"/>
      <c r="K593" s="1484"/>
      <c r="L593" s="1484"/>
      <c r="M593" s="1484"/>
      <c r="N593" s="1484"/>
      <c r="O593" s="1484"/>
      <c r="P593" s="1484"/>
      <c r="Q593" s="1484"/>
      <c r="R593" s="1484"/>
      <c r="T593" s="55" t="s">
        <v>457</v>
      </c>
      <c r="U593" t="s">
        <v>464</v>
      </c>
      <c r="Z593" s="1484" t="str">
        <f>C561</f>
        <v>WNC &amp; Associates, Inc.</v>
      </c>
      <c r="AA593" s="1484"/>
      <c r="AB593" s="1484"/>
      <c r="AC593" s="1484"/>
      <c r="AD593" s="1484"/>
      <c r="AE593" s="1484"/>
      <c r="AF593" s="1484"/>
      <c r="AG593" s="1484"/>
      <c r="AH593" s="1484"/>
      <c r="AI593" s="1484"/>
      <c r="AJ593" s="1484"/>
      <c r="AK593" s="1484"/>
      <c r="AZ593" s="3"/>
      <c r="BA593" s="3"/>
      <c r="BB593" s="3"/>
      <c r="BC593" s="3"/>
    </row>
    <row r="594" spans="1:55" s="4" customFormat="1" ht="12.95" customHeight="1">
      <c r="A594" s="22"/>
      <c r="B594" t="s">
        <v>85</v>
      </c>
      <c r="C594"/>
      <c r="D594"/>
      <c r="E594"/>
      <c r="F594"/>
      <c r="G594" s="1407" t="s">
        <v>2717</v>
      </c>
      <c r="H594" s="1407"/>
      <c r="I594" s="1407"/>
      <c r="J594" s="1407"/>
      <c r="K594" s="1407"/>
      <c r="L594" s="1407"/>
      <c r="M594" s="1407"/>
      <c r="N594" s="1407"/>
      <c r="O594" s="1407"/>
      <c r="P594" s="1407"/>
      <c r="Q594" s="1407"/>
      <c r="R594" s="1407"/>
      <c r="S594"/>
      <c r="T594" s="22"/>
      <c r="U594" t="s">
        <v>85</v>
      </c>
      <c r="V594"/>
      <c r="W594"/>
      <c r="X594"/>
      <c r="Y594"/>
      <c r="Z594" s="1407" t="s">
        <v>2667</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t="s">
        <v>2718</v>
      </c>
      <c r="H595" s="1407"/>
      <c r="I595" s="1407"/>
      <c r="J595" s="1407"/>
      <c r="K595" s="1407"/>
      <c r="L595" s="1407"/>
      <c r="M595" s="1407"/>
      <c r="N595" s="1407"/>
      <c r="O595" s="1407"/>
      <c r="P595" s="1407"/>
      <c r="Q595" s="1407"/>
      <c r="R595" s="1407"/>
      <c r="S595"/>
      <c r="T595" s="22"/>
      <c r="U595" t="s">
        <v>581</v>
      </c>
      <c r="V595"/>
      <c r="W595"/>
      <c r="X595"/>
      <c r="Y595"/>
      <c r="Z595" s="1371" t="s">
        <v>2668</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2719</v>
      </c>
      <c r="H596" s="1407"/>
      <c r="I596" s="1407"/>
      <c r="J596" s="1407"/>
      <c r="K596" s="1407"/>
      <c r="L596" s="1407"/>
      <c r="M596" s="1407"/>
      <c r="N596" s="1407"/>
      <c r="O596" s="1407"/>
      <c r="P596" s="1407"/>
      <c r="Q596" s="1407"/>
      <c r="R596" s="1407"/>
      <c r="S596"/>
      <c r="T596" s="22"/>
      <c r="U596" t="s">
        <v>17</v>
      </c>
      <c r="V596"/>
      <c r="W596"/>
      <c r="X596"/>
      <c r="Y596"/>
      <c r="Z596" s="1371" t="s">
        <v>2669</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8">
        <v>3103155580</v>
      </c>
      <c r="H597" s="1488"/>
      <c r="I597" s="1488"/>
      <c r="J597" s="1488"/>
      <c r="K597" s="1488"/>
      <c r="L597" s="1488"/>
      <c r="M597"/>
      <c r="N597"/>
      <c r="O597" s="33" t="s">
        <v>206</v>
      </c>
      <c r="P597" s="1472"/>
      <c r="Q597" s="1472"/>
      <c r="R597" s="1472"/>
      <c r="S597"/>
      <c r="T597" s="22"/>
      <c r="U597" t="s">
        <v>316</v>
      </c>
      <c r="V597"/>
      <c r="W597"/>
      <c r="X597"/>
      <c r="Y597"/>
      <c r="Z597" s="1488">
        <v>9494392616</v>
      </c>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8" t="s">
        <v>2708</v>
      </c>
      <c r="I598" s="1407"/>
      <c r="J598" s="1407"/>
      <c r="K598" s="1407"/>
      <c r="L598" s="1407"/>
      <c r="M598" s="1407"/>
      <c r="N598" s="1407"/>
      <c r="O598" s="1407"/>
      <c r="P598" s="1407"/>
      <c r="Q598" s="1407"/>
      <c r="R598" s="1407"/>
      <c r="S598"/>
      <c r="T598" s="22"/>
      <c r="U598" t="s">
        <v>18</v>
      </c>
      <c r="V598"/>
      <c r="W598"/>
      <c r="X598"/>
      <c r="Y598"/>
      <c r="Z598"/>
      <c r="AA598" s="1408" t="s">
        <v>2111</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6" t="s">
        <v>546</v>
      </c>
      <c r="O599" s="1416"/>
      <c r="T599" s="22"/>
      <c r="U599" t="s">
        <v>20</v>
      </c>
      <c r="AG599" s="1416" t="s">
        <v>546</v>
      </c>
      <c r="AH599" s="1416"/>
      <c r="BB599" s="3"/>
      <c r="BC599" s="3"/>
    </row>
    <row r="600" spans="1:55" ht="12.95" customHeight="1">
      <c r="A600" s="22"/>
      <c r="T600" s="22"/>
      <c r="BB600" s="3"/>
      <c r="BC600" s="3"/>
    </row>
    <row r="601" spans="1:55" ht="12.95" customHeight="1">
      <c r="A601" s="55" t="s">
        <v>462</v>
      </c>
      <c r="B601" t="s">
        <v>464</v>
      </c>
      <c r="G601" s="1484">
        <f>C562</f>
        <v>0</v>
      </c>
      <c r="H601" s="1484"/>
      <c r="I601" s="1484"/>
      <c r="J601" s="1484"/>
      <c r="K601" s="1484"/>
      <c r="L601" s="1484"/>
      <c r="M601" s="1484"/>
      <c r="N601" s="1484"/>
      <c r="O601" s="1484"/>
      <c r="P601" s="1484"/>
      <c r="Q601" s="1484"/>
      <c r="R601" s="1484"/>
      <c r="T601" s="55" t="s">
        <v>647</v>
      </c>
      <c r="U601" t="s">
        <v>464</v>
      </c>
      <c r="Z601" s="1484">
        <f>C563</f>
        <v>0</v>
      </c>
      <c r="AA601" s="1484"/>
      <c r="AB601" s="1484"/>
      <c r="AC601" s="1484"/>
      <c r="AD601" s="1484"/>
      <c r="AE601" s="1484"/>
      <c r="AF601" s="1484"/>
      <c r="AG601" s="1484"/>
      <c r="AH601" s="1484"/>
      <c r="AI601" s="1484"/>
      <c r="AJ601" s="1484"/>
      <c r="AK601" s="1484"/>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4">
        <f>C564</f>
        <v>0</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6" t="s">
        <v>670</v>
      </c>
      <c r="O615" s="1416"/>
      <c r="U615" t="s">
        <v>20</v>
      </c>
      <c r="AG615" s="1416" t="s">
        <v>670</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67" t="s">
        <v>2103</v>
      </c>
      <c r="C624" s="1667"/>
      <c r="D624" s="1667"/>
      <c r="E624" s="1667"/>
      <c r="F624" s="1667"/>
      <c r="G624" s="1667"/>
      <c r="H624" s="1667"/>
      <c r="I624" s="1667"/>
      <c r="J624" s="1667"/>
      <c r="K624" s="1667"/>
      <c r="L624" s="1667"/>
      <c r="M624" s="1673" t="s">
        <v>2104</v>
      </c>
      <c r="N624" s="1673"/>
      <c r="O624" s="1673"/>
      <c r="P624" s="1673"/>
      <c r="Q624" s="1673" t="s">
        <v>1853</v>
      </c>
      <c r="R624" s="1673"/>
      <c r="S624" s="1673"/>
      <c r="T624" s="1673" t="s">
        <v>1851</v>
      </c>
      <c r="U624" s="1673"/>
      <c r="V624" s="1673"/>
      <c r="W624" s="1668" t="s">
        <v>454</v>
      </c>
      <c r="X624" s="1668"/>
      <c r="Y624" s="1668"/>
      <c r="Z624" s="1397" t="s">
        <v>2133</v>
      </c>
      <c r="AA624" s="1397"/>
      <c r="AB624" s="1398"/>
      <c r="AC624" s="1674" t="s">
        <v>1677</v>
      </c>
      <c r="AD624" s="1675"/>
      <c r="AE624" s="1676"/>
      <c r="AF624" s="1396" t="s">
        <v>1931</v>
      </c>
      <c r="AG624" s="1397"/>
      <c r="AH624" s="1397"/>
      <c r="AI624" s="1397"/>
      <c r="AJ624" s="1398"/>
      <c r="AK624" s="1588" t="s">
        <v>1932</v>
      </c>
      <c r="AL624" s="1589"/>
      <c r="AM624" s="1589"/>
      <c r="AN624" s="1590"/>
      <c r="AO624" s="1673" t="s">
        <v>455</v>
      </c>
      <c r="AP624" s="1673"/>
      <c r="AQ624" s="1673"/>
      <c r="AR624" s="1673"/>
      <c r="AS624" s="1673"/>
      <c r="AU624" s="3"/>
      <c r="AZ624" s="3"/>
      <c r="BA624" s="3"/>
      <c r="BB624" s="3"/>
      <c r="BC624" s="3"/>
    </row>
    <row r="625" spans="2:157" ht="12.95" customHeight="1">
      <c r="B625" s="1667"/>
      <c r="C625" s="1667"/>
      <c r="D625" s="1667"/>
      <c r="E625" s="1667"/>
      <c r="F625" s="1667"/>
      <c r="G625" s="1667"/>
      <c r="H625" s="1667"/>
      <c r="I625" s="1667"/>
      <c r="J625" s="1667"/>
      <c r="K625" s="1667"/>
      <c r="L625" s="1667"/>
      <c r="M625" s="1673"/>
      <c r="N625" s="1673"/>
      <c r="O625" s="1673"/>
      <c r="P625" s="1673"/>
      <c r="Q625" s="1673"/>
      <c r="R625" s="1673"/>
      <c r="S625" s="1673"/>
      <c r="T625" s="1673"/>
      <c r="U625" s="1673"/>
      <c r="V625" s="1673"/>
      <c r="W625" s="1668"/>
      <c r="X625" s="1668"/>
      <c r="Y625" s="1668"/>
      <c r="Z625" s="1400"/>
      <c r="AA625" s="1400"/>
      <c r="AB625" s="1401"/>
      <c r="AC625" s="1677"/>
      <c r="AD625" s="1678"/>
      <c r="AE625" s="1679"/>
      <c r="AF625" s="1399"/>
      <c r="AG625" s="1400"/>
      <c r="AH625" s="1400"/>
      <c r="AI625" s="1400"/>
      <c r="AJ625" s="1401"/>
      <c r="AK625" s="1591"/>
      <c r="AL625" s="1592"/>
      <c r="AM625" s="1592"/>
      <c r="AN625" s="1593"/>
      <c r="AO625" s="1673"/>
      <c r="AP625" s="1673"/>
      <c r="AQ625" s="1673"/>
      <c r="AR625" s="1673"/>
      <c r="AS625" s="1673"/>
      <c r="AU625" s="3"/>
      <c r="AZ625" s="3"/>
      <c r="BA625" s="3"/>
      <c r="BB625" s="3"/>
      <c r="BC625" s="3"/>
      <c r="BD625" s="3"/>
    </row>
    <row r="626" spans="2:157" ht="12.95" customHeight="1">
      <c r="B626" s="1667"/>
      <c r="C626" s="1667"/>
      <c r="D626" s="1667"/>
      <c r="E626" s="1667"/>
      <c r="F626" s="1667"/>
      <c r="G626" s="1667"/>
      <c r="H626" s="1667"/>
      <c r="I626" s="1667"/>
      <c r="J626" s="1667"/>
      <c r="K626" s="1667"/>
      <c r="L626" s="1667"/>
      <c r="M626" s="1673"/>
      <c r="N626" s="1673"/>
      <c r="O626" s="1673"/>
      <c r="P626" s="1673"/>
      <c r="Q626" s="1673"/>
      <c r="R626" s="1673"/>
      <c r="S626" s="1673"/>
      <c r="T626" s="1673"/>
      <c r="U626" s="1673"/>
      <c r="V626" s="1673"/>
      <c r="W626" s="1668"/>
      <c r="X626" s="1668"/>
      <c r="Y626" s="1668"/>
      <c r="Z626" s="1403"/>
      <c r="AA626" s="1403"/>
      <c r="AB626" s="1404"/>
      <c r="AC626" s="1680"/>
      <c r="AD626" s="1681"/>
      <c r="AE626" s="1682"/>
      <c r="AF626" s="1402"/>
      <c r="AG626" s="1403"/>
      <c r="AH626" s="1403"/>
      <c r="AI626" s="1403"/>
      <c r="AJ626" s="1404"/>
      <c r="AK626" s="1594"/>
      <c r="AL626" s="1595"/>
      <c r="AM626" s="1595"/>
      <c r="AN626" s="1596"/>
      <c r="AO626" s="1673"/>
      <c r="AP626" s="1673"/>
      <c r="AQ626" s="1673"/>
      <c r="AR626" s="1673"/>
      <c r="AS626" s="1673"/>
      <c r="AT626" s="3"/>
      <c r="AU626" s="3"/>
      <c r="AZ626" s="3"/>
      <c r="BA626" s="3"/>
      <c r="BB626" s="3"/>
      <c r="BC626" s="3"/>
      <c r="BD626" s="3"/>
    </row>
    <row r="627" spans="2:157" ht="12.95" customHeight="1">
      <c r="B627" s="51" t="s">
        <v>112</v>
      </c>
      <c r="C627" s="1480" t="s">
        <v>2702</v>
      </c>
      <c r="D627" s="1480"/>
      <c r="E627" s="1480"/>
      <c r="F627" s="1480"/>
      <c r="G627" s="1480"/>
      <c r="H627" s="1480"/>
      <c r="I627" s="1480"/>
      <c r="J627" s="1480"/>
      <c r="K627" s="1480"/>
      <c r="L627" s="1480"/>
      <c r="M627" s="1494" t="s">
        <v>2120</v>
      </c>
      <c r="N627" s="1494"/>
      <c r="O627" s="1494"/>
      <c r="P627" s="1494"/>
      <c r="Q627" s="1510">
        <v>204</v>
      </c>
      <c r="R627" s="1510"/>
      <c r="S627" s="1511"/>
      <c r="T627" s="1509">
        <v>480</v>
      </c>
      <c r="U627" s="1510"/>
      <c r="V627" s="1511"/>
      <c r="W627" s="1481">
        <v>6.1499999999999999E-2</v>
      </c>
      <c r="X627" s="1482"/>
      <c r="Y627" s="1483"/>
      <c r="Z627" s="1477" t="s">
        <v>2132</v>
      </c>
      <c r="AA627" s="1478"/>
      <c r="AB627" s="1479"/>
      <c r="AC627" s="1381">
        <v>1</v>
      </c>
      <c r="AD627" s="1382"/>
      <c r="AE627" s="1383"/>
      <c r="AF627" s="1491">
        <v>2774190</v>
      </c>
      <c r="AG627" s="1492"/>
      <c r="AH627" s="1492"/>
      <c r="AI627" s="1492"/>
      <c r="AJ627" s="1493"/>
      <c r="AK627" s="1485"/>
      <c r="AL627" s="1486"/>
      <c r="AM627" s="1486"/>
      <c r="AN627" s="1487"/>
      <c r="AO627" s="1636">
        <v>41490000</v>
      </c>
      <c r="AP627" s="1636"/>
      <c r="AQ627" s="1636"/>
      <c r="AR627" s="1636"/>
      <c r="AS627" s="1636"/>
      <c r="AT627" s="3"/>
      <c r="AU627" s="3"/>
      <c r="AZ627" s="3"/>
      <c r="BA627" s="3"/>
      <c r="BB627" s="3"/>
      <c r="BC627" s="3"/>
      <c r="BD627" s="3"/>
    </row>
    <row r="628" spans="2:157" ht="12.95" customHeight="1">
      <c r="B628" s="52" t="s">
        <v>113</v>
      </c>
      <c r="C628" s="1480" t="s">
        <v>2618</v>
      </c>
      <c r="D628" s="1480"/>
      <c r="E628" s="1480"/>
      <c r="F628" s="1480"/>
      <c r="G628" s="1480"/>
      <c r="H628" s="1480"/>
      <c r="I628" s="1480"/>
      <c r="J628" s="1480"/>
      <c r="K628" s="1480"/>
      <c r="L628" s="1480"/>
      <c r="M628" s="1494" t="s">
        <v>2116</v>
      </c>
      <c r="N628" s="1494"/>
      <c r="O628" s="1494"/>
      <c r="P628" s="1494"/>
      <c r="Q628" s="1509"/>
      <c r="R628" s="1510"/>
      <c r="S628" s="1511"/>
      <c r="T628" s="1509"/>
      <c r="U628" s="1510"/>
      <c r="V628" s="1511"/>
      <c r="W628" s="1481">
        <v>0.03</v>
      </c>
      <c r="X628" s="1482"/>
      <c r="Y628" s="1483"/>
      <c r="Z628" s="1477" t="s">
        <v>458</v>
      </c>
      <c r="AA628" s="1478"/>
      <c r="AB628" s="1479"/>
      <c r="AC628" s="1381"/>
      <c r="AD628" s="1382"/>
      <c r="AE628" s="1383"/>
      <c r="AF628" s="1491"/>
      <c r="AG628" s="1492"/>
      <c r="AH628" s="1492"/>
      <c r="AI628" s="1492"/>
      <c r="AJ628" s="1493"/>
      <c r="AK628" s="1485"/>
      <c r="AL628" s="1486"/>
      <c r="AM628" s="1486"/>
      <c r="AN628" s="1487"/>
      <c r="AO628" s="1476">
        <v>1700000</v>
      </c>
      <c r="AP628" s="1338"/>
      <c r="AQ628" s="1338"/>
      <c r="AR628" s="1338"/>
      <c r="AS628" s="1339"/>
      <c r="AT628" s="1148" t="str">
        <f>IF(AND(NOT(C627=""),C628="",NOT(C629="")),"!","")</f>
        <v/>
      </c>
      <c r="AU628" s="3"/>
      <c r="AZ628" s="3"/>
      <c r="BA628" s="3"/>
      <c r="BB628" s="3"/>
      <c r="BC628" s="3"/>
      <c r="BD628" s="3"/>
    </row>
    <row r="629" spans="2:157" ht="12.95" customHeight="1">
      <c r="B629" s="52" t="s">
        <v>119</v>
      </c>
      <c r="C629" s="1480" t="s">
        <v>2645</v>
      </c>
      <c r="D629" s="1480"/>
      <c r="E629" s="1480"/>
      <c r="F629" s="1480"/>
      <c r="G629" s="1480"/>
      <c r="H629" s="1480"/>
      <c r="I629" s="1480"/>
      <c r="J629" s="1480"/>
      <c r="K629" s="1480"/>
      <c r="L629" s="1480"/>
      <c r="M629" s="1494" t="s">
        <v>2107</v>
      </c>
      <c r="N629" s="1494"/>
      <c r="O629" s="1494"/>
      <c r="P629" s="1494"/>
      <c r="Q629" s="1509">
        <v>660</v>
      </c>
      <c r="R629" s="1510"/>
      <c r="S629" s="1511"/>
      <c r="T629" s="1509"/>
      <c r="U629" s="1510"/>
      <c r="V629" s="1511"/>
      <c r="W629" s="1481"/>
      <c r="X629" s="1482"/>
      <c r="Y629" s="1483"/>
      <c r="Z629" s="1477" t="s">
        <v>1185</v>
      </c>
      <c r="AA629" s="1478"/>
      <c r="AB629" s="1479"/>
      <c r="AC629" s="1381"/>
      <c r="AD629" s="1382"/>
      <c r="AE629" s="1383"/>
      <c r="AF629" s="1491"/>
      <c r="AG629" s="1492"/>
      <c r="AH629" s="1492"/>
      <c r="AI629" s="1492"/>
      <c r="AJ629" s="1493"/>
      <c r="AK629" s="1485"/>
      <c r="AL629" s="1486"/>
      <c r="AM629" s="1486"/>
      <c r="AN629" s="1487"/>
      <c r="AO629" s="1476">
        <v>15103125</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80" t="s">
        <v>2122</v>
      </c>
      <c r="D630" s="1490"/>
      <c r="E630" s="1490"/>
      <c r="F630" s="1490"/>
      <c r="G630" s="1490"/>
      <c r="H630" s="1490"/>
      <c r="I630" s="1490"/>
      <c r="J630" s="1490"/>
      <c r="K630" s="1490"/>
      <c r="L630" s="1490"/>
      <c r="M630" s="1494" t="s">
        <v>2122</v>
      </c>
      <c r="N630" s="1494"/>
      <c r="O630" s="1494"/>
      <c r="P630" s="1494"/>
      <c r="Q630" s="1509"/>
      <c r="R630" s="1510"/>
      <c r="S630" s="1511"/>
      <c r="T630" s="1509"/>
      <c r="U630" s="1510"/>
      <c r="V630" s="1511"/>
      <c r="W630" s="1481"/>
      <c r="X630" s="1482"/>
      <c r="Y630" s="1483"/>
      <c r="Z630" s="1477" t="s">
        <v>1185</v>
      </c>
      <c r="AA630" s="1478"/>
      <c r="AB630" s="1479"/>
      <c r="AC630" s="1381"/>
      <c r="AD630" s="1382"/>
      <c r="AE630" s="1383"/>
      <c r="AF630" s="1491"/>
      <c r="AG630" s="1492"/>
      <c r="AH630" s="1492"/>
      <c r="AI630" s="1492"/>
      <c r="AJ630" s="1493"/>
      <c r="AK630" s="1485"/>
      <c r="AL630" s="1486"/>
      <c r="AM630" s="1486"/>
      <c r="AN630" s="1487"/>
      <c r="AO630" s="1476">
        <v>6678084</v>
      </c>
      <c r="AP630" s="1338"/>
      <c r="AQ630" s="1338"/>
      <c r="AR630" s="1338"/>
      <c r="AS630" s="1339"/>
      <c r="AT630" s="1148" t="str">
        <f t="shared" si="1"/>
        <v/>
      </c>
      <c r="AU630" s="3"/>
      <c r="AZ630" s="3"/>
      <c r="BA630" s="3"/>
      <c r="BB630" s="3"/>
      <c r="BC630" s="3"/>
      <c r="BD630" s="3"/>
    </row>
    <row r="631" spans="2:157" ht="12.95" customHeight="1">
      <c r="B631" s="52" t="s">
        <v>764</v>
      </c>
      <c r="C631" s="1480" t="s">
        <v>2706</v>
      </c>
      <c r="D631" s="1490"/>
      <c r="E631" s="1490"/>
      <c r="F631" s="1490"/>
      <c r="G631" s="1490"/>
      <c r="H631" s="1490"/>
      <c r="I631" s="1490"/>
      <c r="J631" s="1490"/>
      <c r="K631" s="1490"/>
      <c r="L631" s="1490"/>
      <c r="M631" s="1494" t="s">
        <v>2123</v>
      </c>
      <c r="N631" s="1494"/>
      <c r="O631" s="1494"/>
      <c r="P631" s="1494"/>
      <c r="Q631" s="1509"/>
      <c r="R631" s="1510"/>
      <c r="S631" s="1511"/>
      <c r="T631" s="1509"/>
      <c r="U631" s="1510"/>
      <c r="V631" s="1511"/>
      <c r="W631" s="1481"/>
      <c r="X631" s="1482"/>
      <c r="Y631" s="1483"/>
      <c r="Z631" s="1477" t="s">
        <v>1185</v>
      </c>
      <c r="AA631" s="1478"/>
      <c r="AB631" s="1479"/>
      <c r="AC631" s="1381"/>
      <c r="AD631" s="1382"/>
      <c r="AE631" s="1383"/>
      <c r="AF631" s="1491"/>
      <c r="AG631" s="1492"/>
      <c r="AH631" s="1492"/>
      <c r="AI631" s="1492"/>
      <c r="AJ631" s="1493"/>
      <c r="AK631" s="1485"/>
      <c r="AL631" s="1486"/>
      <c r="AM631" s="1486"/>
      <c r="AN631" s="1487"/>
      <c r="AO631" s="1476">
        <v>23560000</v>
      </c>
      <c r="AP631" s="1338"/>
      <c r="AQ631" s="1338"/>
      <c r="AR631" s="1338"/>
      <c r="AS631" s="1339"/>
      <c r="AT631" s="1148" t="str">
        <f t="shared" si="1"/>
        <v/>
      </c>
      <c r="AU631" s="3"/>
      <c r="AZ631" s="3"/>
      <c r="BA631" s="3"/>
      <c r="BB631" s="3"/>
      <c r="BC631" s="3"/>
      <c r="BD631" s="3"/>
    </row>
    <row r="632" spans="2:157" ht="12.95" customHeight="1">
      <c r="B632" s="52" t="s">
        <v>585</v>
      </c>
      <c r="C632" s="1490"/>
      <c r="D632" s="1490"/>
      <c r="E632" s="1490"/>
      <c r="F632" s="1490"/>
      <c r="G632" s="1490"/>
      <c r="H632" s="1490"/>
      <c r="I632" s="1490"/>
      <c r="J632" s="1490"/>
      <c r="K632" s="1490"/>
      <c r="L632" s="1490"/>
      <c r="M632" s="1494" t="s">
        <v>1185</v>
      </c>
      <c r="N632" s="1494"/>
      <c r="O632" s="1494"/>
      <c r="P632" s="1494"/>
      <c r="Q632" s="1509"/>
      <c r="R632" s="1510"/>
      <c r="S632" s="1511"/>
      <c r="T632" s="1509"/>
      <c r="U632" s="1510"/>
      <c r="V632" s="1511"/>
      <c r="W632" s="1481"/>
      <c r="X632" s="1482"/>
      <c r="Y632" s="1483"/>
      <c r="Z632" s="1477" t="s">
        <v>1185</v>
      </c>
      <c r="AA632" s="1478"/>
      <c r="AB632" s="1479"/>
      <c r="AC632" s="1381"/>
      <c r="AD632" s="1382"/>
      <c r="AE632" s="1383"/>
      <c r="AF632" s="1491"/>
      <c r="AG632" s="1492"/>
      <c r="AH632" s="1492"/>
      <c r="AI632" s="1492"/>
      <c r="AJ632" s="1493"/>
      <c r="AK632" s="1485"/>
      <c r="AL632" s="1486"/>
      <c r="AM632" s="1486"/>
      <c r="AN632" s="1487"/>
      <c r="AO632" s="1476"/>
      <c r="AP632" s="1338"/>
      <c r="AQ632" s="1338"/>
      <c r="AR632" s="1338"/>
      <c r="AS632" s="1339"/>
      <c r="AT632" s="1148" t="str">
        <f t="shared" si="1"/>
        <v/>
      </c>
      <c r="AU632" s="3"/>
      <c r="AZ632" s="3"/>
      <c r="BA632" s="3"/>
      <c r="BB632" s="3"/>
      <c r="BC632" s="3"/>
      <c r="BD632" s="3"/>
    </row>
    <row r="633" spans="2:157" ht="12.95" customHeight="1">
      <c r="B633" s="52" t="s">
        <v>456</v>
      </c>
      <c r="C633" s="1490"/>
      <c r="D633" s="1490"/>
      <c r="E633" s="1490"/>
      <c r="F633" s="1490"/>
      <c r="G633" s="1490"/>
      <c r="H633" s="1490"/>
      <c r="I633" s="1490"/>
      <c r="J633" s="1490"/>
      <c r="K633" s="1490"/>
      <c r="L633" s="1490"/>
      <c r="M633" s="1494" t="s">
        <v>1185</v>
      </c>
      <c r="N633" s="1494"/>
      <c r="O633" s="1494"/>
      <c r="P633" s="1494"/>
      <c r="Q633" s="1509"/>
      <c r="R633" s="1510"/>
      <c r="S633" s="1511"/>
      <c r="T633" s="1509"/>
      <c r="U633" s="1510"/>
      <c r="V633" s="1511"/>
      <c r="W633" s="1481"/>
      <c r="X633" s="1482"/>
      <c r="Y633" s="1483"/>
      <c r="Z633" s="1477" t="s">
        <v>1185</v>
      </c>
      <c r="AA633" s="1478"/>
      <c r="AB633" s="1479"/>
      <c r="AC633" s="1381"/>
      <c r="AD633" s="1382"/>
      <c r="AE633" s="1383"/>
      <c r="AF633" s="1491"/>
      <c r="AG633" s="1492"/>
      <c r="AH633" s="1492"/>
      <c r="AI633" s="1492"/>
      <c r="AJ633" s="1493"/>
      <c r="AK633" s="1485"/>
      <c r="AL633" s="1486"/>
      <c r="AM633" s="1486"/>
      <c r="AN633" s="1487"/>
      <c r="AO633" s="1476"/>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90"/>
      <c r="D634" s="1490"/>
      <c r="E634" s="1490"/>
      <c r="F634" s="1490"/>
      <c r="G634" s="1490"/>
      <c r="H634" s="1490"/>
      <c r="I634" s="1490"/>
      <c r="J634" s="1490"/>
      <c r="K634" s="1490"/>
      <c r="L634" s="1490"/>
      <c r="M634" s="1494" t="s">
        <v>1185</v>
      </c>
      <c r="N634" s="1494"/>
      <c r="O634" s="1494"/>
      <c r="P634" s="1494"/>
      <c r="Q634" s="1509"/>
      <c r="R634" s="1510"/>
      <c r="S634" s="1511"/>
      <c r="T634" s="1509"/>
      <c r="U634" s="1510"/>
      <c r="V634" s="1511"/>
      <c r="W634" s="1481"/>
      <c r="X634" s="1482"/>
      <c r="Y634" s="1483"/>
      <c r="Z634" s="1477" t="s">
        <v>1185</v>
      </c>
      <c r="AA634" s="1478"/>
      <c r="AB634" s="1479"/>
      <c r="AC634" s="1381"/>
      <c r="AD634" s="1382"/>
      <c r="AE634" s="1383"/>
      <c r="AF634" s="1491"/>
      <c r="AG634" s="1492"/>
      <c r="AH634" s="1492"/>
      <c r="AI634" s="1492"/>
      <c r="AJ634" s="1493"/>
      <c r="AK634" s="1485"/>
      <c r="AL634" s="1486"/>
      <c r="AM634" s="1486"/>
      <c r="AN634" s="1487"/>
      <c r="AO634" s="1476"/>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90"/>
      <c r="D635" s="1490"/>
      <c r="E635" s="1490"/>
      <c r="F635" s="1490"/>
      <c r="G635" s="1490"/>
      <c r="H635" s="1490"/>
      <c r="I635" s="1490"/>
      <c r="J635" s="1490"/>
      <c r="K635" s="1490"/>
      <c r="L635" s="1490"/>
      <c r="M635" s="1494" t="s">
        <v>1185</v>
      </c>
      <c r="N635" s="1494"/>
      <c r="O635" s="1494"/>
      <c r="P635" s="1494"/>
      <c r="Q635" s="1509"/>
      <c r="R635" s="1510"/>
      <c r="S635" s="1511"/>
      <c r="T635" s="1509"/>
      <c r="U635" s="1510"/>
      <c r="V635" s="1511"/>
      <c r="W635" s="1481"/>
      <c r="X635" s="1482"/>
      <c r="Y635" s="1483"/>
      <c r="Z635" s="1477" t="s">
        <v>1185</v>
      </c>
      <c r="AA635" s="1478"/>
      <c r="AB635" s="1479"/>
      <c r="AC635" s="1381"/>
      <c r="AD635" s="1382"/>
      <c r="AE635" s="1383"/>
      <c r="AF635" s="1491"/>
      <c r="AG635" s="1492"/>
      <c r="AH635" s="1492"/>
      <c r="AI635" s="1492"/>
      <c r="AJ635" s="1493"/>
      <c r="AK635" s="1485"/>
      <c r="AL635" s="1486"/>
      <c r="AM635" s="1486"/>
      <c r="AN635" s="1487"/>
      <c r="AO635" s="1476"/>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46.168831168831161</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90"/>
      <c r="D636" s="1490"/>
      <c r="E636" s="1490"/>
      <c r="F636" s="1490"/>
      <c r="G636" s="1490"/>
      <c r="H636" s="1490"/>
      <c r="I636" s="1490"/>
      <c r="J636" s="1490"/>
      <c r="K636" s="1490"/>
      <c r="L636" s="1490"/>
      <c r="M636" s="1494" t="s">
        <v>1185</v>
      </c>
      <c r="N636" s="1494"/>
      <c r="O636" s="1494"/>
      <c r="P636" s="1494"/>
      <c r="Q636" s="1509"/>
      <c r="R636" s="1510"/>
      <c r="S636" s="1511"/>
      <c r="T636" s="1509"/>
      <c r="U636" s="1510"/>
      <c r="V636" s="1511"/>
      <c r="W636" s="1481"/>
      <c r="X636" s="1482"/>
      <c r="Y636" s="1483"/>
      <c r="Z636" s="1477" t="s">
        <v>1185</v>
      </c>
      <c r="AA636" s="1478"/>
      <c r="AB636" s="1479"/>
      <c r="AC636" s="1381"/>
      <c r="AD636" s="1382"/>
      <c r="AE636" s="1383"/>
      <c r="AF636" s="1491"/>
      <c r="AG636" s="1492"/>
      <c r="AH636" s="1492"/>
      <c r="AI636" s="1492"/>
      <c r="AJ636" s="1493"/>
      <c r="AK636" s="1485"/>
      <c r="AL636" s="1486"/>
      <c r="AM636" s="1486"/>
      <c r="AN636" s="1487"/>
      <c r="AO636" s="1476"/>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18.467532467532468</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90"/>
      <c r="D637" s="1490"/>
      <c r="E637" s="1490"/>
      <c r="F637" s="1490"/>
      <c r="G637" s="1490"/>
      <c r="H637" s="1490"/>
      <c r="I637" s="1490"/>
      <c r="J637" s="1490"/>
      <c r="K637" s="1490"/>
      <c r="L637" s="1490"/>
      <c r="M637" s="1494" t="s">
        <v>1185</v>
      </c>
      <c r="N637" s="1494"/>
      <c r="O637" s="1494"/>
      <c r="P637" s="1494"/>
      <c r="Q637" s="1509"/>
      <c r="R637" s="1510"/>
      <c r="S637" s="1511"/>
      <c r="T637" s="1509"/>
      <c r="U637" s="1510"/>
      <c r="V637" s="1511"/>
      <c r="W637" s="1481"/>
      <c r="X637" s="1482"/>
      <c r="Y637" s="1483"/>
      <c r="Z637" s="1477" t="s">
        <v>1185</v>
      </c>
      <c r="AA637" s="1478"/>
      <c r="AB637" s="1479"/>
      <c r="AC637" s="1381"/>
      <c r="AD637" s="1382"/>
      <c r="AE637" s="1383"/>
      <c r="AF637" s="1491"/>
      <c r="AG637" s="1492"/>
      <c r="AH637" s="1492"/>
      <c r="AI637" s="1492"/>
      <c r="AJ637" s="1493"/>
      <c r="AK637" s="1485"/>
      <c r="AL637" s="1486"/>
      <c r="AM637" s="1486"/>
      <c r="AN637" s="1487"/>
      <c r="AO637" s="1476"/>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248.10389610389612</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90"/>
      <c r="D638" s="1490"/>
      <c r="E638" s="1490"/>
      <c r="F638" s="1490"/>
      <c r="G638" s="1490"/>
      <c r="H638" s="1490"/>
      <c r="I638" s="1490"/>
      <c r="J638" s="1490"/>
      <c r="K638" s="1490"/>
      <c r="L638" s="1490"/>
      <c r="M638" s="1494" t="s">
        <v>1185</v>
      </c>
      <c r="N638" s="1494"/>
      <c r="O638" s="1494"/>
      <c r="P638" s="1494"/>
      <c r="Q638" s="1509"/>
      <c r="R638" s="1510"/>
      <c r="S638" s="1511"/>
      <c r="T638" s="1509"/>
      <c r="U638" s="1510"/>
      <c r="V638" s="1511"/>
      <c r="W638" s="1481"/>
      <c r="X638" s="1482"/>
      <c r="Y638" s="1483"/>
      <c r="Z638" s="1477" t="s">
        <v>1185</v>
      </c>
      <c r="AA638" s="1478"/>
      <c r="AB638" s="1479"/>
      <c r="AC638" s="1381"/>
      <c r="AD638" s="1382"/>
      <c r="AE638" s="1383"/>
      <c r="AF638" s="1491"/>
      <c r="AG638" s="1492"/>
      <c r="AH638" s="1492"/>
      <c r="AI638" s="1492"/>
      <c r="AJ638" s="1493"/>
      <c r="AK638" s="1485"/>
      <c r="AL638" s="1486"/>
      <c r="AM638" s="1486"/>
      <c r="AN638" s="1487"/>
      <c r="AO638" s="1476"/>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503.18181818181819</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88531209</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587.68831168831173</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65380955</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78.773006134969322</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1"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2"/>
      <c r="AO641" s="1473">
        <f>AO639+AO640</f>
        <v>153912164</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21.006134969325153</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290.52147239263803</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4" t="str">
        <f>C627</f>
        <v>Citi Community Capital</v>
      </c>
      <c r="H643" s="1484"/>
      <c r="I643" s="1484"/>
      <c r="J643" s="1484"/>
      <c r="K643" s="1484"/>
      <c r="L643" s="1484"/>
      <c r="M643" s="1484"/>
      <c r="N643" s="1484"/>
      <c r="O643" s="1484"/>
      <c r="P643" s="1484"/>
      <c r="Q643" s="1484"/>
      <c r="R643" s="1484"/>
      <c r="S643" s="8"/>
      <c r="T643" s="55" t="s">
        <v>113</v>
      </c>
      <c r="U643" t="s">
        <v>464</v>
      </c>
      <c r="Z643" s="1484" t="str">
        <f>C628</f>
        <v>City of Rocklin</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380.98159509202452</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2709</v>
      </c>
      <c r="H644" s="1407"/>
      <c r="I644" s="1407"/>
      <c r="J644" s="1407"/>
      <c r="K644" s="1407"/>
      <c r="L644" s="1407"/>
      <c r="M644" s="1407"/>
      <c r="N644" s="1407"/>
      <c r="O644" s="1407"/>
      <c r="P644" s="1407"/>
      <c r="Q644" s="1407"/>
      <c r="R644" s="1407"/>
      <c r="S644" s="8"/>
      <c r="T644" s="22"/>
      <c r="U644" t="s">
        <v>85</v>
      </c>
      <c r="Z644" s="1407" t="s">
        <v>2715</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f t="shared" si="4"/>
        <v>926.68711656441724</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2710</v>
      </c>
      <c r="H645" s="1407"/>
      <c r="I645" s="1407"/>
      <c r="J645" s="1407"/>
      <c r="K645" s="1407"/>
      <c r="L645" s="1407"/>
      <c r="M645" s="1407"/>
      <c r="N645" s="1407"/>
      <c r="O645" s="1407"/>
      <c r="P645" s="1407"/>
      <c r="Q645" s="1407"/>
      <c r="R645" s="1407"/>
      <c r="T645" s="22"/>
      <c r="U645" t="s">
        <v>581</v>
      </c>
      <c r="Z645" s="1371" t="s">
        <v>2621</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73.407407407407405</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2711</v>
      </c>
      <c r="H646" s="1407"/>
      <c r="I646" s="1407"/>
      <c r="J646" s="1407"/>
      <c r="K646" s="1407"/>
      <c r="L646" s="1407"/>
      <c r="M646" s="1407"/>
      <c r="N646" s="1407"/>
      <c r="O646" s="1407"/>
      <c r="P646" s="1407"/>
      <c r="Q646" s="1407"/>
      <c r="R646" s="1407"/>
      <c r="S646" s="8"/>
      <c r="T646" s="22"/>
      <c r="U646" t="s">
        <v>17</v>
      </c>
      <c r="Z646" s="1371" t="s">
        <v>2716</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24.469135802469136</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8">
        <v>8053585673</v>
      </c>
      <c r="H647" s="1488"/>
      <c r="I647" s="1488"/>
      <c r="J647" s="1488"/>
      <c r="K647" s="1488"/>
      <c r="L647" s="1488"/>
      <c r="O647" s="33" t="s">
        <v>206</v>
      </c>
      <c r="P647" s="1472"/>
      <c r="Q647" s="1472"/>
      <c r="R647" s="1472"/>
      <c r="S647" s="10"/>
      <c r="T647" s="22"/>
      <c r="U647" t="s">
        <v>316</v>
      </c>
      <c r="Z647" s="1488">
        <v>9166251500</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f t="shared" si="5"/>
        <v>163.85185185185185</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2120</v>
      </c>
      <c r="I648" s="1407"/>
      <c r="J648" s="1407"/>
      <c r="K648" s="1407"/>
      <c r="L648" s="1407"/>
      <c r="M648" s="1407"/>
      <c r="N648" s="1407"/>
      <c r="O648" s="1407"/>
      <c r="P648" s="1407"/>
      <c r="Q648" s="1407"/>
      <c r="R648" s="1407"/>
      <c r="S648" s="8"/>
      <c r="T648" s="22"/>
      <c r="U648" t="s">
        <v>18</v>
      </c>
      <c r="AA648" s="1407" t="s">
        <v>2116</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f t="shared" si="5"/>
        <v>196.93827160493825</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6" t="s">
        <v>546</v>
      </c>
      <c r="O649" s="1416"/>
      <c r="T649" s="22"/>
      <c r="U649" t="s">
        <v>20</v>
      </c>
      <c r="AG649" s="1416" t="s">
        <v>670</v>
      </c>
      <c r="AH649" s="1416"/>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f t="shared" si="5"/>
        <v>1638.2222222222222</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4" t="str">
        <f>C629</f>
        <v>USA Multi-Family Development, Inc.</v>
      </c>
      <c r="H651" s="1484"/>
      <c r="I651" s="1484"/>
      <c r="J651" s="1484"/>
      <c r="K651" s="1484"/>
      <c r="L651" s="1484"/>
      <c r="M651" s="1484"/>
      <c r="N651" s="1484"/>
      <c r="O651" s="1484"/>
      <c r="P651" s="1484"/>
      <c r="Q651" s="1484"/>
      <c r="R651" s="1484"/>
      <c r="T651" s="55" t="s">
        <v>582</v>
      </c>
      <c r="U651" t="s">
        <v>464</v>
      </c>
      <c r="Z651" s="1484" t="str">
        <f>C630</f>
        <v>Net Operating Income</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2629</v>
      </c>
      <c r="H652" s="1407"/>
      <c r="I652" s="1407"/>
      <c r="J652" s="1407"/>
      <c r="K652" s="1407"/>
      <c r="L652" s="1407"/>
      <c r="M652" s="1407"/>
      <c r="N652" s="1407"/>
      <c r="O652" s="1407"/>
      <c r="P652" s="1407"/>
      <c r="Q652" s="1407"/>
      <c r="R652" s="1407"/>
      <c r="T652" s="22"/>
      <c r="U652" t="s">
        <v>85</v>
      </c>
      <c r="Z652" s="1407" t="s">
        <v>2629</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2615</v>
      </c>
      <c r="H653" s="1371"/>
      <c r="I653" s="1371"/>
      <c r="J653" s="1371"/>
      <c r="K653" s="1371"/>
      <c r="L653" s="1371"/>
      <c r="M653" s="1371"/>
      <c r="N653" s="1371"/>
      <c r="O653" s="1371"/>
      <c r="P653" s="1371"/>
      <c r="Q653" s="1371"/>
      <c r="R653" s="1371"/>
      <c r="T653" s="22"/>
      <c r="U653" t="s">
        <v>581</v>
      </c>
      <c r="Z653" s="1371" t="s">
        <v>2615</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2616</v>
      </c>
      <c r="H654" s="1371"/>
      <c r="I654" s="1371"/>
      <c r="J654" s="1371"/>
      <c r="K654" s="1371"/>
      <c r="L654" s="1371"/>
      <c r="M654" s="1371"/>
      <c r="N654" s="1371"/>
      <c r="O654" s="1371"/>
      <c r="P654" s="1371"/>
      <c r="Q654" s="1371"/>
      <c r="R654" s="1371"/>
      <c r="T654" s="22"/>
      <c r="U654" t="s">
        <v>17</v>
      </c>
      <c r="Z654" s="1371" t="s">
        <v>2616</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8">
        <v>9168653981</v>
      </c>
      <c r="H655" s="1488"/>
      <c r="I655" s="1488"/>
      <c r="J655" s="1488"/>
      <c r="K655" s="1488"/>
      <c r="L655" s="1488"/>
      <c r="O655" s="33" t="s">
        <v>206</v>
      </c>
      <c r="P655" s="1472"/>
      <c r="Q655" s="1472"/>
      <c r="R655" s="1472"/>
      <c r="T655" s="22"/>
      <c r="U655" t="s">
        <v>316</v>
      </c>
      <c r="Z655" s="1488">
        <v>9168653981</v>
      </c>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2712</v>
      </c>
      <c r="I656" s="1407"/>
      <c r="J656" s="1407"/>
      <c r="K656" s="1407"/>
      <c r="L656" s="1407"/>
      <c r="M656" s="1407"/>
      <c r="N656" s="1407"/>
      <c r="O656" s="1407"/>
      <c r="P656" s="1407"/>
      <c r="Q656" s="1407"/>
      <c r="R656" s="1407"/>
      <c r="T656" s="22"/>
      <c r="U656" t="s">
        <v>18</v>
      </c>
      <c r="AA656" s="1407" t="s">
        <v>2122</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4" t="str">
        <f>C631</f>
        <v>Safehold, Inc.</v>
      </c>
      <c r="H659" s="1484"/>
      <c r="I659" s="1484"/>
      <c r="J659" s="1484"/>
      <c r="K659" s="1484"/>
      <c r="L659" s="1484"/>
      <c r="M659" s="1484"/>
      <c r="N659" s="1484"/>
      <c r="O659" s="1484"/>
      <c r="P659" s="1484"/>
      <c r="Q659" s="1484"/>
      <c r="R659" s="1484"/>
      <c r="T659" s="55" t="s">
        <v>585</v>
      </c>
      <c r="U659" t="s">
        <v>464</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t="s">
        <v>2717</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t="s">
        <v>2718</v>
      </c>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t="s">
        <v>2719</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8">
        <v>3103155580</v>
      </c>
      <c r="H663" s="1488"/>
      <c r="I663" s="1488"/>
      <c r="J663" s="1488"/>
      <c r="K663" s="1488"/>
      <c r="L663" s="1488"/>
      <c r="O663" s="33" t="s">
        <v>206</v>
      </c>
      <c r="P663" s="1472"/>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t="s">
        <v>2708</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6" t="s">
        <v>546</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4">
        <f>C633</f>
        <v>0</v>
      </c>
      <c r="H667" s="1484"/>
      <c r="I667" s="1484"/>
      <c r="J667" s="1484"/>
      <c r="K667" s="1484"/>
      <c r="L667" s="1484"/>
      <c r="M667" s="1484"/>
      <c r="N667" s="1484"/>
      <c r="O667" s="1484"/>
      <c r="P667" s="1484"/>
      <c r="Q667" s="1484"/>
      <c r="R667" s="1484"/>
      <c r="T667" s="55" t="s">
        <v>457</v>
      </c>
      <c r="U667" t="s">
        <v>464</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1403.6103896103896</v>
      </c>
      <c r="ED670" s="1369"/>
      <c r="EE670" s="1369"/>
      <c r="EF670" s="1369"/>
      <c r="EG670" s="1369"/>
      <c r="EH670" s="1369">
        <f>SUMIF(EH635:EL669,"&gt;0")</f>
        <v>1697.9693251533743</v>
      </c>
      <c r="EI670" s="1369"/>
      <c r="EJ670" s="1369"/>
      <c r="EK670" s="1369"/>
      <c r="EL670" s="1369"/>
      <c r="EM670" s="1369">
        <f>SUMIF(EM635:EQ669,"&gt;0")</f>
        <v>2096.8888888888887</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670</v>
      </c>
      <c r="O673" s="1416"/>
      <c r="T673" s="22"/>
      <c r="U673" t="s">
        <v>20</v>
      </c>
      <c r="AG673" s="1416" t="s">
        <v>670</v>
      </c>
      <c r="AH673" s="1416"/>
      <c r="AZ673" s="3"/>
    </row>
    <row r="674" spans="1:52" ht="12.95" customHeight="1">
      <c r="A674" s="22"/>
      <c r="T674" s="22"/>
      <c r="AZ674" s="3"/>
    </row>
    <row r="675" spans="1:52" ht="12.95" customHeight="1">
      <c r="A675" s="55" t="s">
        <v>462</v>
      </c>
      <c r="B675" t="s">
        <v>464</v>
      </c>
      <c r="G675" s="1484">
        <f>C635</f>
        <v>0</v>
      </c>
      <c r="H675" s="1484"/>
      <c r="I675" s="1484"/>
      <c r="J675" s="1484"/>
      <c r="K675" s="1484"/>
      <c r="L675" s="1484"/>
      <c r="M675" s="1484"/>
      <c r="N675" s="1484"/>
      <c r="O675" s="1484"/>
      <c r="P675" s="1484"/>
      <c r="Q675" s="1484"/>
      <c r="R675" s="1484"/>
      <c r="T675" s="55" t="s">
        <v>647</v>
      </c>
      <c r="U675" t="s">
        <v>464</v>
      </c>
      <c r="Z675" s="1484">
        <f>C636</f>
        <v>0</v>
      </c>
      <c r="AA675" s="1484"/>
      <c r="AB675" s="1484"/>
      <c r="AC675" s="1484"/>
      <c r="AD675" s="1484"/>
      <c r="AE675" s="1484"/>
      <c r="AF675" s="1484"/>
      <c r="AG675" s="1484"/>
      <c r="AH675" s="1484"/>
      <c r="AI675" s="1484"/>
      <c r="AJ675" s="1484"/>
      <c r="AK675" s="1484"/>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6" t="s">
        <v>670</v>
      </c>
      <c r="O681" s="1416"/>
      <c r="T681" s="22"/>
      <c r="U681" t="s">
        <v>20</v>
      </c>
      <c r="AG681" s="1416" t="s">
        <v>670</v>
      </c>
      <c r="AH681" s="1416"/>
      <c r="AZ681" s="3"/>
    </row>
    <row r="682" spans="1:52" ht="12.95" customHeight="1">
      <c r="A682" s="22"/>
      <c r="T682" s="22"/>
      <c r="AZ682" s="3"/>
    </row>
    <row r="683" spans="1:52" ht="12.95"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6" t="s">
        <v>670</v>
      </c>
      <c r="O689" s="1416"/>
      <c r="U689" t="s">
        <v>20</v>
      </c>
      <c r="AG689" s="1416" t="s">
        <v>670</v>
      </c>
      <c r="AH689" s="1416"/>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6" t="s">
        <v>670</v>
      </c>
      <c r="AF693" s="1416"/>
      <c r="AZ693" s="3"/>
    </row>
    <row r="694" spans="1:67" ht="12.95" customHeight="1">
      <c r="B694" s="135"/>
      <c r="C694" s="135"/>
      <c r="D694" s="136" t="s">
        <v>438</v>
      </c>
      <c r="E694" s="135"/>
      <c r="F694" s="135"/>
      <c r="G694" s="135"/>
      <c r="H694" s="135"/>
      <c r="AE694" s="1416" t="s">
        <v>670</v>
      </c>
      <c r="AF694" s="1416"/>
      <c r="AZ694" s="3"/>
    </row>
    <row r="695" spans="1:67" ht="12.95" customHeight="1">
      <c r="B695" s="135"/>
      <c r="C695" s="135"/>
      <c r="D695" s="136" t="s">
        <v>921</v>
      </c>
      <c r="E695" s="135"/>
      <c r="F695" s="135"/>
      <c r="G695" s="135"/>
      <c r="H695" s="135"/>
      <c r="AE695" s="1507">
        <v>45909</v>
      </c>
      <c r="AF695" s="1507"/>
      <c r="AG695" s="1507"/>
      <c r="AH695" s="1507"/>
      <c r="AI695" s="1507"/>
    </row>
    <row r="696" spans="1:67" ht="12.95" customHeight="1">
      <c r="B696" s="135"/>
      <c r="C696" s="135"/>
      <c r="D696" s="317" t="s">
        <v>984</v>
      </c>
      <c r="E696" s="135"/>
      <c r="F696" s="135"/>
      <c r="G696" s="135"/>
      <c r="H696" s="135"/>
      <c r="AE696" s="1663">
        <v>45980</v>
      </c>
      <c r="AF696" s="1663"/>
      <c r="AG696" s="1663"/>
      <c r="AH696" s="1663"/>
      <c r="AI696" s="1663"/>
    </row>
    <row r="697" spans="1:67" ht="12.95" customHeight="1">
      <c r="B697" s="135"/>
      <c r="C697" s="135"/>
    </row>
    <row r="698" spans="1:67" ht="12.95" customHeight="1">
      <c r="B698" s="135"/>
      <c r="C698" s="135"/>
      <c r="D698" s="136" t="s">
        <v>817</v>
      </c>
      <c r="E698" s="135"/>
      <c r="F698" s="135"/>
      <c r="G698" s="135"/>
      <c r="H698" s="135"/>
      <c r="AE698" s="1507">
        <v>46143</v>
      </c>
      <c r="AF698" s="1507"/>
      <c r="AG698" s="1507"/>
      <c r="AH698" s="1507"/>
      <c r="AI698" s="1507"/>
    </row>
    <row r="699" spans="1:67" ht="12.95" customHeight="1">
      <c r="B699" s="135"/>
      <c r="C699" s="135"/>
      <c r="D699" s="136" t="s">
        <v>436</v>
      </c>
      <c r="E699" s="135"/>
      <c r="F699" s="135"/>
      <c r="G699" s="135"/>
      <c r="H699" s="135"/>
      <c r="AE699" s="1684">
        <v>0.25890000000000002</v>
      </c>
      <c r="AF699" s="1684"/>
      <c r="AG699" s="1684"/>
      <c r="AH699" s="1684"/>
      <c r="AI699" s="1684"/>
    </row>
    <row r="700" spans="1:67" ht="12.95"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6" t="s">
        <v>670</v>
      </c>
      <c r="AF702" s="1416"/>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5" t="s">
        <v>389</v>
      </c>
      <c r="C714" s="1496"/>
      <c r="D714" s="1496"/>
      <c r="E714" s="1496"/>
      <c r="F714" s="1497"/>
      <c r="G714" s="1495" t="s">
        <v>285</v>
      </c>
      <c r="H714" s="1496"/>
      <c r="I714" s="1496"/>
      <c r="J714" s="1497"/>
      <c r="K714" s="1512" t="s">
        <v>1680</v>
      </c>
      <c r="L714" s="1513"/>
      <c r="M714" s="1513"/>
      <c r="N714" s="1514"/>
      <c r="O714" s="1495" t="s">
        <v>448</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3" t="s">
        <v>634</v>
      </c>
      <c r="CQ717" s="1794"/>
      <c r="CR717" s="1794"/>
      <c r="CS717" s="1794"/>
      <c r="CT717" s="1795"/>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2.95" customHeight="1">
      <c r="A718" s="4"/>
      <c r="B718" s="1355" t="s">
        <v>325</v>
      </c>
      <c r="C718" s="1356"/>
      <c r="D718" s="1356"/>
      <c r="E718" s="1356"/>
      <c r="F718" s="1357"/>
      <c r="G718" s="1364">
        <v>5</v>
      </c>
      <c r="H718" s="1365"/>
      <c r="I718" s="1365"/>
      <c r="J718" s="1366"/>
      <c r="K718" s="1602">
        <v>719</v>
      </c>
      <c r="L718" s="1603"/>
      <c r="M718" s="1603"/>
      <c r="N718" s="1604"/>
      <c r="O718" s="1469">
        <v>711</v>
      </c>
      <c r="P718" s="1470"/>
      <c r="Q718" s="1470"/>
      <c r="R718" s="1470"/>
      <c r="S718" s="1471"/>
      <c r="T718" s="1469">
        <v>12</v>
      </c>
      <c r="U718" s="1470"/>
      <c r="V718" s="1470"/>
      <c r="W718" s="1471"/>
      <c r="X718" s="1358">
        <f t="shared" ref="X718:X741" si="8">O718+T718</f>
        <v>723</v>
      </c>
      <c r="Y718" s="1359"/>
      <c r="Z718" s="1359"/>
      <c r="AA718" s="1359"/>
      <c r="AB718" s="1360"/>
      <c r="AC718" s="1611">
        <v>0.3</v>
      </c>
      <c r="AD718" s="1612"/>
      <c r="AE718" s="1612"/>
      <c r="AF718" s="1612"/>
      <c r="AG718" s="1613"/>
      <c r="AH718" s="1361">
        <f>IF($AC718&gt;0,($X718/$AZ718), "")</f>
        <v>0.29975124378109452</v>
      </c>
      <c r="AI718" s="1362"/>
      <c r="AJ718" s="1363"/>
      <c r="AK718" s="1355" t="s">
        <v>592</v>
      </c>
      <c r="AL718" s="1356"/>
      <c r="AM718" s="1356"/>
      <c r="AN718" s="1356"/>
      <c r="AO718" s="1357"/>
      <c r="AP718" s="3"/>
      <c r="AQ718" s="3"/>
      <c r="AR718" s="3"/>
      <c r="AS718" s="3"/>
      <c r="AZ718" s="118">
        <f t="shared" ref="AZ718:AZ752" si="9">IF($G718=0,"N/A",VLOOKUP($T$189,TC_Rent,(MATCH($B718,bedrooms,FALSE)),FALSE))</f>
        <v>2412</v>
      </c>
      <c r="BA718" s="3"/>
      <c r="BB718" s="3"/>
      <c r="BC718" s="3"/>
      <c r="BD718" s="3"/>
      <c r="BE718" s="204"/>
      <c r="BF718" s="293">
        <f t="shared" ref="BF718:BF752" si="10">G718</f>
        <v>5</v>
      </c>
      <c r="BG718" s="297">
        <f t="shared" ref="BG718:BG752" si="11">IF($BF$753=0,0,BF718/$BF$753)</f>
        <v>1.5576323987538941E-2</v>
      </c>
      <c r="BH718" s="298">
        <f t="shared" ref="BH718:BH752" si="12">IF(BG718=0,"",BG718*AC718)</f>
        <v>4.6728971962616819E-3</v>
      </c>
      <c r="BI718" s="3"/>
      <c r="BJ718" s="3"/>
      <c r="BK718" s="3"/>
      <c r="BL718" s="3"/>
      <c r="BM718" s="3"/>
      <c r="BN718" s="3"/>
      <c r="BS718" s="293">
        <f t="shared" ref="BS718:BS752" si="13">G718</f>
        <v>5</v>
      </c>
      <c r="BT718" s="297">
        <f t="shared" ref="BT718:BT752" si="14">IF($BS$753=0,0,BS718/$BS$753)</f>
        <v>1.5576323987538941E-2</v>
      </c>
      <c r="BU718" s="298">
        <f t="shared" ref="BU718:BU752" si="15">IF(BT718=0,"",BT718*AH718)</f>
        <v>4.6690224888020953E-3</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5</v>
      </c>
      <c r="CN718" s="1337"/>
      <c r="CO718" s="3"/>
      <c r="CP718" s="1332">
        <f t="shared" ref="CP718:CP752" si="18">IF(B718="SRO/Studio",G718,0)</f>
        <v>0</v>
      </c>
      <c r="CQ718" s="1333"/>
      <c r="CR718" s="1333"/>
      <c r="CS718" s="1333"/>
      <c r="CT718" s="1334"/>
      <c r="CU718" s="1354">
        <f t="shared" ref="CU718:CU752" si="19">IF(B718="1 Bedroom",G718,0)</f>
        <v>5</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5</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711</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325</v>
      </c>
      <c r="C719" s="1356"/>
      <c r="D719" s="1356"/>
      <c r="E719" s="1356"/>
      <c r="F719" s="1357"/>
      <c r="G719" s="1364">
        <v>2</v>
      </c>
      <c r="H719" s="1365"/>
      <c r="I719" s="1365"/>
      <c r="J719" s="1366"/>
      <c r="K719" s="1602">
        <v>719</v>
      </c>
      <c r="L719" s="1603"/>
      <c r="M719" s="1603"/>
      <c r="N719" s="1604"/>
      <c r="O719" s="1469">
        <v>711</v>
      </c>
      <c r="P719" s="1470"/>
      <c r="Q719" s="1470"/>
      <c r="R719" s="1470"/>
      <c r="S719" s="1471"/>
      <c r="T719" s="1469">
        <v>12</v>
      </c>
      <c r="U719" s="1470"/>
      <c r="V719" s="1470"/>
      <c r="W719" s="1471"/>
      <c r="X719" s="1358">
        <f t="shared" si="8"/>
        <v>723</v>
      </c>
      <c r="Y719" s="1359"/>
      <c r="Z719" s="1359"/>
      <c r="AA719" s="1359"/>
      <c r="AB719" s="1360"/>
      <c r="AC719" s="1611">
        <v>0.3</v>
      </c>
      <c r="AD719" s="1612"/>
      <c r="AE719" s="1612"/>
      <c r="AF719" s="1612"/>
      <c r="AG719" s="1613"/>
      <c r="AH719" s="1361">
        <f t="shared" ref="AH719:AH752" si="36">IF($AC719&gt;0,($X719/$AZ719), "")</f>
        <v>0.29975124378109452</v>
      </c>
      <c r="AI719" s="1362"/>
      <c r="AJ719" s="1363"/>
      <c r="AK719" s="1355" t="s">
        <v>592</v>
      </c>
      <c r="AL719" s="1356"/>
      <c r="AM719" s="1356"/>
      <c r="AN719" s="1356"/>
      <c r="AO719" s="1357"/>
      <c r="AP719" s="3"/>
      <c r="AQ719" s="3"/>
      <c r="AR719" s="3"/>
      <c r="AS719" s="3"/>
      <c r="AZ719" s="118">
        <f t="shared" si="9"/>
        <v>2412</v>
      </c>
      <c r="BA719" s="3"/>
      <c r="BB719" s="3"/>
      <c r="BC719" s="3"/>
      <c r="BD719" s="3"/>
      <c r="BE719" s="204"/>
      <c r="BF719" s="294">
        <f t="shared" si="10"/>
        <v>2</v>
      </c>
      <c r="BG719" s="297">
        <f t="shared" si="11"/>
        <v>6.2305295950155761E-3</v>
      </c>
      <c r="BH719" s="298">
        <f t="shared" si="12"/>
        <v>1.8691588785046728E-3</v>
      </c>
      <c r="BI719" s="3"/>
      <c r="BJ719" s="3"/>
      <c r="BK719" s="3"/>
      <c r="BL719" s="3"/>
      <c r="BM719" s="3"/>
      <c r="BN719" s="3"/>
      <c r="BS719" s="294">
        <f t="shared" si="13"/>
        <v>2</v>
      </c>
      <c r="BT719" s="297">
        <f t="shared" si="14"/>
        <v>6.2305295950155761E-3</v>
      </c>
      <c r="BU719" s="298">
        <f t="shared" si="15"/>
        <v>1.8676089955208381E-3</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2</v>
      </c>
      <c r="CN719" s="1337"/>
      <c r="CO719" s="3"/>
      <c r="CP719" s="1332">
        <f t="shared" si="18"/>
        <v>0</v>
      </c>
      <c r="CQ719" s="1333"/>
      <c r="CR719" s="1333"/>
      <c r="CS719" s="1333"/>
      <c r="CT719" s="1334"/>
      <c r="CU719" s="1354">
        <f t="shared" si="19"/>
        <v>2</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2</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711</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16</v>
      </c>
      <c r="H720" s="1365"/>
      <c r="I720" s="1365"/>
      <c r="J720" s="1366"/>
      <c r="K720" s="1602">
        <v>719</v>
      </c>
      <c r="L720" s="1603"/>
      <c r="M720" s="1603"/>
      <c r="N720" s="1604"/>
      <c r="O720" s="1469">
        <v>1194</v>
      </c>
      <c r="P720" s="1470"/>
      <c r="Q720" s="1470"/>
      <c r="R720" s="1470"/>
      <c r="S720" s="1471"/>
      <c r="T720" s="1469">
        <v>12</v>
      </c>
      <c r="U720" s="1470"/>
      <c r="V720" s="1470"/>
      <c r="W720" s="1471"/>
      <c r="X720" s="1358">
        <f t="shared" si="8"/>
        <v>1206</v>
      </c>
      <c r="Y720" s="1359"/>
      <c r="Z720" s="1359"/>
      <c r="AA720" s="1359"/>
      <c r="AB720" s="1360"/>
      <c r="AC720" s="1611">
        <v>0.5</v>
      </c>
      <c r="AD720" s="1612"/>
      <c r="AE720" s="1612"/>
      <c r="AF720" s="1612"/>
      <c r="AG720" s="1613"/>
      <c r="AH720" s="1361">
        <f t="shared" si="36"/>
        <v>0.5</v>
      </c>
      <c r="AI720" s="1362"/>
      <c r="AJ720" s="1363"/>
      <c r="AK720" s="1355" t="s">
        <v>592</v>
      </c>
      <c r="AL720" s="1356"/>
      <c r="AM720" s="1356"/>
      <c r="AN720" s="1356"/>
      <c r="AO720" s="1357"/>
      <c r="AP720" s="3"/>
      <c r="AQ720" s="3"/>
      <c r="AR720" s="3"/>
      <c r="AS720" s="3"/>
      <c r="AZ720" s="118">
        <f t="shared" si="9"/>
        <v>2412</v>
      </c>
      <c r="BA720" s="3"/>
      <c r="BB720" s="3"/>
      <c r="BC720" s="3"/>
      <c r="BD720" s="3"/>
      <c r="BE720" s="204"/>
      <c r="BF720" s="294">
        <f t="shared" si="10"/>
        <v>16</v>
      </c>
      <c r="BG720" s="297">
        <f t="shared" si="11"/>
        <v>4.9844236760124609E-2</v>
      </c>
      <c r="BH720" s="298">
        <f t="shared" si="12"/>
        <v>2.4922118380062305E-2</v>
      </c>
      <c r="BI720" s="3"/>
      <c r="BJ720" s="3"/>
      <c r="BK720" s="3"/>
      <c r="BL720" s="3"/>
      <c r="BM720" s="3"/>
      <c r="BN720" s="3"/>
      <c r="BS720" s="294">
        <f t="shared" si="13"/>
        <v>16</v>
      </c>
      <c r="BT720" s="297">
        <f t="shared" si="14"/>
        <v>4.9844236760124609E-2</v>
      </c>
      <c r="BU720" s="298">
        <f t="shared" si="15"/>
        <v>2.4922118380062305E-2</v>
      </c>
      <c r="CC720" s="3"/>
      <c r="CD720" s="3"/>
      <c r="CE720" s="3"/>
      <c r="CF720" s="3"/>
      <c r="CG720" s="1351">
        <f t="shared" si="37"/>
        <v>1</v>
      </c>
      <c r="CH720" s="1353"/>
      <c r="CI720" s="1335">
        <f t="shared" si="38"/>
        <v>16</v>
      </c>
      <c r="CJ720" s="1337"/>
      <c r="CK720" s="1351">
        <f t="shared" si="16"/>
        <v>0</v>
      </c>
      <c r="CL720" s="1353"/>
      <c r="CM720" s="1335">
        <f t="shared" si="17"/>
        <v>0</v>
      </c>
      <c r="CN720" s="1337"/>
      <c r="CO720" s="3"/>
      <c r="CP720" s="1332">
        <f t="shared" si="18"/>
        <v>0</v>
      </c>
      <c r="CQ720" s="1333"/>
      <c r="CR720" s="1333"/>
      <c r="CS720" s="1333"/>
      <c r="CT720" s="1334"/>
      <c r="CU720" s="1354">
        <f t="shared" si="19"/>
        <v>16</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1194</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27</v>
      </c>
      <c r="H721" s="1365"/>
      <c r="I721" s="1365"/>
      <c r="J721" s="1366"/>
      <c r="K721" s="1602">
        <v>719</v>
      </c>
      <c r="L721" s="1603"/>
      <c r="M721" s="1603"/>
      <c r="N721" s="1604"/>
      <c r="O721" s="1469">
        <v>1435</v>
      </c>
      <c r="P721" s="1470"/>
      <c r="Q721" s="1470"/>
      <c r="R721" s="1470"/>
      <c r="S721" s="1471"/>
      <c r="T721" s="1469">
        <v>12</v>
      </c>
      <c r="U721" s="1470"/>
      <c r="V721" s="1470"/>
      <c r="W721" s="1471"/>
      <c r="X721" s="1358">
        <f t="shared" si="8"/>
        <v>1447</v>
      </c>
      <c r="Y721" s="1359"/>
      <c r="Z721" s="1359"/>
      <c r="AA721" s="1359"/>
      <c r="AB721" s="1360"/>
      <c r="AC721" s="1611">
        <v>0.6</v>
      </c>
      <c r="AD721" s="1612"/>
      <c r="AE721" s="1612"/>
      <c r="AF721" s="1612"/>
      <c r="AG721" s="1613"/>
      <c r="AH721" s="1361">
        <f t="shared" si="36"/>
        <v>0.5999170812603648</v>
      </c>
      <c r="AI721" s="1362"/>
      <c r="AJ721" s="1363"/>
      <c r="AK721" s="1355" t="s">
        <v>592</v>
      </c>
      <c r="AL721" s="1356"/>
      <c r="AM721" s="1356"/>
      <c r="AN721" s="1356"/>
      <c r="AO721" s="1357"/>
      <c r="AP721" s="3"/>
      <c r="AQ721" s="3"/>
      <c r="AR721" s="3"/>
      <c r="AS721" s="3"/>
      <c r="AY721" s="116"/>
      <c r="AZ721" s="118">
        <f t="shared" si="9"/>
        <v>2412</v>
      </c>
      <c r="BA721" s="3"/>
      <c r="BB721" s="3"/>
      <c r="BC721" s="3"/>
      <c r="BD721" s="3"/>
      <c r="BE721" s="204"/>
      <c r="BF721" s="294">
        <f t="shared" si="10"/>
        <v>27</v>
      </c>
      <c r="BG721" s="297">
        <f t="shared" si="11"/>
        <v>8.4112149532710276E-2</v>
      </c>
      <c r="BH721" s="298">
        <f t="shared" si="12"/>
        <v>5.0467289719626163E-2</v>
      </c>
      <c r="BI721" s="3"/>
      <c r="BJ721" s="3"/>
      <c r="BK721" s="3"/>
      <c r="BL721" s="3"/>
      <c r="BM721" s="3"/>
      <c r="BN721" s="3"/>
      <c r="BS721" s="294">
        <f t="shared" si="13"/>
        <v>27</v>
      </c>
      <c r="BT721" s="297">
        <f t="shared" si="14"/>
        <v>8.4112149532710276E-2</v>
      </c>
      <c r="BU721" s="298">
        <f t="shared" si="15"/>
        <v>5.0460315246198907E-2</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27</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1435</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325</v>
      </c>
      <c r="C722" s="1356"/>
      <c r="D722" s="1356"/>
      <c r="E722" s="1356"/>
      <c r="F722" s="1357"/>
      <c r="G722" s="1364">
        <v>27</v>
      </c>
      <c r="H722" s="1365"/>
      <c r="I722" s="1365"/>
      <c r="J722" s="1366"/>
      <c r="K722" s="1602">
        <v>719</v>
      </c>
      <c r="L722" s="1603"/>
      <c r="M722" s="1603"/>
      <c r="N722" s="1604"/>
      <c r="O722" s="1469">
        <v>1676</v>
      </c>
      <c r="P722" s="1470"/>
      <c r="Q722" s="1470"/>
      <c r="R722" s="1470"/>
      <c r="S722" s="1471"/>
      <c r="T722" s="1469">
        <v>12</v>
      </c>
      <c r="U722" s="1470"/>
      <c r="V722" s="1470"/>
      <c r="W722" s="1471"/>
      <c r="X722" s="1358">
        <f t="shared" si="8"/>
        <v>1688</v>
      </c>
      <c r="Y722" s="1359"/>
      <c r="Z722" s="1359"/>
      <c r="AA722" s="1359"/>
      <c r="AB722" s="1360"/>
      <c r="AC722" s="1611">
        <v>0.7</v>
      </c>
      <c r="AD722" s="1612"/>
      <c r="AE722" s="1612"/>
      <c r="AF722" s="1612"/>
      <c r="AG722" s="1613"/>
      <c r="AH722" s="1361">
        <f t="shared" si="36"/>
        <v>0.69983416252072972</v>
      </c>
      <c r="AI722" s="1362"/>
      <c r="AJ722" s="1363"/>
      <c r="AK722" s="1355" t="s">
        <v>592</v>
      </c>
      <c r="AL722" s="1356"/>
      <c r="AM722" s="1356"/>
      <c r="AN722" s="1356"/>
      <c r="AO722" s="1357"/>
      <c r="AP722" s="3"/>
      <c r="AQ722" s="3"/>
      <c r="AR722" s="3"/>
      <c r="AS722" s="3"/>
      <c r="AY722" s="116"/>
      <c r="AZ722" s="118">
        <f t="shared" si="9"/>
        <v>2412</v>
      </c>
      <c r="BA722" s="3"/>
      <c r="BB722" s="3"/>
      <c r="BC722" s="3"/>
      <c r="BD722" s="3"/>
      <c r="BE722" s="204"/>
      <c r="BF722" s="294">
        <f t="shared" si="10"/>
        <v>27</v>
      </c>
      <c r="BG722" s="297">
        <f t="shared" si="11"/>
        <v>8.4112149532710276E-2</v>
      </c>
      <c r="BH722" s="298">
        <f t="shared" si="12"/>
        <v>5.8878504672897188E-2</v>
      </c>
      <c r="BI722" s="3"/>
      <c r="BJ722" s="3"/>
      <c r="BK722" s="3"/>
      <c r="BL722" s="3"/>
      <c r="BM722" s="3"/>
      <c r="BN722" s="3"/>
      <c r="BS722" s="294">
        <f t="shared" si="13"/>
        <v>27</v>
      </c>
      <c r="BT722" s="297">
        <f t="shared" si="14"/>
        <v>8.4112149532710276E-2</v>
      </c>
      <c r="BU722" s="298">
        <f t="shared" si="15"/>
        <v>5.8864555726042683E-2</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27</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1676</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v>15</v>
      </c>
      <c r="H723" s="1365"/>
      <c r="I723" s="1365"/>
      <c r="J723" s="1366"/>
      <c r="K723" s="1602">
        <v>849</v>
      </c>
      <c r="L723" s="1603"/>
      <c r="M723" s="1603"/>
      <c r="N723" s="1604"/>
      <c r="O723" s="1469">
        <v>856</v>
      </c>
      <c r="P723" s="1470"/>
      <c r="Q723" s="1470"/>
      <c r="R723" s="1470"/>
      <c r="S723" s="1471"/>
      <c r="T723" s="1469">
        <v>12</v>
      </c>
      <c r="U723" s="1470"/>
      <c r="V723" s="1470"/>
      <c r="W723" s="1471"/>
      <c r="X723" s="1358">
        <f t="shared" si="8"/>
        <v>868</v>
      </c>
      <c r="Y723" s="1359"/>
      <c r="Z723" s="1359"/>
      <c r="AA723" s="1359"/>
      <c r="AB723" s="1360"/>
      <c r="AC723" s="1611">
        <v>0.3</v>
      </c>
      <c r="AD723" s="1612"/>
      <c r="AE723" s="1612"/>
      <c r="AF723" s="1612"/>
      <c r="AG723" s="1613"/>
      <c r="AH723" s="1361">
        <f t="shared" si="36"/>
        <v>0.29993089149965446</v>
      </c>
      <c r="AI723" s="1362"/>
      <c r="AJ723" s="1363"/>
      <c r="AK723" s="1355" t="s">
        <v>592</v>
      </c>
      <c r="AL723" s="1356"/>
      <c r="AM723" s="1356"/>
      <c r="AN723" s="1356"/>
      <c r="AO723" s="1357"/>
      <c r="AP723" s="3"/>
      <c r="AQ723" s="3"/>
      <c r="AR723" s="3"/>
      <c r="AS723" s="3"/>
      <c r="AY723" s="116"/>
      <c r="AZ723" s="118">
        <f t="shared" si="9"/>
        <v>2894</v>
      </c>
      <c r="BA723" s="3"/>
      <c r="BB723" s="3"/>
      <c r="BC723" s="3"/>
      <c r="BD723" s="3"/>
      <c r="BE723" s="204"/>
      <c r="BF723" s="294">
        <f t="shared" si="10"/>
        <v>15</v>
      </c>
      <c r="BG723" s="297">
        <f t="shared" si="11"/>
        <v>4.6728971962616821E-2</v>
      </c>
      <c r="BH723" s="298">
        <f t="shared" si="12"/>
        <v>1.4018691588785047E-2</v>
      </c>
      <c r="BI723" s="3"/>
      <c r="BJ723" s="3"/>
      <c r="BK723" s="3"/>
      <c r="BL723" s="3"/>
      <c r="BM723" s="3"/>
      <c r="BN723" s="3"/>
      <c r="BS723" s="294">
        <f t="shared" si="13"/>
        <v>15</v>
      </c>
      <c r="BT723" s="297">
        <f t="shared" si="14"/>
        <v>4.6728971962616821E-2</v>
      </c>
      <c r="BU723" s="298">
        <f t="shared" si="15"/>
        <v>1.4015462219610021E-2</v>
      </c>
      <c r="CC723" s="3"/>
      <c r="CD723" s="3"/>
      <c r="CE723" s="3"/>
      <c r="CF723" s="3"/>
      <c r="CG723" s="1351">
        <f t="shared" si="37"/>
        <v>0</v>
      </c>
      <c r="CH723" s="1353"/>
      <c r="CI723" s="1335">
        <f t="shared" si="38"/>
        <v>0</v>
      </c>
      <c r="CJ723" s="1337"/>
      <c r="CK723" s="1351">
        <f t="shared" si="16"/>
        <v>1</v>
      </c>
      <c r="CL723" s="1353"/>
      <c r="CM723" s="1335">
        <f t="shared" si="17"/>
        <v>15</v>
      </c>
      <c r="CN723" s="1337"/>
      <c r="CO723" s="3"/>
      <c r="CP723" s="1332">
        <f t="shared" si="18"/>
        <v>0</v>
      </c>
      <c r="CQ723" s="1333"/>
      <c r="CR723" s="1333"/>
      <c r="CS723" s="1333"/>
      <c r="CT723" s="1334"/>
      <c r="CU723" s="1354">
        <f t="shared" si="19"/>
        <v>0</v>
      </c>
      <c r="CV723" s="1354"/>
      <c r="CW723" s="1354"/>
      <c r="CX723" s="1354"/>
      <c r="CY723" s="1354"/>
      <c r="CZ723" s="1354">
        <f t="shared" si="20"/>
        <v>15</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15</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856</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163</v>
      </c>
      <c r="C724" s="1356"/>
      <c r="D724" s="1356"/>
      <c r="E724" s="1356"/>
      <c r="F724" s="1357"/>
      <c r="G724" s="1364">
        <v>4</v>
      </c>
      <c r="H724" s="1365"/>
      <c r="I724" s="1365"/>
      <c r="J724" s="1366"/>
      <c r="K724" s="1602">
        <v>849</v>
      </c>
      <c r="L724" s="1603"/>
      <c r="M724" s="1603"/>
      <c r="N724" s="1604"/>
      <c r="O724" s="1469">
        <v>856</v>
      </c>
      <c r="P724" s="1470"/>
      <c r="Q724" s="1470"/>
      <c r="R724" s="1470"/>
      <c r="S724" s="1471"/>
      <c r="T724" s="1469">
        <v>12</v>
      </c>
      <c r="U724" s="1470"/>
      <c r="V724" s="1470"/>
      <c r="W724" s="1471"/>
      <c r="X724" s="1358">
        <f t="shared" si="8"/>
        <v>868</v>
      </c>
      <c r="Y724" s="1359"/>
      <c r="Z724" s="1359"/>
      <c r="AA724" s="1359"/>
      <c r="AB724" s="1360"/>
      <c r="AC724" s="1611">
        <v>0.3</v>
      </c>
      <c r="AD724" s="1612"/>
      <c r="AE724" s="1612"/>
      <c r="AF724" s="1612"/>
      <c r="AG724" s="1613"/>
      <c r="AH724" s="1361">
        <f t="shared" si="36"/>
        <v>0.29993089149965446</v>
      </c>
      <c r="AI724" s="1362"/>
      <c r="AJ724" s="1363"/>
      <c r="AK724" s="1355" t="s">
        <v>592</v>
      </c>
      <c r="AL724" s="1356"/>
      <c r="AM724" s="1356"/>
      <c r="AN724" s="1356"/>
      <c r="AO724" s="1357"/>
      <c r="AP724" s="3"/>
      <c r="AQ724" s="3"/>
      <c r="AR724" s="3"/>
      <c r="AS724" s="3"/>
      <c r="AY724" s="116"/>
      <c r="AZ724" s="118">
        <f t="shared" si="9"/>
        <v>2894</v>
      </c>
      <c r="BA724" s="3"/>
      <c r="BB724" s="3"/>
      <c r="BC724" s="3"/>
      <c r="BD724" s="3"/>
      <c r="BE724" s="204"/>
      <c r="BF724" s="294">
        <f t="shared" si="10"/>
        <v>4</v>
      </c>
      <c r="BG724" s="297">
        <f t="shared" si="11"/>
        <v>1.2461059190031152E-2</v>
      </c>
      <c r="BH724" s="298">
        <f t="shared" si="12"/>
        <v>3.7383177570093455E-3</v>
      </c>
      <c r="BI724" s="3"/>
      <c r="BJ724" s="3"/>
      <c r="BK724" s="3"/>
      <c r="BL724" s="3"/>
      <c r="BM724" s="3"/>
      <c r="BN724" s="3"/>
      <c r="BS724" s="294">
        <f t="shared" si="13"/>
        <v>4</v>
      </c>
      <c r="BT724" s="297">
        <f t="shared" si="14"/>
        <v>1.2461059190031152E-2</v>
      </c>
      <c r="BU724" s="298">
        <f t="shared" si="15"/>
        <v>3.7374565918960058E-3</v>
      </c>
      <c r="CC724" s="3"/>
      <c r="CE724" s="3"/>
      <c r="CF724" s="3"/>
      <c r="CG724" s="1351">
        <f t="shared" si="37"/>
        <v>0</v>
      </c>
      <c r="CH724" s="1353"/>
      <c r="CI724" s="1335">
        <f t="shared" si="38"/>
        <v>0</v>
      </c>
      <c r="CJ724" s="1337"/>
      <c r="CK724" s="1351">
        <f t="shared" si="16"/>
        <v>1</v>
      </c>
      <c r="CL724" s="1353"/>
      <c r="CM724" s="1335">
        <f t="shared" si="17"/>
        <v>4</v>
      </c>
      <c r="CN724" s="1337"/>
      <c r="CO724" s="3"/>
      <c r="CP724" s="1332">
        <f t="shared" si="18"/>
        <v>0</v>
      </c>
      <c r="CQ724" s="1333"/>
      <c r="CR724" s="1333"/>
      <c r="CS724" s="1333"/>
      <c r="CT724" s="1334"/>
      <c r="CU724" s="1354">
        <f t="shared" si="19"/>
        <v>0</v>
      </c>
      <c r="CV724" s="1354"/>
      <c r="CW724" s="1354"/>
      <c r="CX724" s="1354"/>
      <c r="CY724" s="1354"/>
      <c r="CZ724" s="1354">
        <f t="shared" si="20"/>
        <v>4</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4</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856</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33</v>
      </c>
      <c r="H725" s="1365"/>
      <c r="I725" s="1365"/>
      <c r="J725" s="1366"/>
      <c r="K725" s="1602">
        <v>849</v>
      </c>
      <c r="L725" s="1603"/>
      <c r="M725" s="1603"/>
      <c r="N725" s="1604"/>
      <c r="O725" s="1469">
        <v>1435</v>
      </c>
      <c r="P725" s="1470"/>
      <c r="Q725" s="1470"/>
      <c r="R725" s="1470"/>
      <c r="S725" s="1471"/>
      <c r="T725" s="1469">
        <v>12</v>
      </c>
      <c r="U725" s="1470"/>
      <c r="V725" s="1470"/>
      <c r="W725" s="1471"/>
      <c r="X725" s="1358">
        <f t="shared" si="8"/>
        <v>1447</v>
      </c>
      <c r="Y725" s="1359"/>
      <c r="Z725" s="1359"/>
      <c r="AA725" s="1359"/>
      <c r="AB725" s="1360"/>
      <c r="AC725" s="1611">
        <v>0.5</v>
      </c>
      <c r="AD725" s="1612"/>
      <c r="AE725" s="1612"/>
      <c r="AF725" s="1612"/>
      <c r="AG725" s="1613"/>
      <c r="AH725" s="1361">
        <f t="shared" si="36"/>
        <v>0.5</v>
      </c>
      <c r="AI725" s="1362"/>
      <c r="AJ725" s="1363"/>
      <c r="AK725" s="1355" t="s">
        <v>592</v>
      </c>
      <c r="AL725" s="1356"/>
      <c r="AM725" s="1356"/>
      <c r="AN725" s="1356"/>
      <c r="AO725" s="1357"/>
      <c r="AP725" s="3"/>
      <c r="AQ725" s="3"/>
      <c r="AR725" s="3"/>
      <c r="AS725" s="3"/>
      <c r="AY725" s="1085"/>
      <c r="AZ725" s="118">
        <f t="shared" si="9"/>
        <v>2894</v>
      </c>
      <c r="BA725" s="3"/>
      <c r="BB725" s="3"/>
      <c r="BC725" s="3"/>
      <c r="BD725" s="3"/>
      <c r="BE725" s="204"/>
      <c r="BF725" s="294">
        <f t="shared" si="10"/>
        <v>33</v>
      </c>
      <c r="BG725" s="297">
        <f t="shared" si="11"/>
        <v>0.10280373831775701</v>
      </c>
      <c r="BH725" s="298">
        <f t="shared" si="12"/>
        <v>5.1401869158878503E-2</v>
      </c>
      <c r="BI725" s="3"/>
      <c r="BJ725" s="3"/>
      <c r="BK725" s="3"/>
      <c r="BL725" s="3"/>
      <c r="BM725" s="3"/>
      <c r="BN725" s="3"/>
      <c r="BS725" s="294">
        <f t="shared" si="13"/>
        <v>33</v>
      </c>
      <c r="BT725" s="297">
        <f t="shared" si="14"/>
        <v>0.10280373831775701</v>
      </c>
      <c r="BU725" s="298">
        <f t="shared" si="15"/>
        <v>5.1401869158878503E-2</v>
      </c>
      <c r="BV725" s="292"/>
      <c r="BW725" s="3"/>
      <c r="BX725" s="3"/>
      <c r="BY725" s="3"/>
      <c r="BZ725" s="3"/>
      <c r="CA725" s="3"/>
      <c r="CB725" s="3"/>
      <c r="CC725" s="3"/>
      <c r="CE725" s="3"/>
      <c r="CF725" s="3"/>
      <c r="CG725" s="1351">
        <f t="shared" si="37"/>
        <v>1</v>
      </c>
      <c r="CH725" s="1353"/>
      <c r="CI725" s="1335">
        <f t="shared" si="38"/>
        <v>33</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33</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1435</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163</v>
      </c>
      <c r="C726" s="1356"/>
      <c r="D726" s="1356"/>
      <c r="E726" s="1356"/>
      <c r="F726" s="1357"/>
      <c r="G726" s="1364">
        <v>36</v>
      </c>
      <c r="H726" s="1365"/>
      <c r="I726" s="1365"/>
      <c r="J726" s="1366"/>
      <c r="K726" s="1602">
        <v>849</v>
      </c>
      <c r="L726" s="1603"/>
      <c r="M726" s="1603"/>
      <c r="N726" s="1604"/>
      <c r="O726" s="1469">
        <v>1725</v>
      </c>
      <c r="P726" s="1470"/>
      <c r="Q726" s="1470"/>
      <c r="R726" s="1470"/>
      <c r="S726" s="1471"/>
      <c r="T726" s="1469">
        <v>12</v>
      </c>
      <c r="U726" s="1470"/>
      <c r="V726" s="1470"/>
      <c r="W726" s="1471"/>
      <c r="X726" s="1358">
        <f t="shared" si="8"/>
        <v>1737</v>
      </c>
      <c r="Y726" s="1359"/>
      <c r="Z726" s="1359"/>
      <c r="AA726" s="1359"/>
      <c r="AB726" s="1360"/>
      <c r="AC726" s="1611">
        <v>0.6</v>
      </c>
      <c r="AD726" s="1612"/>
      <c r="AE726" s="1612"/>
      <c r="AF726" s="1612"/>
      <c r="AG726" s="1613"/>
      <c r="AH726" s="1361">
        <f t="shared" si="36"/>
        <v>0.60020732550103661</v>
      </c>
      <c r="AI726" s="1362"/>
      <c r="AJ726" s="1363"/>
      <c r="AK726" s="1355" t="s">
        <v>592</v>
      </c>
      <c r="AL726" s="1356"/>
      <c r="AM726" s="1356"/>
      <c r="AN726" s="1356"/>
      <c r="AO726" s="1357"/>
      <c r="AP726" s="3"/>
      <c r="AQ726" s="3"/>
      <c r="AR726" s="3"/>
      <c r="AS726" s="3"/>
      <c r="AY726" s="1085"/>
      <c r="AZ726" s="118">
        <f t="shared" si="9"/>
        <v>2894</v>
      </c>
      <c r="BA726" s="3"/>
      <c r="BB726" s="3"/>
      <c r="BC726" s="3"/>
      <c r="BD726" s="3"/>
      <c r="BE726" s="204"/>
      <c r="BF726" s="294">
        <f t="shared" si="10"/>
        <v>36</v>
      </c>
      <c r="BG726" s="297">
        <f t="shared" si="11"/>
        <v>0.11214953271028037</v>
      </c>
      <c r="BH726" s="298">
        <f t="shared" si="12"/>
        <v>6.7289719626168226E-2</v>
      </c>
      <c r="BI726" s="3"/>
      <c r="BJ726" s="3"/>
      <c r="BK726" s="3"/>
      <c r="BL726" s="3"/>
      <c r="BM726" s="3"/>
      <c r="BN726" s="3"/>
      <c r="BS726" s="294">
        <f t="shared" si="13"/>
        <v>36</v>
      </c>
      <c r="BT726" s="297">
        <f t="shared" si="14"/>
        <v>0.11214953271028037</v>
      </c>
      <c r="BU726" s="298">
        <f t="shared" si="15"/>
        <v>6.7312971084228401E-2</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36</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1725</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163</v>
      </c>
      <c r="C727" s="1356"/>
      <c r="D727" s="1356"/>
      <c r="E727" s="1356"/>
      <c r="F727" s="1357"/>
      <c r="G727" s="1364">
        <v>75</v>
      </c>
      <c r="H727" s="1365"/>
      <c r="I727" s="1365"/>
      <c r="J727" s="1366"/>
      <c r="K727" s="1602">
        <v>849</v>
      </c>
      <c r="L727" s="1603"/>
      <c r="M727" s="1603"/>
      <c r="N727" s="1604"/>
      <c r="O727" s="1469">
        <v>2014</v>
      </c>
      <c r="P727" s="1470"/>
      <c r="Q727" s="1470"/>
      <c r="R727" s="1470"/>
      <c r="S727" s="1471"/>
      <c r="T727" s="1469">
        <v>12</v>
      </c>
      <c r="U727" s="1470"/>
      <c r="V727" s="1470"/>
      <c r="W727" s="1471"/>
      <c r="X727" s="1358">
        <f t="shared" si="8"/>
        <v>2026</v>
      </c>
      <c r="Y727" s="1359"/>
      <c r="Z727" s="1359"/>
      <c r="AA727" s="1359"/>
      <c r="AB727" s="1360"/>
      <c r="AC727" s="1611">
        <v>0.7</v>
      </c>
      <c r="AD727" s="1612"/>
      <c r="AE727" s="1612"/>
      <c r="AF727" s="1612"/>
      <c r="AG727" s="1613"/>
      <c r="AH727" s="1361">
        <f t="shared" si="36"/>
        <v>0.70006910850034554</v>
      </c>
      <c r="AI727" s="1362"/>
      <c r="AJ727" s="1363"/>
      <c r="AK727" s="1355" t="s">
        <v>592</v>
      </c>
      <c r="AL727" s="1356"/>
      <c r="AM727" s="1356"/>
      <c r="AN727" s="1356"/>
      <c r="AO727" s="1357"/>
      <c r="AP727" s="3"/>
      <c r="AQ727" s="3"/>
      <c r="AR727" s="3"/>
      <c r="AS727" s="3"/>
      <c r="AY727" s="1085"/>
      <c r="AZ727" s="118">
        <f t="shared" si="9"/>
        <v>2894</v>
      </c>
      <c r="BA727" s="3"/>
      <c r="BB727" s="3"/>
      <c r="BC727" s="3"/>
      <c r="BD727" s="3"/>
      <c r="BE727" s="204"/>
      <c r="BF727" s="294">
        <f t="shared" si="10"/>
        <v>75</v>
      </c>
      <c r="BG727" s="297">
        <f t="shared" si="11"/>
        <v>0.23364485981308411</v>
      </c>
      <c r="BH727" s="298">
        <f t="shared" si="12"/>
        <v>0.16355140186915887</v>
      </c>
      <c r="BI727" s="3"/>
      <c r="BJ727" s="3"/>
      <c r="BK727" s="3"/>
      <c r="BL727" s="3"/>
      <c r="BM727" s="3"/>
      <c r="BN727" s="3"/>
      <c r="BS727" s="294">
        <f t="shared" si="13"/>
        <v>75</v>
      </c>
      <c r="BT727" s="297">
        <f t="shared" si="14"/>
        <v>0.23364485981308411</v>
      </c>
      <c r="BU727" s="298">
        <f t="shared" si="15"/>
        <v>0.16356754871503401</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75</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f t="shared" si="32"/>
        <v>2014</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164</v>
      </c>
      <c r="C728" s="1356"/>
      <c r="D728" s="1356"/>
      <c r="E728" s="1356"/>
      <c r="F728" s="1357"/>
      <c r="G728" s="1364">
        <v>6</v>
      </c>
      <c r="H728" s="1365"/>
      <c r="I728" s="1365"/>
      <c r="J728" s="1366"/>
      <c r="K728" s="1602">
        <v>1056</v>
      </c>
      <c r="L728" s="1603"/>
      <c r="M728" s="1603"/>
      <c r="N728" s="1604"/>
      <c r="O728" s="1469">
        <v>991</v>
      </c>
      <c r="P728" s="1470"/>
      <c r="Q728" s="1470"/>
      <c r="R728" s="1470"/>
      <c r="S728" s="1471"/>
      <c r="T728" s="1469">
        <v>12</v>
      </c>
      <c r="U728" s="1470"/>
      <c r="V728" s="1470"/>
      <c r="W728" s="1471"/>
      <c r="X728" s="1358">
        <f t="shared" si="8"/>
        <v>1003</v>
      </c>
      <c r="Y728" s="1359"/>
      <c r="Z728" s="1359"/>
      <c r="AA728" s="1359"/>
      <c r="AB728" s="1360"/>
      <c r="AC728" s="1611">
        <v>0.3</v>
      </c>
      <c r="AD728" s="1612"/>
      <c r="AE728" s="1612"/>
      <c r="AF728" s="1612"/>
      <c r="AG728" s="1613"/>
      <c r="AH728" s="1361">
        <f t="shared" si="36"/>
        <v>0.30011968880909634</v>
      </c>
      <c r="AI728" s="1362"/>
      <c r="AJ728" s="1363"/>
      <c r="AK728" s="1355" t="s">
        <v>592</v>
      </c>
      <c r="AL728" s="1356"/>
      <c r="AM728" s="1356"/>
      <c r="AN728" s="1356"/>
      <c r="AO728" s="1357"/>
      <c r="AP728" s="3"/>
      <c r="AQ728" s="3"/>
      <c r="AR728" s="3"/>
      <c r="AS728" s="3"/>
      <c r="AY728" s="1085"/>
      <c r="AZ728" s="118">
        <f t="shared" si="9"/>
        <v>3342</v>
      </c>
      <c r="BA728" s="3"/>
      <c r="BB728" s="3"/>
      <c r="BC728" s="3"/>
      <c r="BD728" s="3"/>
      <c r="BE728" s="204"/>
      <c r="BF728" s="294">
        <f t="shared" si="10"/>
        <v>6</v>
      </c>
      <c r="BG728" s="297">
        <f t="shared" si="11"/>
        <v>1.8691588785046728E-2</v>
      </c>
      <c r="BH728" s="298">
        <f t="shared" si="12"/>
        <v>5.6074766355140183E-3</v>
      </c>
      <c r="BI728" s="3"/>
      <c r="BJ728" s="3"/>
      <c r="BK728" s="3"/>
      <c r="BL728" s="3"/>
      <c r="BM728" s="3"/>
      <c r="BN728" s="3"/>
      <c r="BS728" s="294">
        <f t="shared" si="13"/>
        <v>6</v>
      </c>
      <c r="BT728" s="297">
        <f t="shared" si="14"/>
        <v>1.8691588785046728E-2</v>
      </c>
      <c r="BU728" s="298">
        <f t="shared" si="15"/>
        <v>5.6097138095158186E-3</v>
      </c>
      <c r="BV728" s="3"/>
      <c r="BW728" s="3"/>
      <c r="BX728" s="3"/>
      <c r="BY728" s="3"/>
      <c r="BZ728" s="3"/>
      <c r="CA728" s="3"/>
      <c r="CB728" s="3"/>
      <c r="CC728" s="3"/>
      <c r="CE728" s="3"/>
      <c r="CF728" s="3"/>
      <c r="CG728" s="1351">
        <f t="shared" si="37"/>
        <v>0</v>
      </c>
      <c r="CH728" s="1353"/>
      <c r="CI728" s="1335">
        <f t="shared" si="38"/>
        <v>0</v>
      </c>
      <c r="CJ728" s="1337"/>
      <c r="CK728" s="1351">
        <f t="shared" si="16"/>
        <v>1</v>
      </c>
      <c r="CL728" s="1353"/>
      <c r="CM728" s="1335">
        <f t="shared" si="17"/>
        <v>6</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6</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6</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991</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164</v>
      </c>
      <c r="C729" s="1356"/>
      <c r="D729" s="1356"/>
      <c r="E729" s="1356"/>
      <c r="F729" s="1357"/>
      <c r="G729" s="1364">
        <v>2</v>
      </c>
      <c r="H729" s="1365"/>
      <c r="I729" s="1365"/>
      <c r="J729" s="1366"/>
      <c r="K729" s="1602">
        <v>1056</v>
      </c>
      <c r="L729" s="1603"/>
      <c r="M729" s="1603"/>
      <c r="N729" s="1604"/>
      <c r="O729" s="1469">
        <v>991</v>
      </c>
      <c r="P729" s="1470"/>
      <c r="Q729" s="1470"/>
      <c r="R729" s="1470"/>
      <c r="S729" s="1471"/>
      <c r="T729" s="1469">
        <v>12</v>
      </c>
      <c r="U729" s="1470"/>
      <c r="V729" s="1470"/>
      <c r="W729" s="1471"/>
      <c r="X729" s="1358">
        <f t="shared" si="8"/>
        <v>1003</v>
      </c>
      <c r="Y729" s="1359"/>
      <c r="Z729" s="1359"/>
      <c r="AA729" s="1359"/>
      <c r="AB729" s="1360"/>
      <c r="AC729" s="1611">
        <v>0.3</v>
      </c>
      <c r="AD729" s="1612"/>
      <c r="AE729" s="1612"/>
      <c r="AF729" s="1612"/>
      <c r="AG729" s="1613"/>
      <c r="AH729" s="1361">
        <f t="shared" si="36"/>
        <v>0.30011968880909634</v>
      </c>
      <c r="AI729" s="1362"/>
      <c r="AJ729" s="1363"/>
      <c r="AK729" s="1355" t="s">
        <v>592</v>
      </c>
      <c r="AL729" s="1356"/>
      <c r="AM729" s="1356"/>
      <c r="AN729" s="1356"/>
      <c r="AO729" s="1357"/>
      <c r="AP729" s="3"/>
      <c r="AQ729" s="3"/>
      <c r="AR729" s="3"/>
      <c r="AS729" s="3"/>
      <c r="AY729" s="1085"/>
      <c r="AZ729" s="118">
        <f t="shared" si="9"/>
        <v>3342</v>
      </c>
      <c r="BA729" s="3"/>
      <c r="BB729" s="3"/>
      <c r="BC729" s="3"/>
      <c r="BD729" s="3"/>
      <c r="BE729" s="204"/>
      <c r="BF729" s="294">
        <f t="shared" si="10"/>
        <v>2</v>
      </c>
      <c r="BG729" s="297">
        <f t="shared" si="11"/>
        <v>6.2305295950155761E-3</v>
      </c>
      <c r="BH729" s="298">
        <f t="shared" si="12"/>
        <v>1.8691588785046728E-3</v>
      </c>
      <c r="BI729" s="3"/>
      <c r="BJ729" s="3"/>
      <c r="BK729" s="3"/>
      <c r="BL729" s="3"/>
      <c r="BM729" s="3"/>
      <c r="BN729" s="3"/>
      <c r="BS729" s="294">
        <f t="shared" si="13"/>
        <v>2</v>
      </c>
      <c r="BT729" s="297">
        <f t="shared" si="14"/>
        <v>6.2305295950155761E-3</v>
      </c>
      <c r="BU729" s="298">
        <f t="shared" si="15"/>
        <v>1.8699046031719398E-3</v>
      </c>
      <c r="BV729" s="3"/>
      <c r="BW729" s="3"/>
      <c r="BX729" s="3"/>
      <c r="BY729" s="3"/>
      <c r="BZ729" s="3"/>
      <c r="CA729" s="3"/>
      <c r="CB729" s="3"/>
      <c r="CC729" s="3"/>
      <c r="CE729" s="3"/>
      <c r="CF729" s="3"/>
      <c r="CG729" s="1351">
        <f t="shared" si="37"/>
        <v>0</v>
      </c>
      <c r="CH729" s="1353"/>
      <c r="CI729" s="1335">
        <f t="shared" si="38"/>
        <v>0</v>
      </c>
      <c r="CJ729" s="1337"/>
      <c r="CK729" s="1351">
        <f t="shared" si="16"/>
        <v>1</v>
      </c>
      <c r="CL729" s="1353"/>
      <c r="CM729" s="1335">
        <f t="shared" si="17"/>
        <v>2</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2</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2</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991</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t="s">
        <v>164</v>
      </c>
      <c r="C730" s="1356"/>
      <c r="D730" s="1356"/>
      <c r="E730" s="1356"/>
      <c r="F730" s="1357"/>
      <c r="G730" s="1364">
        <v>8</v>
      </c>
      <c r="H730" s="1365"/>
      <c r="I730" s="1365"/>
      <c r="J730" s="1366"/>
      <c r="K730" s="1602">
        <v>1056</v>
      </c>
      <c r="L730" s="1603"/>
      <c r="M730" s="1603"/>
      <c r="N730" s="1604"/>
      <c r="O730" s="1469">
        <v>1659</v>
      </c>
      <c r="P730" s="1470"/>
      <c r="Q730" s="1470"/>
      <c r="R730" s="1470"/>
      <c r="S730" s="1471"/>
      <c r="T730" s="1469">
        <v>12</v>
      </c>
      <c r="U730" s="1470"/>
      <c r="V730" s="1470"/>
      <c r="W730" s="1471"/>
      <c r="X730" s="1358">
        <f t="shared" si="8"/>
        <v>1671</v>
      </c>
      <c r="Y730" s="1359"/>
      <c r="Z730" s="1359"/>
      <c r="AA730" s="1359"/>
      <c r="AB730" s="1360"/>
      <c r="AC730" s="1611">
        <v>0.5</v>
      </c>
      <c r="AD730" s="1612"/>
      <c r="AE730" s="1612"/>
      <c r="AF730" s="1612"/>
      <c r="AG730" s="1613"/>
      <c r="AH730" s="1361">
        <f t="shared" si="36"/>
        <v>0.5</v>
      </c>
      <c r="AI730" s="1362"/>
      <c r="AJ730" s="1363"/>
      <c r="AK730" s="1355" t="s">
        <v>592</v>
      </c>
      <c r="AL730" s="1356"/>
      <c r="AM730" s="1356"/>
      <c r="AN730" s="1356"/>
      <c r="AO730" s="1357"/>
      <c r="AP730" s="3"/>
      <c r="AQ730" s="3"/>
      <c r="AR730" s="3"/>
      <c r="AS730" s="3"/>
      <c r="AY730" s="1085"/>
      <c r="AZ730" s="118">
        <f t="shared" si="9"/>
        <v>3342</v>
      </c>
      <c r="BA730" s="3"/>
      <c r="BB730" s="3"/>
      <c r="BC730" s="3"/>
      <c r="BD730" s="3"/>
      <c r="BE730" s="204"/>
      <c r="BF730" s="294">
        <f t="shared" si="10"/>
        <v>8</v>
      </c>
      <c r="BG730" s="297">
        <f t="shared" si="11"/>
        <v>2.4922118380062305E-2</v>
      </c>
      <c r="BH730" s="298">
        <f t="shared" si="12"/>
        <v>1.2461059190031152E-2</v>
      </c>
      <c r="BI730" s="3"/>
      <c r="BJ730" s="3"/>
      <c r="BK730" s="3"/>
      <c r="BL730" s="3"/>
      <c r="BM730" s="3"/>
      <c r="BN730" s="3"/>
      <c r="BS730" s="294">
        <f t="shared" si="13"/>
        <v>8</v>
      </c>
      <c r="BT730" s="297">
        <f t="shared" si="14"/>
        <v>2.4922118380062305E-2</v>
      </c>
      <c r="BU730" s="298">
        <f t="shared" si="15"/>
        <v>1.2461059190031152E-2</v>
      </c>
      <c r="BV730" s="3"/>
      <c r="BW730" s="3"/>
      <c r="BX730" s="3"/>
      <c r="BY730" s="3"/>
      <c r="BZ730" s="3"/>
      <c r="CA730" s="3"/>
      <c r="CB730" s="3"/>
      <c r="CC730" s="3"/>
      <c r="CE730" s="3"/>
      <c r="CF730" s="3"/>
      <c r="CG730" s="1351">
        <f t="shared" si="37"/>
        <v>1</v>
      </c>
      <c r="CH730" s="1353"/>
      <c r="CI730" s="1335">
        <f t="shared" si="38"/>
        <v>8</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8</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f t="shared" si="33"/>
        <v>1659</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t="s">
        <v>164</v>
      </c>
      <c r="C731" s="1356"/>
      <c r="D731" s="1356"/>
      <c r="E731" s="1356"/>
      <c r="F731" s="1357"/>
      <c r="G731" s="1364">
        <v>8</v>
      </c>
      <c r="H731" s="1365"/>
      <c r="I731" s="1365"/>
      <c r="J731" s="1366"/>
      <c r="K731" s="1602">
        <v>1056</v>
      </c>
      <c r="L731" s="1603"/>
      <c r="M731" s="1603"/>
      <c r="N731" s="1604"/>
      <c r="O731" s="1469">
        <v>1994</v>
      </c>
      <c r="P731" s="1470"/>
      <c r="Q731" s="1470"/>
      <c r="R731" s="1470"/>
      <c r="S731" s="1471"/>
      <c r="T731" s="1469">
        <v>12</v>
      </c>
      <c r="U731" s="1470"/>
      <c r="V731" s="1470"/>
      <c r="W731" s="1471"/>
      <c r="X731" s="1358">
        <f t="shared" si="8"/>
        <v>2006</v>
      </c>
      <c r="Y731" s="1359"/>
      <c r="Z731" s="1359"/>
      <c r="AA731" s="1359"/>
      <c r="AB731" s="1360"/>
      <c r="AC731" s="1611">
        <v>0.6</v>
      </c>
      <c r="AD731" s="1612"/>
      <c r="AE731" s="1612"/>
      <c r="AF731" s="1612"/>
      <c r="AG731" s="1613"/>
      <c r="AH731" s="1361">
        <f t="shared" si="36"/>
        <v>0.60023937761819268</v>
      </c>
      <c r="AI731" s="1362"/>
      <c r="AJ731" s="1363"/>
      <c r="AK731" s="1355" t="s">
        <v>592</v>
      </c>
      <c r="AL731" s="1356"/>
      <c r="AM731" s="1356"/>
      <c r="AN731" s="1356"/>
      <c r="AO731" s="1357"/>
      <c r="AP731" s="3"/>
      <c r="AQ731" s="3"/>
      <c r="AR731" s="3"/>
      <c r="AS731" s="3"/>
      <c r="AY731" s="1085"/>
      <c r="AZ731" s="118">
        <f t="shared" si="9"/>
        <v>3342</v>
      </c>
      <c r="BA731" s="3"/>
      <c r="BB731" s="3"/>
      <c r="BC731" s="3"/>
      <c r="BD731" s="3"/>
      <c r="BE731" s="204"/>
      <c r="BF731" s="294">
        <f t="shared" si="10"/>
        <v>8</v>
      </c>
      <c r="BG731" s="297">
        <f t="shared" si="11"/>
        <v>2.4922118380062305E-2</v>
      </c>
      <c r="BH731" s="298">
        <f t="shared" si="12"/>
        <v>1.4953271028037382E-2</v>
      </c>
      <c r="BI731" s="3"/>
      <c r="BJ731" s="3"/>
      <c r="BK731" s="3"/>
      <c r="BL731" s="3"/>
      <c r="BM731" s="3"/>
      <c r="BN731" s="3"/>
      <c r="BS731" s="294">
        <f t="shared" si="13"/>
        <v>8</v>
      </c>
      <c r="BT731" s="297">
        <f t="shared" si="14"/>
        <v>2.4922118380062305E-2</v>
      </c>
      <c r="BU731" s="298">
        <f t="shared" si="15"/>
        <v>1.4959236825375519E-2</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8</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f t="shared" si="33"/>
        <v>1994</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t="s">
        <v>164</v>
      </c>
      <c r="C732" s="1356"/>
      <c r="D732" s="1356"/>
      <c r="E732" s="1356"/>
      <c r="F732" s="1357"/>
      <c r="G732" s="1364">
        <v>57</v>
      </c>
      <c r="H732" s="1365"/>
      <c r="I732" s="1365"/>
      <c r="J732" s="1366"/>
      <c r="K732" s="1602">
        <v>1056</v>
      </c>
      <c r="L732" s="1603"/>
      <c r="M732" s="1603"/>
      <c r="N732" s="1604"/>
      <c r="O732" s="1469">
        <v>2328</v>
      </c>
      <c r="P732" s="1470"/>
      <c r="Q732" s="1470"/>
      <c r="R732" s="1470"/>
      <c r="S732" s="1471"/>
      <c r="T732" s="1469">
        <v>12</v>
      </c>
      <c r="U732" s="1470"/>
      <c r="V732" s="1470"/>
      <c r="W732" s="1471"/>
      <c r="X732" s="1358">
        <f t="shared" si="8"/>
        <v>2340</v>
      </c>
      <c r="Y732" s="1359"/>
      <c r="Z732" s="1359"/>
      <c r="AA732" s="1359"/>
      <c r="AB732" s="1360"/>
      <c r="AC732" s="1611">
        <v>0.7</v>
      </c>
      <c r="AD732" s="1612"/>
      <c r="AE732" s="1612"/>
      <c r="AF732" s="1612"/>
      <c r="AG732" s="1613"/>
      <c r="AH732" s="1361">
        <f t="shared" si="36"/>
        <v>0.70017953321364457</v>
      </c>
      <c r="AI732" s="1362"/>
      <c r="AJ732" s="1363"/>
      <c r="AK732" s="1355" t="s">
        <v>592</v>
      </c>
      <c r="AL732" s="1356"/>
      <c r="AM732" s="1356"/>
      <c r="AN732" s="1356"/>
      <c r="AO732" s="1357"/>
      <c r="AP732" s="3"/>
      <c r="AQ732" s="3"/>
      <c r="AR732" s="3"/>
      <c r="AS732" s="3"/>
      <c r="AY732" s="1085"/>
      <c r="AZ732" s="118">
        <f t="shared" si="9"/>
        <v>3342</v>
      </c>
      <c r="BA732" s="3"/>
      <c r="BB732" s="3"/>
      <c r="BC732" s="3"/>
      <c r="BD732" s="3"/>
      <c r="BE732" s="204"/>
      <c r="BF732" s="294">
        <f t="shared" si="10"/>
        <v>57</v>
      </c>
      <c r="BG732" s="297">
        <f t="shared" si="11"/>
        <v>0.17757009345794392</v>
      </c>
      <c r="BH732" s="298">
        <f t="shared" si="12"/>
        <v>0.12429906542056074</v>
      </c>
      <c r="BI732" s="3"/>
      <c r="BJ732" s="3"/>
      <c r="BK732" s="3"/>
      <c r="BL732" s="3"/>
      <c r="BM732" s="3"/>
      <c r="BN732" s="3"/>
      <c r="BS732" s="294">
        <f t="shared" si="13"/>
        <v>57</v>
      </c>
      <c r="BT732" s="297">
        <f t="shared" si="14"/>
        <v>0.17757009345794392</v>
      </c>
      <c r="BU732" s="298">
        <f t="shared" si="15"/>
        <v>0.12433094515008641</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57</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f t="shared" si="33"/>
        <v>2328</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2"/>
      <c r="L733" s="1603"/>
      <c r="M733" s="1603"/>
      <c r="N733" s="1604"/>
      <c r="O733" s="1469"/>
      <c r="P733" s="1470"/>
      <c r="Q733" s="1470"/>
      <c r="R733" s="1470"/>
      <c r="S733" s="1471"/>
      <c r="T733" s="1469"/>
      <c r="U733" s="1470"/>
      <c r="V733" s="1470"/>
      <c r="W733" s="1471"/>
      <c r="X733" s="1358">
        <f t="shared" si="8"/>
        <v>0</v>
      </c>
      <c r="Y733" s="1359"/>
      <c r="Z733" s="1359"/>
      <c r="AA733" s="1359"/>
      <c r="AB733" s="1360"/>
      <c r="AC733" s="1611"/>
      <c r="AD733" s="1612"/>
      <c r="AE733" s="1612"/>
      <c r="AF733" s="1612"/>
      <c r="AG733" s="1613"/>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2"/>
      <c r="L734" s="1603"/>
      <c r="M734" s="1603"/>
      <c r="N734" s="1604"/>
      <c r="O734" s="1469"/>
      <c r="P734" s="1470"/>
      <c r="Q734" s="1470"/>
      <c r="R734" s="1470"/>
      <c r="S734" s="1471"/>
      <c r="T734" s="1469"/>
      <c r="U734" s="1470"/>
      <c r="V734" s="1470"/>
      <c r="W734" s="1471"/>
      <c r="X734" s="1358">
        <f t="shared" si="8"/>
        <v>0</v>
      </c>
      <c r="Y734" s="1359"/>
      <c r="Z734" s="1359"/>
      <c r="AA734" s="1359"/>
      <c r="AB734" s="1360"/>
      <c r="AC734" s="1611"/>
      <c r="AD734" s="1612"/>
      <c r="AE734" s="1612"/>
      <c r="AF734" s="1612"/>
      <c r="AG734" s="1613"/>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2"/>
      <c r="L735" s="1603"/>
      <c r="M735" s="1603"/>
      <c r="N735" s="1604"/>
      <c r="O735" s="1469"/>
      <c r="P735" s="1470"/>
      <c r="Q735" s="1470"/>
      <c r="R735" s="1470"/>
      <c r="S735" s="1471"/>
      <c r="T735" s="1469"/>
      <c r="U735" s="1470"/>
      <c r="V735" s="1470"/>
      <c r="W735" s="1471"/>
      <c r="X735" s="1358">
        <f t="shared" si="8"/>
        <v>0</v>
      </c>
      <c r="Y735" s="1359"/>
      <c r="Z735" s="1359"/>
      <c r="AA735" s="1359"/>
      <c r="AB735" s="1360"/>
      <c r="AC735" s="1611"/>
      <c r="AD735" s="1612"/>
      <c r="AE735" s="1612"/>
      <c r="AF735" s="1612"/>
      <c r="AG735" s="1613"/>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2"/>
      <c r="L736" s="1603"/>
      <c r="M736" s="1603"/>
      <c r="N736" s="1604"/>
      <c r="O736" s="1469"/>
      <c r="P736" s="1470"/>
      <c r="Q736" s="1470"/>
      <c r="R736" s="1470"/>
      <c r="S736" s="1471"/>
      <c r="T736" s="1469"/>
      <c r="U736" s="1470"/>
      <c r="V736" s="1470"/>
      <c r="W736" s="1471"/>
      <c r="X736" s="1358">
        <f t="shared" si="8"/>
        <v>0</v>
      </c>
      <c r="Y736" s="1359"/>
      <c r="Z736" s="1359"/>
      <c r="AA736" s="1359"/>
      <c r="AB736" s="1360"/>
      <c r="AC736" s="1611"/>
      <c r="AD736" s="1612"/>
      <c r="AE736" s="1612"/>
      <c r="AF736" s="1612"/>
      <c r="AG736" s="1613"/>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2"/>
      <c r="L737" s="1603"/>
      <c r="M737" s="1603"/>
      <c r="N737" s="1604"/>
      <c r="O737" s="1469"/>
      <c r="P737" s="1470"/>
      <c r="Q737" s="1470"/>
      <c r="R737" s="1470"/>
      <c r="S737" s="1471"/>
      <c r="T737" s="1469"/>
      <c r="U737" s="1470"/>
      <c r="V737" s="1470"/>
      <c r="W737" s="1471"/>
      <c r="X737" s="1358">
        <f t="shared" si="8"/>
        <v>0</v>
      </c>
      <c r="Y737" s="1359"/>
      <c r="Z737" s="1359"/>
      <c r="AA737" s="1359"/>
      <c r="AB737" s="1360"/>
      <c r="AC737" s="1611"/>
      <c r="AD737" s="1612"/>
      <c r="AE737" s="1612"/>
      <c r="AF737" s="1612"/>
      <c r="AG737" s="1613"/>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2"/>
      <c r="L738" s="1603"/>
      <c r="M738" s="1603"/>
      <c r="N738" s="1604"/>
      <c r="O738" s="1469"/>
      <c r="P738" s="1470"/>
      <c r="Q738" s="1470"/>
      <c r="R738" s="1470"/>
      <c r="S738" s="1471"/>
      <c r="T738" s="1469"/>
      <c r="U738" s="1470"/>
      <c r="V738" s="1470"/>
      <c r="W738" s="1471"/>
      <c r="X738" s="1358">
        <f t="shared" si="8"/>
        <v>0</v>
      </c>
      <c r="Y738" s="1359"/>
      <c r="Z738" s="1359"/>
      <c r="AA738" s="1359"/>
      <c r="AB738" s="1360"/>
      <c r="AC738" s="1611"/>
      <c r="AD738" s="1612"/>
      <c r="AE738" s="1612"/>
      <c r="AF738" s="1612"/>
      <c r="AG738" s="1613"/>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2"/>
      <c r="L739" s="1603"/>
      <c r="M739" s="1603"/>
      <c r="N739" s="1604"/>
      <c r="O739" s="1469"/>
      <c r="P739" s="1470"/>
      <c r="Q739" s="1470"/>
      <c r="R739" s="1470"/>
      <c r="S739" s="1471"/>
      <c r="T739" s="1469"/>
      <c r="U739" s="1470"/>
      <c r="V739" s="1470"/>
      <c r="W739" s="1471"/>
      <c r="X739" s="1358">
        <f t="shared" si="8"/>
        <v>0</v>
      </c>
      <c r="Y739" s="1359"/>
      <c r="Z739" s="1359"/>
      <c r="AA739" s="1359"/>
      <c r="AB739" s="1360"/>
      <c r="AC739" s="1611"/>
      <c r="AD739" s="1612"/>
      <c r="AE739" s="1612"/>
      <c r="AF739" s="1612"/>
      <c r="AG739" s="1613"/>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2"/>
      <c r="L740" s="1603"/>
      <c r="M740" s="1603"/>
      <c r="N740" s="1604"/>
      <c r="O740" s="1469"/>
      <c r="P740" s="1470"/>
      <c r="Q740" s="1470"/>
      <c r="R740" s="1470"/>
      <c r="S740" s="1471"/>
      <c r="T740" s="1469"/>
      <c r="U740" s="1470"/>
      <c r="V740" s="1470"/>
      <c r="W740" s="1471"/>
      <c r="X740" s="1358">
        <f t="shared" si="8"/>
        <v>0</v>
      </c>
      <c r="Y740" s="1359"/>
      <c r="Z740" s="1359"/>
      <c r="AA740" s="1359"/>
      <c r="AB740" s="1360"/>
      <c r="AC740" s="1611"/>
      <c r="AD740" s="1612"/>
      <c r="AE740" s="1612"/>
      <c r="AF740" s="1612"/>
      <c r="AG740" s="1613"/>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2"/>
      <c r="L741" s="1603"/>
      <c r="M741" s="1603"/>
      <c r="N741" s="1604"/>
      <c r="O741" s="1469"/>
      <c r="P741" s="1470"/>
      <c r="Q741" s="1470"/>
      <c r="R741" s="1470"/>
      <c r="S741" s="1471"/>
      <c r="T741" s="1469"/>
      <c r="U741" s="1470"/>
      <c r="V741" s="1470"/>
      <c r="W741" s="1471"/>
      <c r="X741" s="1358">
        <f t="shared" si="8"/>
        <v>0</v>
      </c>
      <c r="Y741" s="1359"/>
      <c r="Z741" s="1359"/>
      <c r="AA741" s="1359"/>
      <c r="AB741" s="1360"/>
      <c r="AC741" s="1611"/>
      <c r="AD741" s="1612"/>
      <c r="AE741" s="1612"/>
      <c r="AF741" s="1612"/>
      <c r="AG741" s="1613"/>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2"/>
      <c r="L742" s="1603"/>
      <c r="M742" s="1603"/>
      <c r="N742" s="1604"/>
      <c r="O742" s="1469"/>
      <c r="P742" s="1470"/>
      <c r="Q742" s="1470"/>
      <c r="R742" s="1470"/>
      <c r="S742" s="1471"/>
      <c r="T742" s="1469"/>
      <c r="U742" s="1470"/>
      <c r="V742" s="1470"/>
      <c r="W742" s="1471"/>
      <c r="X742" s="1358">
        <f t="shared" ref="X742:X751" si="39">O742+T742</f>
        <v>0</v>
      </c>
      <c r="Y742" s="1359"/>
      <c r="Z742" s="1359"/>
      <c r="AA742" s="1359"/>
      <c r="AB742" s="1360"/>
      <c r="AC742" s="1611"/>
      <c r="AD742" s="1612"/>
      <c r="AE742" s="1612"/>
      <c r="AF742" s="1612"/>
      <c r="AG742" s="1613"/>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2"/>
      <c r="L743" s="1603"/>
      <c r="M743" s="1603"/>
      <c r="N743" s="1604"/>
      <c r="O743" s="1469"/>
      <c r="P743" s="1470"/>
      <c r="Q743" s="1470"/>
      <c r="R743" s="1470"/>
      <c r="S743" s="1471"/>
      <c r="T743" s="1469"/>
      <c r="U743" s="1470"/>
      <c r="V743" s="1470"/>
      <c r="W743" s="1471"/>
      <c r="X743" s="1358">
        <f t="shared" si="39"/>
        <v>0</v>
      </c>
      <c r="Y743" s="1359"/>
      <c r="Z743" s="1359"/>
      <c r="AA743" s="1359"/>
      <c r="AB743" s="1360"/>
      <c r="AC743" s="1611"/>
      <c r="AD743" s="1612"/>
      <c r="AE743" s="1612"/>
      <c r="AF743" s="1612"/>
      <c r="AG743" s="1613"/>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2"/>
      <c r="L744" s="1603"/>
      <c r="M744" s="1603"/>
      <c r="N744" s="1604"/>
      <c r="O744" s="1469"/>
      <c r="P744" s="1470"/>
      <c r="Q744" s="1470"/>
      <c r="R744" s="1470"/>
      <c r="S744" s="1471"/>
      <c r="T744" s="1469"/>
      <c r="U744" s="1470"/>
      <c r="V744" s="1470"/>
      <c r="W744" s="1471"/>
      <c r="X744" s="1358">
        <f t="shared" si="39"/>
        <v>0</v>
      </c>
      <c r="Y744" s="1359"/>
      <c r="Z744" s="1359"/>
      <c r="AA744" s="1359"/>
      <c r="AB744" s="1360"/>
      <c r="AC744" s="1611"/>
      <c r="AD744" s="1612"/>
      <c r="AE744" s="1612"/>
      <c r="AF744" s="1612"/>
      <c r="AG744" s="1613"/>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2"/>
      <c r="L745" s="1603"/>
      <c r="M745" s="1603"/>
      <c r="N745" s="1604"/>
      <c r="O745" s="1469"/>
      <c r="P745" s="1470"/>
      <c r="Q745" s="1470"/>
      <c r="R745" s="1470"/>
      <c r="S745" s="1471"/>
      <c r="T745" s="1469"/>
      <c r="U745" s="1470"/>
      <c r="V745" s="1470"/>
      <c r="W745" s="1471"/>
      <c r="X745" s="1358">
        <f t="shared" si="39"/>
        <v>0</v>
      </c>
      <c r="Y745" s="1359"/>
      <c r="Z745" s="1359"/>
      <c r="AA745" s="1359"/>
      <c r="AB745" s="1360"/>
      <c r="AC745" s="1611"/>
      <c r="AD745" s="1612"/>
      <c r="AE745" s="1612"/>
      <c r="AF745" s="1612"/>
      <c r="AG745" s="1613"/>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2"/>
      <c r="L746" s="1603"/>
      <c r="M746" s="1603"/>
      <c r="N746" s="1604"/>
      <c r="O746" s="1469"/>
      <c r="P746" s="1470"/>
      <c r="Q746" s="1470"/>
      <c r="R746" s="1470"/>
      <c r="S746" s="1471"/>
      <c r="T746" s="1469"/>
      <c r="U746" s="1470"/>
      <c r="V746" s="1470"/>
      <c r="W746" s="1471"/>
      <c r="X746" s="1358">
        <f t="shared" si="39"/>
        <v>0</v>
      </c>
      <c r="Y746" s="1359"/>
      <c r="Z746" s="1359"/>
      <c r="AA746" s="1359"/>
      <c r="AB746" s="1360"/>
      <c r="AC746" s="1611"/>
      <c r="AD746" s="1612"/>
      <c r="AE746" s="1612"/>
      <c r="AF746" s="1612"/>
      <c r="AG746" s="1613"/>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2"/>
      <c r="L747" s="1603"/>
      <c r="M747" s="1603"/>
      <c r="N747" s="1604"/>
      <c r="O747" s="1469"/>
      <c r="P747" s="1470"/>
      <c r="Q747" s="1470"/>
      <c r="R747" s="1470"/>
      <c r="S747" s="1471"/>
      <c r="T747" s="1469"/>
      <c r="U747" s="1470"/>
      <c r="V747" s="1470"/>
      <c r="W747" s="1471"/>
      <c r="X747" s="1358">
        <f t="shared" si="39"/>
        <v>0</v>
      </c>
      <c r="Y747" s="1359"/>
      <c r="Z747" s="1359"/>
      <c r="AA747" s="1359"/>
      <c r="AB747" s="1360"/>
      <c r="AC747" s="1611"/>
      <c r="AD747" s="1612"/>
      <c r="AE747" s="1612"/>
      <c r="AF747" s="1612"/>
      <c r="AG747" s="1613"/>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2"/>
      <c r="L748" s="1603"/>
      <c r="M748" s="1603"/>
      <c r="N748" s="1604"/>
      <c r="O748" s="1469"/>
      <c r="P748" s="1470"/>
      <c r="Q748" s="1470"/>
      <c r="R748" s="1470"/>
      <c r="S748" s="1471"/>
      <c r="T748" s="1469"/>
      <c r="U748" s="1470"/>
      <c r="V748" s="1470"/>
      <c r="W748" s="1471"/>
      <c r="X748" s="1358">
        <f t="shared" si="39"/>
        <v>0</v>
      </c>
      <c r="Y748" s="1359"/>
      <c r="Z748" s="1359"/>
      <c r="AA748" s="1359"/>
      <c r="AB748" s="1360"/>
      <c r="AC748" s="1611"/>
      <c r="AD748" s="1612"/>
      <c r="AE748" s="1612"/>
      <c r="AF748" s="1612"/>
      <c r="AG748" s="1613"/>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2"/>
      <c r="L749" s="1603"/>
      <c r="M749" s="1603"/>
      <c r="N749" s="1604"/>
      <c r="O749" s="1469"/>
      <c r="P749" s="1470"/>
      <c r="Q749" s="1470"/>
      <c r="R749" s="1470"/>
      <c r="S749" s="1471"/>
      <c r="T749" s="1469"/>
      <c r="U749" s="1470"/>
      <c r="V749" s="1470"/>
      <c r="W749" s="1471"/>
      <c r="X749" s="1358">
        <f t="shared" si="39"/>
        <v>0</v>
      </c>
      <c r="Y749" s="1359"/>
      <c r="Z749" s="1359"/>
      <c r="AA749" s="1359"/>
      <c r="AB749" s="1360"/>
      <c r="AC749" s="1611"/>
      <c r="AD749" s="1612"/>
      <c r="AE749" s="1612"/>
      <c r="AF749" s="1612"/>
      <c r="AG749" s="1613"/>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2"/>
      <c r="L750" s="1603"/>
      <c r="M750" s="1603"/>
      <c r="N750" s="1604"/>
      <c r="O750" s="1469"/>
      <c r="P750" s="1470"/>
      <c r="Q750" s="1470"/>
      <c r="R750" s="1470"/>
      <c r="S750" s="1471"/>
      <c r="T750" s="1469"/>
      <c r="U750" s="1470"/>
      <c r="V750" s="1470"/>
      <c r="W750" s="1471"/>
      <c r="X750" s="1358">
        <f t="shared" si="39"/>
        <v>0</v>
      </c>
      <c r="Y750" s="1359"/>
      <c r="Z750" s="1359"/>
      <c r="AA750" s="1359"/>
      <c r="AB750" s="1360"/>
      <c r="AC750" s="1611"/>
      <c r="AD750" s="1612"/>
      <c r="AE750" s="1612"/>
      <c r="AF750" s="1612"/>
      <c r="AG750" s="1613"/>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2"/>
      <c r="L751" s="1603"/>
      <c r="M751" s="1603"/>
      <c r="N751" s="1604"/>
      <c r="O751" s="1469"/>
      <c r="P751" s="1470"/>
      <c r="Q751" s="1470"/>
      <c r="R751" s="1470"/>
      <c r="S751" s="1471"/>
      <c r="T751" s="1469"/>
      <c r="U751" s="1470"/>
      <c r="V751" s="1470"/>
      <c r="W751" s="1471"/>
      <c r="X751" s="1358">
        <f t="shared" si="39"/>
        <v>0</v>
      </c>
      <c r="Y751" s="1359"/>
      <c r="Z751" s="1359"/>
      <c r="AA751" s="1359"/>
      <c r="AB751" s="1360"/>
      <c r="AC751" s="1611"/>
      <c r="AD751" s="1612"/>
      <c r="AE751" s="1612"/>
      <c r="AF751" s="1612"/>
      <c r="AG751" s="1613"/>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2"/>
      <c r="L752" s="1603"/>
      <c r="M752" s="1603"/>
      <c r="N752" s="1604"/>
      <c r="O752" s="1469"/>
      <c r="P752" s="1470"/>
      <c r="Q752" s="1470"/>
      <c r="R752" s="1470"/>
      <c r="S752" s="1471"/>
      <c r="T752" s="1469"/>
      <c r="U752" s="1470"/>
      <c r="V752" s="1470"/>
      <c r="W752" s="1471"/>
      <c r="X752" s="1358">
        <f>O752+T752</f>
        <v>0</v>
      </c>
      <c r="Y752" s="1359"/>
      <c r="Z752" s="1359"/>
      <c r="AA752" s="1359"/>
      <c r="AB752" s="1360"/>
      <c r="AC752" s="1611"/>
      <c r="AD752" s="1612"/>
      <c r="AE752" s="1612"/>
      <c r="AF752" s="1612"/>
      <c r="AG752" s="1613"/>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9" t="s">
        <v>125</v>
      </c>
      <c r="C753" s="1410"/>
      <c r="D753" s="1410"/>
      <c r="E753" s="1410"/>
      <c r="F753" s="1412"/>
      <c r="G753" s="1716">
        <f>SUM(G718:G752)</f>
        <v>321</v>
      </c>
      <c r="H753" s="1717"/>
      <c r="I753" s="1717"/>
      <c r="J753" s="1718"/>
      <c r="K753" s="902" t="s">
        <v>124</v>
      </c>
      <c r="L753" s="5"/>
      <c r="M753" s="5"/>
      <c r="N753" s="46"/>
      <c r="O753" s="1358">
        <f>SUMPRODUCT(G718:G752,O718:O752)</f>
        <v>554695</v>
      </c>
      <c r="P753" s="1359"/>
      <c r="Q753" s="1359"/>
      <c r="R753" s="1359"/>
      <c r="S753" s="1360"/>
      <c r="T753"/>
      <c r="U753"/>
      <c r="V753"/>
      <c r="W753"/>
      <c r="X753" s="904" t="s">
        <v>901</v>
      </c>
      <c r="Y753" s="903"/>
      <c r="Z753" s="903"/>
      <c r="AA753" s="903"/>
      <c r="AB753" s="905"/>
      <c r="AC753" s="1615">
        <f>BH753</f>
        <v>0.60000000000000009</v>
      </c>
      <c r="AD753" s="1616"/>
      <c r="AE753" s="1616"/>
      <c r="AF753" s="1616"/>
      <c r="AG753" s="1617"/>
      <c r="AH753" s="1615">
        <f>IFERROR(BU753,"")</f>
        <v>0.60004978818445465</v>
      </c>
      <c r="AI753" s="1616"/>
      <c r="AJ753" s="1617"/>
      <c r="AK753"/>
      <c r="AL753"/>
      <c r="AM753"/>
      <c r="AN753"/>
      <c r="AO753"/>
      <c r="AP753" s="205"/>
      <c r="AQ753" s="205"/>
      <c r="AR753" s="205"/>
      <c r="AS753" s="205"/>
      <c r="AT753"/>
      <c r="AU753"/>
      <c r="AV753"/>
      <c r="AW753"/>
      <c r="AX753"/>
      <c r="AY753"/>
      <c r="AZ753" s="34"/>
      <c r="BA753" s="34"/>
      <c r="BB753" s="34"/>
      <c r="BC753" s="34"/>
      <c r="BE753" s="290" t="s">
        <v>900</v>
      </c>
      <c r="BF753" s="299">
        <f>SUM(BF718:BF752)</f>
        <v>321</v>
      </c>
      <c r="BG753" s="300">
        <f>SUM(BG718:BG752)</f>
        <v>1</v>
      </c>
      <c r="BH753" s="300">
        <f>SUM(BH718:BH752)</f>
        <v>0.60000000000000009</v>
      </c>
      <c r="BI753"/>
      <c r="BJ753"/>
      <c r="BK753"/>
      <c r="BL753"/>
      <c r="BO753"/>
      <c r="BP753"/>
      <c r="BQ753"/>
      <c r="BR753"/>
      <c r="BS753" s="859">
        <f>SUM(BS718:BS752)</f>
        <v>321</v>
      </c>
      <c r="BT753" s="300">
        <f>SUM(BT718:BT752)</f>
        <v>1</v>
      </c>
      <c r="BU753" s="300">
        <f>SUM(BU718:BU752)</f>
        <v>0.60004978818445465</v>
      </c>
      <c r="CI753" s="1351">
        <f>SUM(CI718:CJ752)</f>
        <v>57</v>
      </c>
      <c r="CJ753" s="1353"/>
      <c r="CM753" s="1351">
        <f>SUM(CM718:CN752)</f>
        <v>34</v>
      </c>
      <c r="CN753" s="1353"/>
      <c r="CP753" s="1351">
        <f>SUM(CP718:CT752)</f>
        <v>0</v>
      </c>
      <c r="CQ753" s="1352"/>
      <c r="CR753" s="1352"/>
      <c r="CS753" s="1352"/>
      <c r="CT753" s="1353"/>
      <c r="CU753" s="1367">
        <f>SUM(CU718:CY752)</f>
        <v>77</v>
      </c>
      <c r="CV753" s="1367"/>
      <c r="CW753" s="1367"/>
      <c r="CX753" s="1367"/>
      <c r="CY753" s="1367"/>
      <c r="CZ753" s="1367">
        <f>SUM(CZ718:DD752)</f>
        <v>163</v>
      </c>
      <c r="DA753" s="1367"/>
      <c r="DB753" s="1367"/>
      <c r="DC753" s="1367"/>
      <c r="DD753" s="1367"/>
      <c r="DE753" s="1367">
        <f>SUM(DE718:DI752)</f>
        <v>81</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7</v>
      </c>
      <c r="EA753" s="1367"/>
      <c r="EB753" s="1367"/>
      <c r="EC753" s="1367"/>
      <c r="ED753" s="1367"/>
      <c r="EE753" s="1367">
        <f>SUM(EE718:EI752)</f>
        <v>19</v>
      </c>
      <c r="EF753" s="1367"/>
      <c r="EG753" s="1367"/>
      <c r="EH753" s="1367"/>
      <c r="EI753" s="1367"/>
      <c r="EJ753" s="1367">
        <f>SUM(EJ718:EN752)</f>
        <v>8</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5727</v>
      </c>
      <c r="FF753" s="1367"/>
      <c r="FG753" s="1367"/>
      <c r="FH753" s="1367"/>
      <c r="FI753" s="1367"/>
      <c r="FJ753" s="1367">
        <f>SUM(FJ718:FN752)</f>
        <v>6886</v>
      </c>
      <c r="FK753" s="1367"/>
      <c r="FL753" s="1367"/>
      <c r="FM753" s="1367"/>
      <c r="FN753" s="1367"/>
      <c r="FO753" s="1367">
        <f>SUM(FO718:FS752)</f>
        <v>7963</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0" t="s">
        <v>1894</v>
      </c>
      <c r="C754" s="1720"/>
      <c r="D754" s="1720"/>
      <c r="E754" s="1720"/>
      <c r="F754" s="1720"/>
      <c r="G754" s="1720"/>
      <c r="H754" s="1720"/>
      <c r="I754" s="1720"/>
      <c r="J754" s="1720"/>
      <c r="K754" s="1720"/>
      <c r="L754" s="1720"/>
      <c r="M754" s="1720"/>
      <c r="N754" s="1720"/>
      <c r="O754" s="1720"/>
      <c r="P754" s="1720"/>
      <c r="Q754" s="1720"/>
      <c r="R754" s="1720"/>
      <c r="S754" s="1720"/>
      <c r="T754" s="1720"/>
      <c r="U754" s="1720"/>
      <c r="V754" s="1720"/>
      <c r="W754" s="1720"/>
      <c r="X754" s="1720"/>
      <c r="Y754" s="1720"/>
      <c r="Z754" s="1720"/>
      <c r="AA754" s="1720"/>
      <c r="AB754" s="1720"/>
      <c r="AC754" s="1720"/>
      <c r="AD754" s="1720"/>
      <c r="AE754" s="1720"/>
      <c r="AF754" s="1720"/>
      <c r="AG754" s="1720"/>
      <c r="AH754" s="1720"/>
      <c r="AI754"/>
      <c r="AJ754"/>
      <c r="AK754"/>
      <c r="AT754"/>
      <c r="AU754"/>
      <c r="AV754"/>
      <c r="AW754"/>
      <c r="AX754"/>
      <c r="AY754"/>
      <c r="CD754"/>
      <c r="DN754" s="56" t="s">
        <v>1861</v>
      </c>
      <c r="DO754" s="1351">
        <f>CP753+CU753+CZ753+DE753+DJ753+DO753</f>
        <v>321</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0"/>
      <c r="C755" s="1720"/>
      <c r="D755" s="1720"/>
      <c r="E755" s="1720"/>
      <c r="F755" s="1720"/>
      <c r="G755" s="1720"/>
      <c r="H755" s="1720"/>
      <c r="I755" s="1720"/>
      <c r="J755" s="1720"/>
      <c r="K755" s="1720"/>
      <c r="L755" s="1720"/>
      <c r="M755" s="1720"/>
      <c r="N755" s="1720"/>
      <c r="O755" s="1720"/>
      <c r="P755" s="1720"/>
      <c r="Q755" s="1720"/>
      <c r="R755" s="1720"/>
      <c r="S755" s="1720"/>
      <c r="T755" s="1720"/>
      <c r="U755" s="1720"/>
      <c r="V755" s="1720"/>
      <c r="W755" s="1720"/>
      <c r="X755" s="1720"/>
      <c r="Y755" s="1720"/>
      <c r="Z755" s="1720"/>
      <c r="AA755" s="1720"/>
      <c r="AB755" s="1720"/>
      <c r="AC755" s="1720"/>
      <c r="AD755" s="1720"/>
      <c r="AE755" s="1720"/>
      <c r="AF755" s="1720"/>
      <c r="AG755" s="1720"/>
      <c r="AH755" s="17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77</v>
      </c>
      <c r="CZ755" s="3"/>
      <c r="DA755" s="3"/>
      <c r="DB755" s="3"/>
      <c r="DC755" s="3"/>
      <c r="DD755" s="861">
        <f>CZ753*2</f>
        <v>326</v>
      </c>
      <c r="DE755" s="3"/>
      <c r="DF755" s="3"/>
      <c r="DG755" s="3"/>
      <c r="DH755" s="3"/>
      <c r="DI755" s="861">
        <f>DE753*3</f>
        <v>243</v>
      </c>
      <c r="DJ755" s="3"/>
      <c r="DK755" s="3"/>
      <c r="DL755" s="3"/>
      <c r="DM755" s="3"/>
      <c r="DN755" s="861">
        <f>DJ753*4</f>
        <v>0</v>
      </c>
      <c r="DO755" s="3"/>
      <c r="DP755" s="3"/>
      <c r="DQ755" s="3"/>
      <c r="DR755" s="3"/>
      <c r="DS755" s="861">
        <f>DO753*5</f>
        <v>0</v>
      </c>
      <c r="DU755" s="861">
        <f>CT755+CY755+DD755+DI755+DN755+DS755</f>
        <v>646</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646</v>
      </c>
      <c r="P756" s="1367"/>
      <c r="Q756" s="1367"/>
      <c r="R756" s="1367"/>
      <c r="S756" s="969"/>
      <c r="T756" s="969"/>
      <c r="U756" s="118" t="s">
        <v>1893</v>
      </c>
      <c r="V756" s="1032"/>
      <c r="W756" s="1032"/>
      <c r="X756" s="1032"/>
      <c r="Y756" s="1033"/>
      <c r="Z756" s="1033"/>
      <c r="AA756" s="1033"/>
      <c r="AB756" s="1033"/>
      <c r="AC756" s="1032"/>
      <c r="AD756" s="1032"/>
      <c r="AE756" s="1032"/>
      <c r="AF756" s="1032"/>
      <c r="AG756" s="1712">
        <v>0</v>
      </c>
      <c r="AH756" s="1712"/>
      <c r="AI756" s="1712"/>
      <c r="AJ756" s="1712"/>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19" t="s">
        <v>592</v>
      </c>
      <c r="AE759" s="1719"/>
      <c r="AF759" s="1719"/>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5" t="s">
        <v>389</v>
      </c>
      <c r="K769" s="1496"/>
      <c r="L769" s="1496"/>
      <c r="M769" s="1496"/>
      <c r="N769" s="1497"/>
      <c r="O769" s="1600" t="s">
        <v>285</v>
      </c>
      <c r="P769" s="1600"/>
      <c r="Q769" s="1600"/>
      <c r="R769" s="1600"/>
      <c r="S769" s="1600"/>
      <c r="T769" s="1512" t="s">
        <v>1680</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8"/>
      <c r="K770" s="1499"/>
      <c r="L770" s="1499"/>
      <c r="M770" s="1499"/>
      <c r="N770" s="1500"/>
      <c r="O770" s="1600"/>
      <c r="P770" s="1600"/>
      <c r="Q770" s="1600"/>
      <c r="R770" s="1600"/>
      <c r="S770" s="1600"/>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8"/>
      <c r="K771" s="1499"/>
      <c r="L771" s="1499"/>
      <c r="M771" s="1499"/>
      <c r="N771" s="1500"/>
      <c r="O771" s="1600"/>
      <c r="P771" s="1600"/>
      <c r="Q771" s="1600"/>
      <c r="R771" s="1600"/>
      <c r="S771" s="1600"/>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1"/>
      <c r="K772" s="1502"/>
      <c r="L772" s="1502"/>
      <c r="M772" s="1502"/>
      <c r="N772" s="1503"/>
      <c r="O772" s="1600"/>
      <c r="P772" s="1600"/>
      <c r="Q772" s="1600"/>
      <c r="R772" s="1600"/>
      <c r="S772" s="1600"/>
      <c r="T772" s="1608"/>
      <c r="U772" s="1609"/>
      <c r="V772" s="1609"/>
      <c r="W772" s="1610"/>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5">
        <v>3</v>
      </c>
      <c r="P773" s="1465"/>
      <c r="Q773" s="1465"/>
      <c r="R773" s="1465"/>
      <c r="S773" s="1465"/>
      <c r="T773" s="1602">
        <v>845</v>
      </c>
      <c r="U773" s="1603"/>
      <c r="V773" s="1603"/>
      <c r="W773" s="1604"/>
      <c r="X773" s="1469">
        <v>2500</v>
      </c>
      <c r="Y773" s="1470"/>
      <c r="Z773" s="1470"/>
      <c r="AA773" s="1470"/>
      <c r="AB773" s="1471"/>
      <c r="AC773" s="1358">
        <f>X773*O773</f>
        <v>7500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3</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5"/>
      <c r="P774" s="1465"/>
      <c r="Q774" s="1465"/>
      <c r="R774" s="1465"/>
      <c r="S774" s="1465"/>
      <c r="T774" s="1602"/>
      <c r="U774" s="1603"/>
      <c r="V774" s="1603"/>
      <c r="W774" s="1604"/>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5"/>
      <c r="P775" s="1465"/>
      <c r="Q775" s="1465"/>
      <c r="R775" s="1465"/>
      <c r="S775" s="1465"/>
      <c r="T775" s="1602"/>
      <c r="U775" s="1603"/>
      <c r="V775" s="1603"/>
      <c r="W775" s="1604"/>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5"/>
      <c r="P776" s="1465"/>
      <c r="Q776" s="1465"/>
      <c r="R776" s="1465"/>
      <c r="S776" s="1465"/>
      <c r="T776" s="1602"/>
      <c r="U776" s="1603"/>
      <c r="V776" s="1603"/>
      <c r="W776" s="1604"/>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9" t="s">
        <v>125</v>
      </c>
      <c r="K777" s="1410"/>
      <c r="L777" s="1410"/>
      <c r="M777" s="1410"/>
      <c r="N777" s="1412"/>
      <c r="O777" s="1335">
        <f>SUM(O773:S776)</f>
        <v>3</v>
      </c>
      <c r="P777" s="1336"/>
      <c r="Q777" s="1336"/>
      <c r="R777" s="1336"/>
      <c r="S777" s="1337"/>
      <c r="X777" s="1409" t="s">
        <v>124</v>
      </c>
      <c r="Y777" s="1410"/>
      <c r="Z777" s="1410"/>
      <c r="AA777" s="1410"/>
      <c r="AB777" s="1412"/>
      <c r="AC777" s="1358">
        <f>SUM(AC773:AG776)</f>
        <v>7500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3</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3</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6</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6</v>
      </c>
      <c r="DV778" s="57" t="s">
        <v>1862</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5" t="s">
        <v>389</v>
      </c>
      <c r="K783" s="1496"/>
      <c r="L783" s="1496"/>
      <c r="M783" s="1496"/>
      <c r="N783" s="1497"/>
      <c r="O783" s="1600" t="s">
        <v>285</v>
      </c>
      <c r="P783" s="1600"/>
      <c r="Q783" s="1600"/>
      <c r="R783" s="1600"/>
      <c r="S783" s="1600"/>
      <c r="T783" s="1512" t="s">
        <v>1680</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8"/>
      <c r="K784" s="1499"/>
      <c r="L784" s="1499"/>
      <c r="M784" s="1499"/>
      <c r="N784" s="1500"/>
      <c r="O784" s="1600"/>
      <c r="P784" s="1600"/>
      <c r="Q784" s="1600"/>
      <c r="R784" s="1600"/>
      <c r="S784" s="1600"/>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8"/>
      <c r="K785" s="1499"/>
      <c r="L785" s="1499"/>
      <c r="M785" s="1499"/>
      <c r="N785" s="1500"/>
      <c r="O785" s="1600"/>
      <c r="P785" s="1600"/>
      <c r="Q785" s="1600"/>
      <c r="R785" s="1600"/>
      <c r="S785" s="1600"/>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1"/>
      <c r="K786" s="1502"/>
      <c r="L786" s="1502"/>
      <c r="M786" s="1502"/>
      <c r="N786" s="1503"/>
      <c r="O786" s="1600"/>
      <c r="P786" s="1600"/>
      <c r="Q786" s="1600"/>
      <c r="R786" s="1600"/>
      <c r="S786" s="1600"/>
      <c r="T786" s="1608"/>
      <c r="U786" s="1609"/>
      <c r="V786" s="1609"/>
      <c r="W786" s="1610"/>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5"/>
      <c r="P787" s="1465"/>
      <c r="Q787" s="1465"/>
      <c r="R787" s="1465"/>
      <c r="S787" s="1465"/>
      <c r="T787" s="1602"/>
      <c r="U787" s="1603"/>
      <c r="V787" s="1603"/>
      <c r="W787" s="1604"/>
      <c r="X787" s="1469"/>
      <c r="Y787" s="1470"/>
      <c r="Z787" s="1470"/>
      <c r="AA787" s="1470"/>
      <c r="AB787" s="1471"/>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5"/>
      <c r="P788" s="1465"/>
      <c r="Q788" s="1465"/>
      <c r="R788" s="1465"/>
      <c r="S788" s="1465"/>
      <c r="T788" s="1602"/>
      <c r="U788" s="1603"/>
      <c r="V788" s="1603"/>
      <c r="W788" s="1604"/>
      <c r="X788" s="1469"/>
      <c r="Y788" s="1470"/>
      <c r="Z788" s="1470"/>
      <c r="AA788" s="1470"/>
      <c r="AB788" s="1471"/>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5"/>
      <c r="P789" s="1465"/>
      <c r="Q789" s="1465"/>
      <c r="R789" s="1465"/>
      <c r="S789" s="1465"/>
      <c r="T789" s="1602"/>
      <c r="U789" s="1603"/>
      <c r="V789" s="1603"/>
      <c r="W789" s="1604"/>
      <c r="X789" s="1469"/>
      <c r="Y789" s="1470"/>
      <c r="Z789" s="1470"/>
      <c r="AA789" s="1470"/>
      <c r="AB789" s="1471"/>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5"/>
      <c r="P790" s="1465"/>
      <c r="Q790" s="1465"/>
      <c r="R790" s="1465"/>
      <c r="S790" s="1465"/>
      <c r="T790" s="1602"/>
      <c r="U790" s="1603"/>
      <c r="V790" s="1603"/>
      <c r="W790" s="1604"/>
      <c r="X790" s="1469"/>
      <c r="Y790" s="1470"/>
      <c r="Z790" s="1470"/>
      <c r="AA790" s="1470"/>
      <c r="AB790" s="1471"/>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5"/>
      <c r="P791" s="1465"/>
      <c r="Q791" s="1465"/>
      <c r="R791" s="1465"/>
      <c r="S791" s="1465"/>
      <c r="T791" s="1602"/>
      <c r="U791" s="1603"/>
      <c r="V791" s="1603"/>
      <c r="W791" s="1604"/>
      <c r="X791" s="1469"/>
      <c r="Y791" s="1470"/>
      <c r="Z791" s="1470"/>
      <c r="AA791" s="1470"/>
      <c r="AB791" s="1471"/>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5"/>
      <c r="P792" s="1465"/>
      <c r="Q792" s="1465"/>
      <c r="R792" s="1465"/>
      <c r="S792" s="1465"/>
      <c r="T792" s="1602"/>
      <c r="U792" s="1603"/>
      <c r="V792" s="1603"/>
      <c r="W792" s="1604"/>
      <c r="X792" s="1469"/>
      <c r="Y792" s="1470"/>
      <c r="Z792" s="1470"/>
      <c r="AA792" s="1470"/>
      <c r="AB792" s="1471"/>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5"/>
      <c r="P793" s="1465"/>
      <c r="Q793" s="1465"/>
      <c r="R793" s="1465"/>
      <c r="S793" s="1465"/>
      <c r="T793" s="1602"/>
      <c r="U793" s="1603"/>
      <c r="V793" s="1603"/>
      <c r="W793" s="1604"/>
      <c r="X793" s="1469"/>
      <c r="Y793" s="1470"/>
      <c r="Z793" s="1470"/>
      <c r="AA793" s="1470"/>
      <c r="AB793" s="1471"/>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5"/>
      <c r="P794" s="1465"/>
      <c r="Q794" s="1465"/>
      <c r="R794" s="1465"/>
      <c r="S794" s="1465"/>
      <c r="T794" s="1602"/>
      <c r="U794" s="1603"/>
      <c r="V794" s="1603"/>
      <c r="W794" s="1604"/>
      <c r="X794" s="1469"/>
      <c r="Y794" s="1470"/>
      <c r="Z794" s="1470"/>
      <c r="AA794" s="1470"/>
      <c r="AB794" s="1471"/>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5"/>
      <c r="P795" s="1465"/>
      <c r="Q795" s="1465"/>
      <c r="R795" s="1465"/>
      <c r="S795" s="1465"/>
      <c r="T795" s="1602"/>
      <c r="U795" s="1603"/>
      <c r="V795" s="1603"/>
      <c r="W795" s="1604"/>
      <c r="X795" s="1469"/>
      <c r="Y795" s="1470"/>
      <c r="Z795" s="1470"/>
      <c r="AA795" s="1470"/>
      <c r="AB795" s="1471"/>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5"/>
      <c r="P796" s="1465"/>
      <c r="Q796" s="1465"/>
      <c r="R796" s="1465"/>
      <c r="S796" s="1465"/>
      <c r="T796" s="1602"/>
      <c r="U796" s="1603"/>
      <c r="V796" s="1603"/>
      <c r="W796" s="1604"/>
      <c r="X796" s="1469"/>
      <c r="Y796" s="1470"/>
      <c r="Z796" s="1470"/>
      <c r="AA796" s="1470"/>
      <c r="AB796" s="1471"/>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9" t="s">
        <v>125</v>
      </c>
      <c r="K797" s="1410"/>
      <c r="L797" s="1410"/>
      <c r="M797" s="1410"/>
      <c r="N797" s="1412"/>
      <c r="O797" s="1622">
        <f>SUM(O787:S796)</f>
        <v>0</v>
      </c>
      <c r="P797" s="1622"/>
      <c r="Q797" s="1622"/>
      <c r="R797" s="1622"/>
      <c r="S797" s="1622"/>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9">
        <f>O753+AC777+AC797</f>
        <v>562195</v>
      </c>
      <c r="Z800" s="1599"/>
      <c r="AA800" s="1599"/>
      <c r="AB800" s="1599"/>
      <c r="AC800" s="159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9">
        <f>(O753+AC777+AC797)*12</f>
        <v>6746340</v>
      </c>
      <c r="Z801" s="1599"/>
      <c r="AA801" s="1599"/>
      <c r="AB801" s="1599"/>
      <c r="AC801" s="159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77</v>
      </c>
      <c r="CV802" s="1349"/>
      <c r="CW802" s="1349"/>
      <c r="CX802" s="1349"/>
      <c r="CY802" s="1350"/>
      <c r="CZ802" s="1348">
        <f>CZ753+CZ777+CZ797</f>
        <v>166</v>
      </c>
      <c r="DA802" s="1349"/>
      <c r="DB802" s="1349"/>
      <c r="DC802" s="1349"/>
      <c r="DD802" s="1350"/>
      <c r="DE802" s="1348">
        <f>DE753+DE777+DE797</f>
        <v>81</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646</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1">
        <v>8</v>
      </c>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5">
        <v>20</v>
      </c>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c r="AA808" s="1522"/>
      <c r="AB808" s="1522"/>
      <c r="AC808" s="1522"/>
      <c r="AD808" s="1522"/>
      <c r="AE808" s="16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207744</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155520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0" t="s">
        <v>334</v>
      </c>
      <c r="Q816" s="1641"/>
      <c r="R816" s="1641"/>
      <c r="S816" s="1641"/>
      <c r="T816" s="1641"/>
      <c r="U816" s="1641"/>
      <c r="V816" s="1641"/>
      <c r="W816" s="1641"/>
      <c r="X816" s="1641"/>
      <c r="Y816" s="1642"/>
      <c r="Z816" s="1476"/>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155520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3">
        <f>Z817+Y801+Z809</f>
        <v>7109604</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5" t="s">
        <v>126</v>
      </c>
      <c r="N823" s="1685"/>
      <c r="O823" s="1685"/>
      <c r="P823" s="1686"/>
      <c r="Q823" s="1619" t="s">
        <v>290</v>
      </c>
      <c r="R823" s="1619"/>
      <c r="S823" s="1619"/>
      <c r="T823" s="1619"/>
      <c r="U823" s="1619" t="s">
        <v>291</v>
      </c>
      <c r="V823" s="1619"/>
      <c r="W823" s="1619"/>
      <c r="X823" s="1619"/>
      <c r="Y823" s="1619" t="s">
        <v>292</v>
      </c>
      <c r="Z823" s="1619"/>
      <c r="AA823" s="1619"/>
      <c r="AB823" s="1619"/>
      <c r="AC823" s="1619" t="s">
        <v>361</v>
      </c>
      <c r="AD823" s="1619"/>
      <c r="AE823" s="1619"/>
      <c r="AF823" s="1619"/>
      <c r="AG823" s="1614" t="s">
        <v>335</v>
      </c>
      <c r="AH823" s="1614"/>
      <c r="AI823" s="1614"/>
      <c r="AJ823" s="1614"/>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7"/>
      <c r="N824" s="1687"/>
      <c r="O824" s="1687"/>
      <c r="P824" s="1688"/>
      <c r="Q824" s="1619"/>
      <c r="R824" s="1619"/>
      <c r="S824" s="1619"/>
      <c r="T824" s="1619"/>
      <c r="U824" s="1619"/>
      <c r="V824" s="1619"/>
      <c r="W824" s="1619"/>
      <c r="X824" s="1619"/>
      <c r="Y824" s="1619"/>
      <c r="Z824" s="1619"/>
      <c r="AA824" s="1619"/>
      <c r="AB824" s="1619"/>
      <c r="AC824" s="1619"/>
      <c r="AD824" s="1619"/>
      <c r="AE824" s="1619"/>
      <c r="AF824" s="1619"/>
      <c r="AG824" s="1614"/>
      <c r="AH824" s="1614"/>
      <c r="AI824" s="1614"/>
      <c r="AJ824" s="1614"/>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1" t="s">
        <v>40</v>
      </c>
      <c r="D825" s="1484"/>
      <c r="E825" s="1484"/>
      <c r="F825" s="1484"/>
      <c r="G825" s="1484"/>
      <c r="H825" s="1484"/>
      <c r="I825" s="48"/>
      <c r="J825" s="48"/>
      <c r="K825" s="48"/>
      <c r="L825" s="49"/>
      <c r="M825" s="1598"/>
      <c r="N825" s="1598"/>
      <c r="O825" s="1598"/>
      <c r="P825" s="1598"/>
      <c r="Q825" s="1598"/>
      <c r="R825" s="1598"/>
      <c r="S825" s="1598"/>
      <c r="T825" s="1598"/>
      <c r="U825" s="1598"/>
      <c r="V825" s="1598"/>
      <c r="W825" s="1598"/>
      <c r="X825" s="1598"/>
      <c r="Y825" s="1598"/>
      <c r="Z825" s="1598"/>
      <c r="AA825" s="1598"/>
      <c r="AB825" s="1598"/>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5" t="s">
        <v>41</v>
      </c>
      <c r="D826" s="1442"/>
      <c r="E826" s="1442"/>
      <c r="F826" s="1442"/>
      <c r="G826" s="1442"/>
      <c r="H826" s="1442"/>
      <c r="I826" s="5"/>
      <c r="J826" s="5"/>
      <c r="K826" s="5"/>
      <c r="L826" s="46"/>
      <c r="M826" s="1598"/>
      <c r="N826" s="1598"/>
      <c r="O826" s="1598"/>
      <c r="P826" s="1598"/>
      <c r="Q826" s="1598"/>
      <c r="R826" s="1598"/>
      <c r="S826" s="1598"/>
      <c r="T826" s="1598"/>
      <c r="U826" s="1598"/>
      <c r="V826" s="1598"/>
      <c r="W826" s="1598"/>
      <c r="X826" s="1598"/>
      <c r="Y826" s="1598"/>
      <c r="Z826" s="1598"/>
      <c r="AA826" s="1598"/>
      <c r="AB826" s="1598"/>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5" t="s">
        <v>42</v>
      </c>
      <c r="D827" s="1442"/>
      <c r="E827" s="1442"/>
      <c r="F827" s="1442"/>
      <c r="G827" s="1442"/>
      <c r="H827" s="1442"/>
      <c r="I827" s="60"/>
      <c r="J827" s="60"/>
      <c r="K827" s="60"/>
      <c r="L827" s="61"/>
      <c r="M827" s="1598"/>
      <c r="N827" s="1598"/>
      <c r="O827" s="1598"/>
      <c r="P827" s="1598"/>
      <c r="Q827" s="1598"/>
      <c r="R827" s="1598"/>
      <c r="S827" s="1598"/>
      <c r="T827" s="1598"/>
      <c r="U827" s="1598"/>
      <c r="V827" s="1598"/>
      <c r="W827" s="1598"/>
      <c r="X827" s="1598"/>
      <c r="Y827" s="1598"/>
      <c r="Z827" s="1598"/>
      <c r="AA827" s="1598"/>
      <c r="AB827" s="1598"/>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5" t="s">
        <v>763</v>
      </c>
      <c r="D828" s="1442"/>
      <c r="E828" s="1442"/>
      <c r="F828" s="1442"/>
      <c r="G828" s="1442"/>
      <c r="H828" s="1442"/>
      <c r="I828" s="60"/>
      <c r="J828" s="60"/>
      <c r="K828" s="60"/>
      <c r="L828" s="61"/>
      <c r="M828" s="1598"/>
      <c r="N828" s="1598"/>
      <c r="O828" s="1598"/>
      <c r="P828" s="1598"/>
      <c r="Q828" s="1598"/>
      <c r="R828" s="1598"/>
      <c r="S828" s="1598"/>
      <c r="T828" s="1598"/>
      <c r="U828" s="1598"/>
      <c r="V828" s="1598"/>
      <c r="W828" s="1598"/>
      <c r="X828" s="1598"/>
      <c r="Y828" s="1598"/>
      <c r="Z828" s="1598"/>
      <c r="AA828" s="1598"/>
      <c r="AB828" s="1598"/>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5" t="s">
        <v>460</v>
      </c>
      <c r="D829" s="1442"/>
      <c r="E829" s="1442"/>
      <c r="F829" s="1442"/>
      <c r="G829" s="1442"/>
      <c r="H829" s="1442"/>
      <c r="I829" s="60"/>
      <c r="J829" s="60"/>
      <c r="K829" s="60"/>
      <c r="L829" s="61"/>
      <c r="M829" s="1598"/>
      <c r="N829" s="1598"/>
      <c r="O829" s="1598"/>
      <c r="P829" s="1598"/>
      <c r="Q829" s="1598"/>
      <c r="R829" s="1598"/>
      <c r="S829" s="1598"/>
      <c r="T829" s="1598"/>
      <c r="U829" s="1598"/>
      <c r="V829" s="1598"/>
      <c r="W829" s="1598"/>
      <c r="X829" s="1598"/>
      <c r="Y829" s="1598"/>
      <c r="Z829" s="1598"/>
      <c r="AA829" s="1598"/>
      <c r="AB829" s="1598"/>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99" t="s">
        <v>784</v>
      </c>
      <c r="D830" s="1442"/>
      <c r="E830" s="1442"/>
      <c r="F830" s="1442"/>
      <c r="G830" s="1442"/>
      <c r="H830" s="1442"/>
      <c r="I830" s="60"/>
      <c r="J830" s="60"/>
      <c r="K830" s="60"/>
      <c r="L830" s="61"/>
      <c r="M830" s="1598"/>
      <c r="N830" s="1598"/>
      <c r="O830" s="1598"/>
      <c r="P830" s="1598"/>
      <c r="Q830" s="1598"/>
      <c r="R830" s="1598"/>
      <c r="S830" s="1598"/>
      <c r="T830" s="1598"/>
      <c r="U830" s="1598"/>
      <c r="V830" s="1598"/>
      <c r="W830" s="1598"/>
      <c r="X830" s="1598"/>
      <c r="Y830" s="1598"/>
      <c r="Z830" s="1598"/>
      <c r="AA830" s="1598"/>
      <c r="AB830" s="1598"/>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0" t="s">
        <v>2730</v>
      </c>
      <c r="G831" s="1641"/>
      <c r="H831" s="1641"/>
      <c r="I831" s="1641"/>
      <c r="J831" s="1641"/>
      <c r="K831" s="1641"/>
      <c r="L831" s="1641"/>
      <c r="M831" s="1598"/>
      <c r="N831" s="1598"/>
      <c r="O831" s="1598"/>
      <c r="P831" s="1598"/>
      <c r="Q831" s="1598">
        <v>12</v>
      </c>
      <c r="R831" s="1598"/>
      <c r="S831" s="1598"/>
      <c r="T831" s="1598"/>
      <c r="U831" s="1598">
        <v>12</v>
      </c>
      <c r="V831" s="1598"/>
      <c r="W831" s="1598"/>
      <c r="X831" s="1598"/>
      <c r="Y831" s="1598">
        <v>12</v>
      </c>
      <c r="Z831" s="1598"/>
      <c r="AA831" s="1598"/>
      <c r="AB831" s="1598"/>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47">
        <f>SUM(M825:P831)</f>
        <v>0</v>
      </c>
      <c r="N832" s="1647"/>
      <c r="O832" s="1647"/>
      <c r="P832" s="1647"/>
      <c r="Q832" s="1647">
        <f>SUM(Q825:T831)</f>
        <v>12</v>
      </c>
      <c r="R832" s="1647"/>
      <c r="S832" s="1647"/>
      <c r="T832" s="1647"/>
      <c r="U832" s="1647">
        <f>SUM(U825:X831)</f>
        <v>12</v>
      </c>
      <c r="V832" s="1647"/>
      <c r="W832" s="1647"/>
      <c r="X832" s="1647"/>
      <c r="Y832" s="1647">
        <f>SUM(Y825:AB831)</f>
        <v>12</v>
      </c>
      <c r="Z832" s="1647"/>
      <c r="AA832" s="1647"/>
      <c r="AB832" s="1647"/>
      <c r="AC832" s="1647">
        <f>SUM(AC825:AF831)</f>
        <v>0</v>
      </c>
      <c r="AD832" s="1647"/>
      <c r="AE832" s="1647"/>
      <c r="AF832" s="1647"/>
      <c r="AG832" s="1647">
        <f>SUM(AG825:AJ831)</f>
        <v>0</v>
      </c>
      <c r="AH832" s="1647"/>
      <c r="AI832" s="1647"/>
      <c r="AJ832" s="164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3" t="s">
        <v>2713</v>
      </c>
      <c r="D837" s="1654"/>
      <c r="E837" s="1654"/>
      <c r="F837" s="1654"/>
      <c r="G837" s="1654"/>
      <c r="H837" s="1654"/>
      <c r="I837" s="1654"/>
      <c r="J837" s="1654"/>
      <c r="K837" s="1654"/>
      <c r="L837" s="1654"/>
      <c r="M837" s="1654"/>
      <c r="N837" s="1654"/>
      <c r="O837" s="1654"/>
      <c r="P837" s="1654"/>
      <c r="Q837" s="1654"/>
      <c r="R837" s="1654"/>
      <c r="S837" s="1654"/>
      <c r="T837" s="1654"/>
      <c r="U837" s="1654"/>
      <c r="V837" s="1654"/>
      <c r="W837" s="1654"/>
      <c r="X837" s="1654"/>
      <c r="Y837" s="1654"/>
      <c r="Z837" s="1654"/>
      <c r="AA837" s="1654"/>
      <c r="AB837" s="1654"/>
      <c r="AC837" s="1654"/>
      <c r="AD837" s="1654"/>
      <c r="AE837" s="1654"/>
      <c r="AF837" s="1654"/>
      <c r="AG837" s="1654"/>
      <c r="AH837" s="1654"/>
      <c r="AI837" s="1654"/>
      <c r="AJ837" s="1655"/>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6">
        <v>4860</v>
      </c>
      <c r="X842" s="1636"/>
      <c r="Y842" s="1636"/>
      <c r="Z842" s="1636"/>
      <c r="AA842" s="1636"/>
      <c r="AB842" s="1636"/>
      <c r="AC842" s="1636"/>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6"/>
      <c r="X843" s="1636"/>
      <c r="Y843" s="1636"/>
      <c r="Z843" s="1636"/>
      <c r="AA843" s="1636"/>
      <c r="AB843" s="1636"/>
      <c r="AC843" s="1636"/>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6">
        <v>13608</v>
      </c>
      <c r="X844" s="1636"/>
      <c r="Y844" s="1636"/>
      <c r="Z844" s="1636"/>
      <c r="AA844" s="1636"/>
      <c r="AB844" s="1636"/>
      <c r="AC844" s="1636"/>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6">
        <v>11340</v>
      </c>
      <c r="X845" s="1636"/>
      <c r="Y845" s="1636"/>
      <c r="Z845" s="1636"/>
      <c r="AA845" s="1636"/>
      <c r="AB845" s="1636"/>
      <c r="AC845" s="1636"/>
      <c r="AZ845" s="30"/>
      <c r="BA845" s="30"/>
      <c r="BB845" s="14"/>
      <c r="BC845" s="14"/>
      <c r="BD845" s="14"/>
      <c r="BE845" s="14"/>
      <c r="BF845" s="14"/>
      <c r="BG845" s="14"/>
      <c r="BH845" s="14"/>
      <c r="BI845" s="14"/>
      <c r="BJ845" s="14"/>
      <c r="BK845" s="14"/>
      <c r="BL845" s="14"/>
    </row>
    <row r="846" spans="1:64" ht="12.95" customHeight="1">
      <c r="J846" s="45" t="s">
        <v>170</v>
      </c>
      <c r="K846" s="5"/>
      <c r="L846" s="5"/>
      <c r="M846" s="1640" t="s">
        <v>2720</v>
      </c>
      <c r="N846" s="1641"/>
      <c r="O846" s="1641"/>
      <c r="P846" s="1641"/>
      <c r="Q846" s="1641"/>
      <c r="R846" s="1641"/>
      <c r="S846" s="1641"/>
      <c r="T846" s="1641"/>
      <c r="U846" s="1641"/>
      <c r="V846" s="1642"/>
      <c r="W846" s="1636">
        <v>96228</v>
      </c>
      <c r="X846" s="1636"/>
      <c r="Y846" s="1636"/>
      <c r="Z846" s="1636"/>
      <c r="AA846" s="1636"/>
      <c r="AB846" s="1636"/>
      <c r="AC846" s="1636"/>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3">
        <f>SUM(W842:W846)</f>
        <v>126036</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2"/>
      <c r="BH848" s="1632"/>
      <c r="BI848" s="1632"/>
      <c r="BJ848" s="1632"/>
      <c r="BK848" s="1632"/>
      <c r="BL848" s="1632"/>
    </row>
    <row r="849" spans="3:55" ht="12.95" customHeight="1">
      <c r="C849" s="2" t="s">
        <v>344</v>
      </c>
      <c r="J849" s="1409" t="s">
        <v>345</v>
      </c>
      <c r="K849" s="1410"/>
      <c r="L849" s="1410"/>
      <c r="M849" s="1410"/>
      <c r="N849" s="1410"/>
      <c r="O849" s="1410"/>
      <c r="P849" s="1410"/>
      <c r="Q849" s="1410"/>
      <c r="R849" s="1410"/>
      <c r="S849" s="1410"/>
      <c r="T849" s="1410"/>
      <c r="U849" s="1410"/>
      <c r="V849" s="1412"/>
      <c r="W849" s="1476">
        <v>202624</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618"/>
      <c r="BA851" s="1618"/>
      <c r="BB851" s="14"/>
      <c r="BC851" s="14"/>
    </row>
    <row r="852" spans="3:55" ht="12.95"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354456</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652">
        <f>SUM(W851:W854)</f>
        <v>354456</v>
      </c>
      <c r="X855" s="1652"/>
      <c r="Y855" s="1652"/>
      <c r="Z855" s="1652"/>
      <c r="AA855" s="1652"/>
      <c r="AB855" s="1652"/>
      <c r="AC855" s="1652"/>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8">
        <v>125846</v>
      </c>
      <c r="X857" s="1649"/>
      <c r="Y857" s="1649"/>
      <c r="Z857" s="1649"/>
      <c r="AA857" s="1649"/>
      <c r="AB857" s="1649"/>
      <c r="AC857" s="1650"/>
      <c r="AD857" s="528"/>
      <c r="AZ857" s="34"/>
      <c r="BA857" s="34"/>
      <c r="BB857" s="34"/>
      <c r="BC857" s="34"/>
    </row>
    <row r="858" spans="3:55" ht="12.95" customHeight="1">
      <c r="C858" s="2" t="s">
        <v>347</v>
      </c>
      <c r="J858" s="121" t="s">
        <v>1656</v>
      </c>
      <c r="K858" s="5"/>
      <c r="L858" s="5"/>
      <c r="M858" s="5"/>
      <c r="N858" s="5"/>
      <c r="O858" s="5"/>
      <c r="P858" s="5"/>
      <c r="Q858" s="5"/>
      <c r="R858" s="5"/>
      <c r="S858" s="5"/>
      <c r="T858" s="1634">
        <v>7</v>
      </c>
      <c r="U858" s="1597"/>
      <c r="V858" s="1635"/>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8">
        <v>261629</v>
      </c>
      <c r="X859" s="1649"/>
      <c r="Y859" s="1649"/>
      <c r="Z859" s="1649"/>
      <c r="AA859" s="1649"/>
      <c r="AB859" s="1649"/>
      <c r="AC859" s="1650"/>
      <c r="AD859" s="533"/>
      <c r="AZ859" s="34"/>
      <c r="BA859" s="34"/>
      <c r="BB859" s="34"/>
      <c r="BC859" s="34"/>
    </row>
    <row r="860" spans="3:55" ht="12.95" customHeight="1">
      <c r="C860" s="2"/>
      <c r="J860" s="121" t="s">
        <v>1657</v>
      </c>
      <c r="K860" s="5"/>
      <c r="L860" s="5"/>
      <c r="M860" s="5"/>
      <c r="N860" s="5"/>
      <c r="O860" s="5"/>
      <c r="P860" s="5"/>
      <c r="Q860" s="5"/>
      <c r="R860" s="5"/>
      <c r="S860" s="5"/>
      <c r="T860" s="1634"/>
      <c r="U860" s="1597"/>
      <c r="V860" s="1635"/>
      <c r="W860" s="874"/>
      <c r="X860" s="875"/>
      <c r="Y860" s="875"/>
      <c r="Z860" s="875"/>
      <c r="AA860" s="875"/>
      <c r="AB860" s="875"/>
      <c r="AC860" s="876"/>
      <c r="AD860" s="533"/>
      <c r="AZ860" s="34"/>
      <c r="BA860" s="34"/>
      <c r="BB860" s="34"/>
      <c r="BC860" s="34"/>
    </row>
    <row r="861" spans="3:55" ht="12.95" customHeight="1">
      <c r="J861" s="45" t="s">
        <v>170</v>
      </c>
      <c r="K861" s="5"/>
      <c r="L861" s="5"/>
      <c r="M861" s="1640" t="s">
        <v>2714</v>
      </c>
      <c r="N861" s="1641"/>
      <c r="O861" s="1641"/>
      <c r="P861" s="1641"/>
      <c r="Q861" s="1641"/>
      <c r="R861" s="1641"/>
      <c r="S861" s="1641"/>
      <c r="T861" s="1641"/>
      <c r="U861" s="1641"/>
      <c r="V861" s="1642"/>
      <c r="W861" s="1648">
        <v>201233</v>
      </c>
      <c r="X861" s="1649"/>
      <c r="Y861" s="1649"/>
      <c r="Z861" s="1649"/>
      <c r="AA861" s="1649"/>
      <c r="AB861" s="1649"/>
      <c r="AC861" s="1650"/>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7">
        <f>SUM(W857:W861)</f>
        <v>588708</v>
      </c>
      <c r="X862" s="1638"/>
      <c r="Y862" s="1638"/>
      <c r="Z862" s="1638"/>
      <c r="AA862" s="1638"/>
      <c r="AB862" s="1638"/>
      <c r="AC862" s="1639"/>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8">
        <v>170100</v>
      </c>
      <c r="X863" s="1649"/>
      <c r="Y863" s="1649"/>
      <c r="Z863" s="1649"/>
      <c r="AA863" s="1649"/>
      <c r="AB863" s="1649"/>
      <c r="AC863" s="1650"/>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6">
        <v>38556</v>
      </c>
      <c r="X865" s="1636"/>
      <c r="Y865" s="1636"/>
      <c r="Z865" s="1636"/>
      <c r="AA865" s="1636"/>
      <c r="AB865" s="1636"/>
      <c r="AC865" s="1636"/>
      <c r="AU865" s="14"/>
      <c r="AZ865" s="34"/>
      <c r="BA865" s="34"/>
      <c r="BB865" s="34"/>
      <c r="BC865" s="34"/>
    </row>
    <row r="866" spans="3:55" ht="12.95" customHeight="1">
      <c r="J866" s="45" t="s">
        <v>523</v>
      </c>
      <c r="K866" s="5"/>
      <c r="L866" s="5"/>
      <c r="M866" s="5"/>
      <c r="N866" s="5"/>
      <c r="O866" s="5"/>
      <c r="P866" s="5"/>
      <c r="Q866" s="5"/>
      <c r="R866" s="5"/>
      <c r="S866" s="5"/>
      <c r="T866" s="5"/>
      <c r="U866" s="5"/>
      <c r="V866" s="46"/>
      <c r="W866" s="1636">
        <v>112428</v>
      </c>
      <c r="X866" s="1636"/>
      <c r="Y866" s="1636"/>
      <c r="Z866" s="1636"/>
      <c r="AA866" s="1636"/>
      <c r="AB866" s="1636"/>
      <c r="AC866" s="1636"/>
      <c r="AU866" s="4"/>
      <c r="AZ866" s="34"/>
      <c r="BA866" s="34"/>
      <c r="BB866" s="34"/>
      <c r="BC866" s="34"/>
    </row>
    <row r="867" spans="3:55" ht="12.95" customHeight="1">
      <c r="J867" s="45" t="s">
        <v>522</v>
      </c>
      <c r="K867" s="5"/>
      <c r="L867" s="5"/>
      <c r="M867" s="5"/>
      <c r="N867" s="5"/>
      <c r="O867" s="5"/>
      <c r="P867" s="5"/>
      <c r="Q867" s="5"/>
      <c r="R867" s="5"/>
      <c r="S867" s="5"/>
      <c r="T867" s="5"/>
      <c r="U867" s="5"/>
      <c r="V867" s="46"/>
      <c r="W867" s="1636"/>
      <c r="X867" s="1636"/>
      <c r="Y867" s="1636"/>
      <c r="Z867" s="1636"/>
      <c r="AA867" s="1636"/>
      <c r="AB867" s="1636"/>
      <c r="AC867" s="1636"/>
      <c r="AU867" s="4"/>
      <c r="AZ867" s="34"/>
      <c r="BA867" s="34"/>
      <c r="BB867" s="34"/>
      <c r="BC867" s="34"/>
    </row>
    <row r="868" spans="3:55" ht="12.95" customHeight="1">
      <c r="J868" s="45" t="s">
        <v>521</v>
      </c>
      <c r="K868" s="5"/>
      <c r="L868" s="5"/>
      <c r="M868" s="5"/>
      <c r="N868" s="5"/>
      <c r="O868" s="5"/>
      <c r="P868" s="5"/>
      <c r="Q868" s="5"/>
      <c r="R868" s="5"/>
      <c r="S868" s="5"/>
      <c r="T868" s="5"/>
      <c r="U868" s="5"/>
      <c r="V868" s="46"/>
      <c r="W868" s="1636"/>
      <c r="X868" s="1636"/>
      <c r="Y868" s="1636"/>
      <c r="Z868" s="1636"/>
      <c r="AA868" s="1636"/>
      <c r="AB868" s="1636"/>
      <c r="AC868" s="1636"/>
      <c r="AU868" s="4"/>
      <c r="AZ868" s="34"/>
      <c r="BA868" s="34"/>
      <c r="BB868" s="34"/>
      <c r="BC868" s="34"/>
    </row>
    <row r="869" spans="3:55" ht="12.95" customHeight="1">
      <c r="J869" s="45" t="s">
        <v>520</v>
      </c>
      <c r="K869" s="5"/>
      <c r="L869" s="5"/>
      <c r="M869" s="5"/>
      <c r="N869" s="5"/>
      <c r="O869" s="5"/>
      <c r="P869" s="5"/>
      <c r="Q869" s="5"/>
      <c r="R869" s="5"/>
      <c r="S869" s="5"/>
      <c r="T869" s="5"/>
      <c r="U869" s="5"/>
      <c r="V869" s="46"/>
      <c r="W869" s="1636">
        <v>80352</v>
      </c>
      <c r="X869" s="1636"/>
      <c r="Y869" s="1636"/>
      <c r="Z869" s="1636"/>
      <c r="AA869" s="1636"/>
      <c r="AB869" s="1636"/>
      <c r="AC869" s="1636"/>
      <c r="AU869" s="4"/>
      <c r="AZ869" s="34"/>
      <c r="BA869" s="34"/>
      <c r="BB869" s="34"/>
      <c r="BC869" s="34"/>
    </row>
    <row r="870" spans="3:55" ht="12.95" customHeight="1">
      <c r="J870" s="45" t="s">
        <v>519</v>
      </c>
      <c r="K870" s="5"/>
      <c r="L870" s="5"/>
      <c r="M870" s="5"/>
      <c r="N870" s="5"/>
      <c r="O870" s="5"/>
      <c r="P870" s="5"/>
      <c r="Q870" s="5"/>
      <c r="R870" s="5"/>
      <c r="S870" s="5"/>
      <c r="T870" s="5"/>
      <c r="U870" s="5"/>
      <c r="V870" s="46"/>
      <c r="W870" s="1636"/>
      <c r="X870" s="1636"/>
      <c r="Y870" s="1636"/>
      <c r="Z870" s="1636"/>
      <c r="AA870" s="1636"/>
      <c r="AB870" s="1636"/>
      <c r="AC870" s="1636"/>
      <c r="AU870" s="4"/>
      <c r="AZ870" s="34"/>
      <c r="BA870" s="34"/>
      <c r="BB870" s="34"/>
      <c r="BC870" s="34"/>
    </row>
    <row r="871" spans="3:55" ht="12.95" customHeight="1">
      <c r="J871" s="45" t="s">
        <v>170</v>
      </c>
      <c r="K871" s="5"/>
      <c r="L871" s="5"/>
      <c r="M871" s="1640" t="s">
        <v>334</v>
      </c>
      <c r="N871" s="1641"/>
      <c r="O871" s="1641"/>
      <c r="P871" s="1641"/>
      <c r="Q871" s="1641"/>
      <c r="R871" s="1641"/>
      <c r="S871" s="1641"/>
      <c r="T871" s="1641"/>
      <c r="U871" s="1641"/>
      <c r="V871" s="1642"/>
      <c r="W871" s="1636"/>
      <c r="X871" s="1636"/>
      <c r="Y871" s="1636"/>
      <c r="Z871" s="1636"/>
      <c r="AA871" s="1636"/>
      <c r="AB871" s="1636"/>
      <c r="AC871" s="1636"/>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9">
        <f>SUM(W865:W871)</f>
        <v>231336</v>
      </c>
      <c r="X872" s="1599"/>
      <c r="Y872" s="1599"/>
      <c r="Z872" s="1599"/>
      <c r="AA872" s="1599"/>
      <c r="AB872" s="1599"/>
      <c r="AC872" s="1599"/>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0" t="s">
        <v>2721</v>
      </c>
      <c r="N874" s="1641"/>
      <c r="O874" s="1641"/>
      <c r="P874" s="1641"/>
      <c r="Q874" s="1641"/>
      <c r="R874" s="1641"/>
      <c r="S874" s="1641"/>
      <c r="T874" s="1641"/>
      <c r="U874" s="1641"/>
      <c r="V874" s="1642"/>
      <c r="W874" s="1476">
        <v>39528</v>
      </c>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40" t="s">
        <v>2722</v>
      </c>
      <c r="N875" s="1641"/>
      <c r="O875" s="1641"/>
      <c r="P875" s="1641"/>
      <c r="Q875" s="1641"/>
      <c r="R875" s="1641"/>
      <c r="S875" s="1641"/>
      <c r="T875" s="1641"/>
      <c r="U875" s="1641"/>
      <c r="V875" s="1642"/>
      <c r="W875" s="1476">
        <v>3240</v>
      </c>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0" t="s">
        <v>334</v>
      </c>
      <c r="N876" s="1641"/>
      <c r="O876" s="1641"/>
      <c r="P876" s="1641"/>
      <c r="Q876" s="1641"/>
      <c r="R876" s="1641"/>
      <c r="S876" s="1641"/>
      <c r="T876" s="1641"/>
      <c r="U876" s="1641"/>
      <c r="V876" s="1642"/>
      <c r="W876" s="1476"/>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0" t="s">
        <v>334</v>
      </c>
      <c r="N877" s="1641"/>
      <c r="O877" s="1641"/>
      <c r="P877" s="1641"/>
      <c r="Q877" s="1641"/>
      <c r="R877" s="1641"/>
      <c r="S877" s="1641"/>
      <c r="T877" s="1641"/>
      <c r="U877" s="1641"/>
      <c r="V877" s="1642"/>
      <c r="W877" s="1476"/>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0" t="s">
        <v>334</v>
      </c>
      <c r="N878" s="1641"/>
      <c r="O878" s="1641"/>
      <c r="P878" s="1641"/>
      <c r="Q878" s="1641"/>
      <c r="R878" s="1641"/>
      <c r="S878" s="1641"/>
      <c r="T878" s="1641"/>
      <c r="U878" s="1641"/>
      <c r="V878" s="1642"/>
      <c r="W878" s="1476"/>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3">
        <f>SUM(W874:W878)</f>
        <v>42768</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1716028</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3">
        <f>O797+O777+G753</f>
        <v>324</v>
      </c>
      <c r="AD884" s="1643"/>
      <c r="AE884" s="1643"/>
      <c r="AF884" s="1643"/>
      <c r="AG884" s="1643"/>
      <c r="AH884" s="1644"/>
      <c r="AL884" s="4"/>
      <c r="AM884" s="4"/>
      <c r="AN884" s="4"/>
      <c r="AO884" s="4"/>
      <c r="AP884" s="4"/>
      <c r="AQ884" s="4"/>
      <c r="AR884" s="4"/>
      <c r="AS884" s="4"/>
      <c r="AT884" s="4"/>
      <c r="AZ884" s="34"/>
      <c r="BA884" s="34"/>
      <c r="BB884" s="34"/>
      <c r="BC884" s="34"/>
    </row>
    <row r="885" spans="3:55" ht="12.95" customHeight="1">
      <c r="C885" s="41"/>
      <c r="D885" s="42"/>
      <c r="E885" s="1707" t="s">
        <v>32</v>
      </c>
      <c r="F885" s="1707"/>
      <c r="G885" s="1707"/>
      <c r="H885" s="1707"/>
      <c r="I885" s="1707"/>
      <c r="J885" s="1707"/>
      <c r="K885" s="1707"/>
      <c r="L885" s="1707"/>
      <c r="M885" s="1707"/>
      <c r="N885" s="1707"/>
      <c r="O885" s="1707"/>
      <c r="P885" s="1707"/>
      <c r="Q885" s="1707"/>
      <c r="R885" s="1707"/>
      <c r="S885" s="1707"/>
      <c r="T885" s="1707"/>
      <c r="U885" s="1707"/>
      <c r="V885" s="1707"/>
      <c r="W885" s="1707"/>
      <c r="X885" s="1707"/>
      <c r="Y885" s="1707"/>
      <c r="Z885" s="1707"/>
      <c r="AA885" s="1707"/>
      <c r="AB885" s="1708"/>
      <c r="AC885" s="1599">
        <f>IF(ISERROR((ROUNDDOWN(AC883/AC884,0))),0,(ROUNDDOWN(AC883/AC884,0)))</f>
        <v>5296</v>
      </c>
      <c r="AD885" s="1599"/>
      <c r="AE885" s="1599"/>
      <c r="AF885" s="1599"/>
      <c r="AG885" s="1599"/>
      <c r="AH885" s="1599"/>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5">
        <v>1579477</v>
      </c>
      <c r="AD886" s="1646"/>
      <c r="AE886" s="1646"/>
      <c r="AF886" s="1646"/>
      <c r="AG886" s="1646"/>
      <c r="AH886" s="164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6"/>
      <c r="AE887" s="1636"/>
      <c r="AF887" s="1636"/>
      <c r="AG887" s="1636"/>
      <c r="AH887" s="1636"/>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43100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97200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1"/>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102973</v>
      </c>
      <c r="AD891" s="1338"/>
      <c r="AE891" s="1338"/>
      <c r="AF891" s="1338"/>
      <c r="AG891" s="1338"/>
      <c r="AH891" s="1339"/>
      <c r="AZ891" s="34"/>
      <c r="BA891" s="34"/>
      <c r="BB891" s="34"/>
      <c r="BC891" s="34"/>
    </row>
    <row r="892" spans="3:55" ht="12.95"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4" t="s">
        <v>957</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36"/>
      <c r="AD894" s="1636"/>
      <c r="AE894" s="1636"/>
      <c r="AF894" s="1636"/>
      <c r="AG894" s="1636"/>
      <c r="AH894" s="1636"/>
      <c r="AZ894" s="34"/>
      <c r="BA894" s="34"/>
      <c r="BB894" s="34"/>
      <c r="BC894" s="34"/>
    </row>
    <row r="895" spans="3:55" ht="12.95" customHeight="1">
      <c r="C895" s="1664" t="s">
        <v>957</v>
      </c>
      <c r="D895" s="1665"/>
      <c r="E895" s="1665"/>
      <c r="F895" s="1665"/>
      <c r="G895" s="1665"/>
      <c r="H895" s="1665"/>
      <c r="I895" s="1665"/>
      <c r="J895" s="1665"/>
      <c r="K895" s="1665"/>
      <c r="L895" s="1665"/>
      <c r="M895" s="1665"/>
      <c r="N895" s="1665"/>
      <c r="O895" s="1665"/>
      <c r="P895" s="1665"/>
      <c r="Q895" s="1665"/>
      <c r="R895" s="1665"/>
      <c r="S895" s="1665"/>
      <c r="T895" s="1665"/>
      <c r="U895" s="1665"/>
      <c r="V895" s="1665"/>
      <c r="W895" s="1665"/>
      <c r="X895" s="1665"/>
      <c r="Y895" s="1665"/>
      <c r="Z895" s="1665"/>
      <c r="AA895" s="1665"/>
      <c r="AB895" s="1666"/>
      <c r="AC895" s="1636"/>
      <c r="AD895" s="1636"/>
      <c r="AE895" s="1636"/>
      <c r="AF895" s="1636"/>
      <c r="AG895" s="1636"/>
      <c r="AH895" s="1636"/>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6"/>
      <c r="AA899" s="1338"/>
      <c r="AB899" s="1338"/>
      <c r="AC899" s="1338"/>
      <c r="AD899" s="1338"/>
      <c r="AE899" s="1339"/>
      <c r="AF899" s="533"/>
      <c r="AZ899" s="34"/>
      <c r="BB899" s="30"/>
      <c r="BC899" s="816"/>
      <c r="BD899" s="1633"/>
      <c r="BE899" s="1633"/>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6"/>
      <c r="AA900" s="1338"/>
      <c r="AB900" s="1338"/>
      <c r="AC900" s="1338"/>
      <c r="AD900" s="1338"/>
      <c r="AE900" s="1339"/>
      <c r="AZ900" s="34"/>
      <c r="BB900" s="30"/>
      <c r="BC900" s="816"/>
      <c r="BD900" s="1633"/>
      <c r="BE900" s="1633"/>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6"/>
      <c r="AA901" s="1338"/>
      <c r="AB901" s="1338"/>
      <c r="AC901" s="1338"/>
      <c r="AD901" s="1338"/>
      <c r="AE901" s="1339"/>
      <c r="AZ901" s="34"/>
      <c r="BB901" s="30"/>
      <c r="BC901" s="816"/>
      <c r="BD901" s="1632"/>
      <c r="BE901" s="1632"/>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2"/>
      <c r="BE902" s="1632"/>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2"/>
      <c r="BE903" s="1632"/>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3"/>
      <c r="BE904" s="1632"/>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2"/>
      <c r="BE905" s="1662"/>
      <c r="BF905" s="1662"/>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2"/>
      <c r="BE907" s="1632"/>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3"/>
      <c r="BE908" s="1632"/>
      <c r="BF908" s="14"/>
    </row>
    <row r="909" spans="1:58" ht="12.95" customHeight="1">
      <c r="AZ909" s="34"/>
      <c r="BB909" s="30"/>
      <c r="BC909" s="816"/>
    </row>
    <row r="910" spans="1:58" ht="12.9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3"/>
      <c r="BE910" s="1632"/>
      <c r="BF910" s="911"/>
    </row>
    <row r="911" spans="1:58" ht="12.9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09" t="s">
        <v>793</v>
      </c>
      <c r="G915" s="1710"/>
      <c r="H915" s="1710"/>
      <c r="I915" s="1710"/>
      <c r="J915" s="1710"/>
      <c r="K915" s="1710"/>
      <c r="L915" s="1710"/>
      <c r="M915" s="1710"/>
      <c r="N915" s="1710"/>
      <c r="O915" s="1710"/>
      <c r="P915" s="1710"/>
      <c r="Q915" s="1710"/>
      <c r="R915" s="1710"/>
      <c r="S915" s="1710"/>
      <c r="T915" s="1711"/>
      <c r="U915" s="1752" t="s">
        <v>31</v>
      </c>
      <c r="V915" s="1685"/>
      <c r="W915" s="1685"/>
      <c r="X915" s="1685"/>
      <c r="Y915" s="1685"/>
      <c r="Z915" s="1685"/>
      <c r="AA915" s="43"/>
      <c r="AB915" s="105"/>
      <c r="AC915" s="105"/>
      <c r="AD915" s="105"/>
      <c r="AE915" s="105"/>
      <c r="AF915" s="106"/>
      <c r="AZ915" s="34"/>
      <c r="BA915" s="34"/>
      <c r="BB915" s="34"/>
      <c r="BC915" s="34"/>
    </row>
    <row r="916" spans="1:58" ht="12.95" customHeight="1">
      <c r="B916" s="2"/>
      <c r="F916" s="1753" t="s">
        <v>819</v>
      </c>
      <c r="G916" s="1754"/>
      <c r="H916" s="1754"/>
      <c r="I916" s="1754"/>
      <c r="J916" s="1754"/>
      <c r="K916" s="1754"/>
      <c r="L916" s="1754"/>
      <c r="M916" s="1754"/>
      <c r="N916" s="1754"/>
      <c r="O916" s="1754"/>
      <c r="P916" s="1754"/>
      <c r="Q916" s="1754"/>
      <c r="R916" s="1754"/>
      <c r="S916" s="1754"/>
      <c r="T916" s="1776"/>
      <c r="U916" s="1753"/>
      <c r="V916" s="1754"/>
      <c r="W916" s="1754"/>
      <c r="X916" s="1754"/>
      <c r="Y916" s="1754"/>
      <c r="Z916" s="1754"/>
      <c r="AA916" s="44"/>
      <c r="AB916" s="4"/>
      <c r="AC916" s="4"/>
      <c r="AD916" s="4"/>
      <c r="AE916" s="4"/>
      <c r="AF916" s="107"/>
      <c r="AZ916" s="34"/>
      <c r="BA916" s="34"/>
      <c r="BB916" s="34"/>
      <c r="BC916" s="34"/>
    </row>
    <row r="917" spans="1:58" ht="12.95" customHeight="1">
      <c r="B917" s="2"/>
      <c r="F917" s="1755"/>
      <c r="G917" s="1687"/>
      <c r="H917" s="1687"/>
      <c r="I917" s="1687"/>
      <c r="J917" s="1687"/>
      <c r="K917" s="1687"/>
      <c r="L917" s="1687"/>
      <c r="M917" s="1687"/>
      <c r="N917" s="1687"/>
      <c r="O917" s="1687"/>
      <c r="P917" s="1687"/>
      <c r="Q917" s="1687"/>
      <c r="R917" s="1687"/>
      <c r="S917" s="1687"/>
      <c r="T917" s="1688"/>
      <c r="U917" s="1755"/>
      <c r="V917" s="1687"/>
      <c r="W917" s="1687"/>
      <c r="X917" s="1687"/>
      <c r="Y917" s="1687"/>
      <c r="Z917" s="1687"/>
      <c r="AA917" s="108"/>
      <c r="AB917" s="1432" t="s">
        <v>391</v>
      </c>
      <c r="AC917" s="1432"/>
      <c r="AD917" s="1432"/>
      <c r="AE917" s="1432"/>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6" t="s">
        <v>592</v>
      </c>
      <c r="V918" s="1428"/>
      <c r="W918" s="1428"/>
      <c r="X918" s="1428"/>
      <c r="Y918" s="1428"/>
      <c r="Z918" s="1429"/>
      <c r="AA918" s="1630"/>
      <c r="AB918" s="1526"/>
      <c r="AC918" s="1526"/>
      <c r="AD918" s="1526"/>
      <c r="AE918" s="1526"/>
      <c r="AF918" s="1631"/>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6" t="s">
        <v>592</v>
      </c>
      <c r="V919" s="1428"/>
      <c r="W919" s="1428"/>
      <c r="X919" s="1428"/>
      <c r="Y919" s="1428"/>
      <c r="Z919" s="1429"/>
      <c r="AA919" s="1630"/>
      <c r="AB919" s="1526"/>
      <c r="AC919" s="1526"/>
      <c r="AD919" s="1526"/>
      <c r="AE919" s="1526"/>
      <c r="AF919" s="1631"/>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6" t="s">
        <v>592</v>
      </c>
      <c r="V920" s="1428"/>
      <c r="W920" s="1428"/>
      <c r="X920" s="1428"/>
      <c r="Y920" s="1428"/>
      <c r="Z920" s="1429"/>
      <c r="AA920" s="1630"/>
      <c r="AB920" s="1526"/>
      <c r="AC920" s="1526"/>
      <c r="AD920" s="1526"/>
      <c r="AE920" s="1526"/>
      <c r="AF920" s="1631"/>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6" t="s">
        <v>592</v>
      </c>
      <c r="V921" s="1428"/>
      <c r="W921" s="1428"/>
      <c r="X921" s="1428"/>
      <c r="Y921" s="1428"/>
      <c r="Z921" s="1429"/>
      <c r="AA921" s="1630"/>
      <c r="AB921" s="1526"/>
      <c r="AC921" s="1526"/>
      <c r="AD921" s="1526"/>
      <c r="AE921" s="1526"/>
      <c r="AF921" s="1631"/>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6" t="s">
        <v>592</v>
      </c>
      <c r="V922" s="1428"/>
      <c r="W922" s="1428"/>
      <c r="X922" s="1428"/>
      <c r="Y922" s="1428"/>
      <c r="Z922" s="1429"/>
      <c r="AA922" s="1630"/>
      <c r="AB922" s="1526"/>
      <c r="AC922" s="1526"/>
      <c r="AD922" s="1526"/>
      <c r="AE922" s="1526"/>
      <c r="AF922" s="1631"/>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6" t="s">
        <v>592</v>
      </c>
      <c r="V923" s="1428"/>
      <c r="W923" s="1428"/>
      <c r="X923" s="1428"/>
      <c r="Y923" s="1428"/>
      <c r="Z923" s="1429"/>
      <c r="AA923" s="1630"/>
      <c r="AB923" s="1526"/>
      <c r="AC923" s="1526"/>
      <c r="AD923" s="1526"/>
      <c r="AE923" s="1526"/>
      <c r="AF923" s="1631"/>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6" t="s">
        <v>592</v>
      </c>
      <c r="V924" s="1428"/>
      <c r="W924" s="1428"/>
      <c r="X924" s="1428"/>
      <c r="Y924" s="1428"/>
      <c r="Z924" s="1429"/>
      <c r="AA924" s="1630"/>
      <c r="AB924" s="1526"/>
      <c r="AC924" s="1526"/>
      <c r="AD924" s="1526"/>
      <c r="AE924" s="1526"/>
      <c r="AF924" s="1631"/>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6" t="s">
        <v>592</v>
      </c>
      <c r="V925" s="1428"/>
      <c r="W925" s="1428"/>
      <c r="X925" s="1428"/>
      <c r="Y925" s="1428"/>
      <c r="Z925" s="1429"/>
      <c r="AA925" s="1630"/>
      <c r="AB925" s="1526"/>
      <c r="AC925" s="1526"/>
      <c r="AD925" s="1526"/>
      <c r="AE925" s="1526"/>
      <c r="AF925" s="1631"/>
      <c r="AZ925" s="34"/>
      <c r="BA925" s="34"/>
      <c r="BB925" s="34"/>
      <c r="BC925" s="34"/>
    </row>
    <row r="926" spans="1:58" ht="12.95" customHeight="1">
      <c r="F926" s="1623" t="s">
        <v>2193</v>
      </c>
      <c r="G926" s="1624"/>
      <c r="H926" s="1624"/>
      <c r="I926" s="1624"/>
      <c r="J926" s="1624"/>
      <c r="K926" s="1624"/>
      <c r="L926" s="1624"/>
      <c r="M926" s="1624"/>
      <c r="N926" s="1624"/>
      <c r="O926" s="1624"/>
      <c r="P926" s="1624"/>
      <c r="Q926" s="1624"/>
      <c r="R926" s="1624"/>
      <c r="S926" s="1624"/>
      <c r="T926" s="1625"/>
      <c r="U926" s="1626" t="s">
        <v>592</v>
      </c>
      <c r="V926" s="1428"/>
      <c r="W926" s="1428"/>
      <c r="X926" s="1428"/>
      <c r="Y926" s="1428"/>
      <c r="Z926" s="1429"/>
      <c r="AA926" s="1630"/>
      <c r="AB926" s="1526"/>
      <c r="AC926" s="1526"/>
      <c r="AD926" s="1526"/>
      <c r="AE926" s="1526"/>
      <c r="AF926" s="1631"/>
      <c r="AZ926" s="34"/>
      <c r="BA926" s="34"/>
      <c r="BB926" s="34"/>
      <c r="BC926" s="34"/>
    </row>
    <row r="927" spans="1:58" ht="12.95" customHeight="1">
      <c r="F927" s="1623" t="s">
        <v>680</v>
      </c>
      <c r="G927" s="1624"/>
      <c r="H927" s="1624"/>
      <c r="I927" s="1624"/>
      <c r="J927" s="1624"/>
      <c r="K927" s="1624"/>
      <c r="L927" s="1624"/>
      <c r="M927" s="1624"/>
      <c r="N927" s="1624"/>
      <c r="O927" s="1624"/>
      <c r="P927" s="1624"/>
      <c r="Q927" s="1624"/>
      <c r="R927" s="1624"/>
      <c r="S927" s="1624"/>
      <c r="T927" s="1625"/>
      <c r="U927" s="1626" t="s">
        <v>592</v>
      </c>
      <c r="V927" s="1428"/>
      <c r="W927" s="1428"/>
      <c r="X927" s="1428"/>
      <c r="Y927" s="1428"/>
      <c r="Z927" s="1429"/>
      <c r="AA927" s="1630"/>
      <c r="AB927" s="1526"/>
      <c r="AC927" s="1526"/>
      <c r="AD927" s="1526"/>
      <c r="AE927" s="1526"/>
      <c r="AF927" s="1631"/>
      <c r="AU927" s="2"/>
      <c r="AZ927" s="34"/>
      <c r="BA927" s="34"/>
      <c r="BB927" s="34"/>
      <c r="BC927" s="34"/>
    </row>
    <row r="928" spans="1:58" ht="12.95" customHeight="1">
      <c r="F928" s="1623" t="s">
        <v>2194</v>
      </c>
      <c r="G928" s="1624"/>
      <c r="H928" s="1624"/>
      <c r="I928" s="1624"/>
      <c r="J928" s="1624"/>
      <c r="K928" s="1624"/>
      <c r="L928" s="1624"/>
      <c r="M928" s="1624"/>
      <c r="N928" s="1624"/>
      <c r="O928" s="1624"/>
      <c r="P928" s="1624"/>
      <c r="Q928" s="1624"/>
      <c r="R928" s="1624"/>
      <c r="S928" s="1624"/>
      <c r="T928" s="1625"/>
      <c r="U928" s="1626" t="s">
        <v>592</v>
      </c>
      <c r="V928" s="1428"/>
      <c r="W928" s="1428"/>
      <c r="X928" s="1428"/>
      <c r="Y928" s="1428"/>
      <c r="Z928" s="1429"/>
      <c r="AA928" s="1630"/>
      <c r="AB928" s="1526"/>
      <c r="AC928" s="1526"/>
      <c r="AD928" s="1526"/>
      <c r="AE928" s="1526"/>
      <c r="AF928" s="1631"/>
      <c r="AU928" s="2"/>
      <c r="AZ928" s="34"/>
      <c r="BA928" s="34"/>
      <c r="BB928" s="34"/>
      <c r="BC928" s="34"/>
    </row>
    <row r="929" spans="6:55" ht="12.95" customHeight="1">
      <c r="F929" s="1623" t="s">
        <v>2195</v>
      </c>
      <c r="G929" s="1624"/>
      <c r="H929" s="1624"/>
      <c r="I929" s="1624"/>
      <c r="J929" s="1624"/>
      <c r="K929" s="1624"/>
      <c r="L929" s="1624"/>
      <c r="M929" s="1624"/>
      <c r="N929" s="1624"/>
      <c r="O929" s="1624"/>
      <c r="P929" s="1624"/>
      <c r="Q929" s="1624"/>
      <c r="R929" s="1624"/>
      <c r="S929" s="1624"/>
      <c r="T929" s="1625"/>
      <c r="U929" s="1626" t="s">
        <v>592</v>
      </c>
      <c r="V929" s="1428"/>
      <c r="W929" s="1428"/>
      <c r="X929" s="1428"/>
      <c r="Y929" s="1428"/>
      <c r="Z929" s="1429"/>
      <c r="AA929" s="1630"/>
      <c r="AB929" s="1526"/>
      <c r="AC929" s="1526"/>
      <c r="AD929" s="1526"/>
      <c r="AE929" s="1526"/>
      <c r="AF929" s="1631"/>
      <c r="AU929" s="2"/>
      <c r="AZ929" s="34"/>
      <c r="BA929" s="34"/>
      <c r="BB929" s="34"/>
      <c r="BC929" s="34"/>
    </row>
    <row r="930" spans="6:55" ht="12.95" customHeight="1">
      <c r="F930" s="1623" t="s">
        <v>2196</v>
      </c>
      <c r="G930" s="1624"/>
      <c r="H930" s="1624"/>
      <c r="I930" s="1624"/>
      <c r="J930" s="1624"/>
      <c r="K930" s="1624"/>
      <c r="L930" s="1624"/>
      <c r="M930" s="1624"/>
      <c r="N930" s="1624"/>
      <c r="O930" s="1624"/>
      <c r="P930" s="1624"/>
      <c r="Q930" s="1624"/>
      <c r="R930" s="1624"/>
      <c r="S930" s="1624"/>
      <c r="T930" s="1625"/>
      <c r="U930" s="1626" t="s">
        <v>592</v>
      </c>
      <c r="V930" s="1428"/>
      <c r="W930" s="1428"/>
      <c r="X930" s="1428"/>
      <c r="Y930" s="1428"/>
      <c r="Z930" s="1429"/>
      <c r="AA930" s="1630"/>
      <c r="AB930" s="1526"/>
      <c r="AC930" s="1526"/>
      <c r="AD930" s="1526"/>
      <c r="AE930" s="1526"/>
      <c r="AF930" s="1631"/>
      <c r="AU930" s="2"/>
      <c r="AZ930" s="34"/>
      <c r="BA930" s="34"/>
      <c r="BB930" s="34"/>
      <c r="BC930" s="34"/>
    </row>
    <row r="931" spans="6:55" ht="12.95" customHeight="1">
      <c r="F931" s="1623" t="s">
        <v>2197</v>
      </c>
      <c r="G931" s="1624"/>
      <c r="H931" s="1624"/>
      <c r="I931" s="1624"/>
      <c r="J931" s="1624"/>
      <c r="K931" s="1624"/>
      <c r="L931" s="1624"/>
      <c r="M931" s="1624"/>
      <c r="N931" s="1624"/>
      <c r="O931" s="1624"/>
      <c r="P931" s="1624"/>
      <c r="Q931" s="1624"/>
      <c r="R931" s="1624"/>
      <c r="S931" s="1624"/>
      <c r="T931" s="1625"/>
      <c r="U931" s="1626" t="s">
        <v>592</v>
      </c>
      <c r="V931" s="1428"/>
      <c r="W931" s="1428"/>
      <c r="X931" s="1428"/>
      <c r="Y931" s="1428"/>
      <c r="Z931" s="1429"/>
      <c r="AA931" s="1630"/>
      <c r="AB931" s="1526"/>
      <c r="AC931" s="1526"/>
      <c r="AD931" s="1526"/>
      <c r="AE931" s="1526"/>
      <c r="AF931" s="1631"/>
      <c r="AU931" s="2"/>
      <c r="AZ931" s="34"/>
      <c r="BA931" s="34"/>
      <c r="BB931" s="34"/>
      <c r="BC931" s="34"/>
    </row>
    <row r="932" spans="6:55" ht="12.95" customHeight="1">
      <c r="F932" s="1623" t="s">
        <v>2198</v>
      </c>
      <c r="G932" s="1624"/>
      <c r="H932" s="1624"/>
      <c r="I932" s="1624"/>
      <c r="J932" s="1624"/>
      <c r="K932" s="1624"/>
      <c r="L932" s="1624"/>
      <c r="M932" s="1624"/>
      <c r="N932" s="1624"/>
      <c r="O932" s="1624"/>
      <c r="P932" s="1624"/>
      <c r="Q932" s="1624"/>
      <c r="R932" s="1624"/>
      <c r="S932" s="1624"/>
      <c r="T932" s="1625"/>
      <c r="U932" s="1626" t="s">
        <v>592</v>
      </c>
      <c r="V932" s="1428"/>
      <c r="W932" s="1428"/>
      <c r="X932" s="1428"/>
      <c r="Y932" s="1428"/>
      <c r="Z932" s="1429"/>
      <c r="AA932" s="1630"/>
      <c r="AB932" s="1526"/>
      <c r="AC932" s="1526"/>
      <c r="AD932" s="1526"/>
      <c r="AE932" s="1526"/>
      <c r="AF932" s="1631"/>
      <c r="AZ932" s="30"/>
      <c r="BA932" s="30"/>
    </row>
    <row r="933" spans="6:55" ht="12.95" customHeight="1">
      <c r="F933" s="178" t="s">
        <v>677</v>
      </c>
      <c r="G933" s="5"/>
      <c r="H933" s="5"/>
      <c r="I933" s="5"/>
      <c r="J933" s="5"/>
      <c r="K933" s="5"/>
      <c r="L933" s="5"/>
      <c r="M933" s="5"/>
      <c r="N933" s="5"/>
      <c r="O933" s="5"/>
      <c r="P933" s="5"/>
      <c r="Q933" s="5"/>
      <c r="R933" s="5"/>
      <c r="S933" s="5"/>
      <c r="T933" s="46"/>
      <c r="U933" s="1626" t="s">
        <v>592</v>
      </c>
      <c r="V933" s="1428"/>
      <c r="W933" s="1428"/>
      <c r="X933" s="1428"/>
      <c r="Y933" s="1428"/>
      <c r="Z933" s="1429"/>
      <c r="AA933" s="1630"/>
      <c r="AB933" s="1526"/>
      <c r="AC933" s="1526"/>
      <c r="AD933" s="1526"/>
      <c r="AE933" s="1526"/>
      <c r="AF933" s="1631"/>
    </row>
    <row r="934" spans="6:55" ht="12.95" customHeight="1">
      <c r="F934" s="121" t="s">
        <v>1278</v>
      </c>
      <c r="G934" s="5"/>
      <c r="H934" s="5"/>
      <c r="I934" s="5"/>
      <c r="J934" s="5"/>
      <c r="K934" s="5"/>
      <c r="L934" s="5"/>
      <c r="M934" s="5"/>
      <c r="N934" s="5"/>
      <c r="O934" s="5"/>
      <c r="P934" s="5"/>
      <c r="Q934" s="5"/>
      <c r="R934" s="5"/>
      <c r="S934" s="5"/>
      <c r="T934" s="46"/>
      <c r="U934" s="1626" t="s">
        <v>592</v>
      </c>
      <c r="V934" s="1428"/>
      <c r="W934" s="1428"/>
      <c r="X934" s="1428"/>
      <c r="Y934" s="1428"/>
      <c r="Z934" s="1429"/>
      <c r="AA934" s="1630"/>
      <c r="AB934" s="1526"/>
      <c r="AC934" s="1526"/>
      <c r="AD934" s="1526"/>
      <c r="AE934" s="1526"/>
      <c r="AF934" s="1631"/>
      <c r="AZ934" s="30"/>
      <c r="BA934" s="14"/>
    </row>
    <row r="935" spans="6:55" ht="12.95" customHeight="1">
      <c r="F935" s="66" t="s">
        <v>803</v>
      </c>
      <c r="G935" s="5"/>
      <c r="H935" s="5"/>
      <c r="I935" s="5"/>
      <c r="J935" s="5"/>
      <c r="K935" s="5"/>
      <c r="L935" s="5"/>
      <c r="M935" s="5"/>
      <c r="N935" s="5"/>
      <c r="O935" s="5"/>
      <c r="P935" s="5"/>
      <c r="Q935" s="5"/>
      <c r="R935" s="5"/>
      <c r="S935" s="5"/>
      <c r="T935" s="46"/>
      <c r="U935" s="1626" t="s">
        <v>592</v>
      </c>
      <c r="V935" s="1428"/>
      <c r="W935" s="1428"/>
      <c r="X935" s="1428"/>
      <c r="Y935" s="1428"/>
      <c r="Z935" s="1429"/>
      <c r="AA935" s="1630"/>
      <c r="AB935" s="1526"/>
      <c r="AC935" s="1526"/>
      <c r="AD935" s="1526"/>
      <c r="AE935" s="1526"/>
      <c r="AF935" s="1631"/>
      <c r="AZ935" s="30"/>
      <c r="BA935" s="14"/>
    </row>
    <row r="936" spans="6:55" ht="12.95" customHeight="1">
      <c r="F936" s="1627" t="s">
        <v>2202</v>
      </c>
      <c r="G936" s="1628"/>
      <c r="H936" s="1628"/>
      <c r="I936" s="1628"/>
      <c r="J936" s="1628"/>
      <c r="K936" s="1628"/>
      <c r="L936" s="1628"/>
      <c r="M936" s="1628"/>
      <c r="N936" s="1628"/>
      <c r="O936" s="1628"/>
      <c r="P936" s="1628"/>
      <c r="Q936" s="1628"/>
      <c r="R936" s="1628"/>
      <c r="S936" s="1628"/>
      <c r="T936" s="1629"/>
      <c r="U936" s="1626" t="s">
        <v>592</v>
      </c>
      <c r="V936" s="1428"/>
      <c r="W936" s="1428"/>
      <c r="X936" s="1428"/>
      <c r="Y936" s="1428"/>
      <c r="Z936" s="1429"/>
      <c r="AA936" s="1630"/>
      <c r="AB936" s="1526"/>
      <c r="AC936" s="1526"/>
      <c r="AD936" s="1526"/>
      <c r="AE936" s="1526"/>
      <c r="AF936" s="1631"/>
      <c r="AZ936" s="30"/>
      <c r="BA936" s="14"/>
    </row>
    <row r="937" spans="6:55" ht="12.95" customHeight="1">
      <c r="F937" s="1627" t="s">
        <v>2203</v>
      </c>
      <c r="G937" s="1628"/>
      <c r="H937" s="1628"/>
      <c r="I937" s="1628"/>
      <c r="J937" s="1628"/>
      <c r="K937" s="1628"/>
      <c r="L937" s="1628"/>
      <c r="M937" s="1628"/>
      <c r="N937" s="1628"/>
      <c r="O937" s="1628"/>
      <c r="P937" s="1628"/>
      <c r="Q937" s="1628"/>
      <c r="R937" s="1628"/>
      <c r="S937" s="1628"/>
      <c r="T937" s="1629"/>
      <c r="U937" s="1626" t="s">
        <v>592</v>
      </c>
      <c r="V937" s="1428"/>
      <c r="W937" s="1428"/>
      <c r="X937" s="1428"/>
      <c r="Y937" s="1428"/>
      <c r="Z937" s="1429"/>
      <c r="AA937" s="1630"/>
      <c r="AB937" s="1526"/>
      <c r="AC937" s="1526"/>
      <c r="AD937" s="1526"/>
      <c r="AE937" s="1526"/>
      <c r="AF937" s="1631"/>
      <c r="AZ937" s="30"/>
      <c r="BA937" s="30"/>
    </row>
    <row r="938" spans="6:55" ht="12.95" customHeight="1">
      <c r="F938" s="1623" t="s">
        <v>2199</v>
      </c>
      <c r="G938" s="1624"/>
      <c r="H938" s="1624"/>
      <c r="I938" s="1624"/>
      <c r="J938" s="1624"/>
      <c r="K938" s="1624"/>
      <c r="L938" s="1624"/>
      <c r="M938" s="1624"/>
      <c r="N938" s="1624"/>
      <c r="O938" s="1624"/>
      <c r="P938" s="1624"/>
      <c r="Q938" s="1624"/>
      <c r="R938" s="1624"/>
      <c r="S938" s="1624"/>
      <c r="T938" s="1625"/>
      <c r="U938" s="1626" t="s">
        <v>592</v>
      </c>
      <c r="V938" s="1428"/>
      <c r="W938" s="1428"/>
      <c r="X938" s="1428"/>
      <c r="Y938" s="1428"/>
      <c r="Z938" s="1429"/>
      <c r="AA938" s="1630"/>
      <c r="AB938" s="1526"/>
      <c r="AC938" s="1526"/>
      <c r="AD938" s="1526"/>
      <c r="AE938" s="1526"/>
      <c r="AF938" s="1631"/>
      <c r="AZ938" s="30"/>
      <c r="BA938" s="30"/>
    </row>
    <row r="939" spans="6:55" ht="12.95" customHeight="1">
      <c r="F939" s="1623" t="s">
        <v>2200</v>
      </c>
      <c r="G939" s="1624"/>
      <c r="H939" s="1624"/>
      <c r="I939" s="1624"/>
      <c r="J939" s="1624"/>
      <c r="K939" s="1624"/>
      <c r="L939" s="1624"/>
      <c r="M939" s="1624"/>
      <c r="N939" s="1624"/>
      <c r="O939" s="1624"/>
      <c r="P939" s="1624"/>
      <c r="Q939" s="1624"/>
      <c r="R939" s="1624"/>
      <c r="S939" s="1624"/>
      <c r="T939" s="1625"/>
      <c r="U939" s="1626" t="s">
        <v>592</v>
      </c>
      <c r="V939" s="1428"/>
      <c r="W939" s="1428"/>
      <c r="X939" s="1428"/>
      <c r="Y939" s="1428"/>
      <c r="Z939" s="1429"/>
      <c r="AA939" s="1630"/>
      <c r="AB939" s="1526"/>
      <c r="AC939" s="1526"/>
      <c r="AD939" s="1526"/>
      <c r="AE939" s="1526"/>
      <c r="AF939" s="1631"/>
      <c r="AZ939" s="30"/>
      <c r="BA939" s="30"/>
    </row>
    <row r="940" spans="6:55" ht="12.95" customHeight="1">
      <c r="F940" s="1623" t="s">
        <v>2201</v>
      </c>
      <c r="G940" s="1624"/>
      <c r="H940" s="1624"/>
      <c r="I940" s="1624"/>
      <c r="J940" s="1624"/>
      <c r="K940" s="1624"/>
      <c r="L940" s="1624"/>
      <c r="M940" s="1624"/>
      <c r="N940" s="1624"/>
      <c r="O940" s="1624"/>
      <c r="P940" s="1624"/>
      <c r="Q940" s="1624"/>
      <c r="R940" s="1624"/>
      <c r="S940" s="1624"/>
      <c r="T940" s="1625"/>
      <c r="U940" s="1626" t="s">
        <v>592</v>
      </c>
      <c r="V940" s="1428"/>
      <c r="W940" s="1428"/>
      <c r="X940" s="1428"/>
      <c r="Y940" s="1428"/>
      <c r="Z940" s="1429"/>
      <c r="AA940" s="1630"/>
      <c r="AB940" s="1526"/>
      <c r="AC940" s="1526"/>
      <c r="AD940" s="1526"/>
      <c r="AE940" s="1526"/>
      <c r="AF940" s="1631"/>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6" t="s">
        <v>592</v>
      </c>
      <c r="V941" s="1428"/>
      <c r="W941" s="1428"/>
      <c r="X941" s="1428"/>
      <c r="Y941" s="1428"/>
      <c r="Z941" s="1429"/>
      <c r="AA941" s="1630"/>
      <c r="AB941" s="1526"/>
      <c r="AC941" s="1526"/>
      <c r="AD941" s="1526"/>
      <c r="AE941" s="1526"/>
      <c r="AF941" s="1631"/>
      <c r="AZ941" s="34"/>
      <c r="BA941" s="34"/>
      <c r="BB941" s="14"/>
      <c r="BC941" s="14"/>
    </row>
    <row r="942" spans="6:55" ht="12.95" customHeight="1">
      <c r="F942" s="1627" t="s">
        <v>2204</v>
      </c>
      <c r="G942" s="1628"/>
      <c r="H942" s="1628"/>
      <c r="I942" s="1628"/>
      <c r="J942" s="1628"/>
      <c r="K942" s="1628"/>
      <c r="L942" s="1628"/>
      <c r="M942" s="1628"/>
      <c r="N942" s="1628"/>
      <c r="O942" s="1628"/>
      <c r="P942" s="1628"/>
      <c r="Q942" s="1628"/>
      <c r="R942" s="1628"/>
      <c r="S942" s="1628"/>
      <c r="T942" s="1629"/>
      <c r="U942" s="1626" t="s">
        <v>592</v>
      </c>
      <c r="V942" s="1428"/>
      <c r="W942" s="1428"/>
      <c r="X942" s="1428"/>
      <c r="Y942" s="1428"/>
      <c r="Z942" s="1429"/>
      <c r="AA942" s="1630"/>
      <c r="AB942" s="1526"/>
      <c r="AC942" s="1526"/>
      <c r="AD942" s="1526"/>
      <c r="AE942" s="1526"/>
      <c r="AF942" s="1631"/>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6" t="s">
        <v>592</v>
      </c>
      <c r="V943" s="1428"/>
      <c r="W943" s="1428"/>
      <c r="X943" s="1428"/>
      <c r="Y943" s="1428"/>
      <c r="Z943" s="1429"/>
      <c r="AA943" s="1630"/>
      <c r="AB943" s="1526"/>
      <c r="AC943" s="1526"/>
      <c r="AD943" s="1526"/>
      <c r="AE943" s="1526"/>
      <c r="AF943" s="1631"/>
      <c r="AZ943" s="34"/>
      <c r="BA943" s="34"/>
      <c r="BB943" s="34"/>
      <c r="BC943" s="34"/>
    </row>
    <row r="944" spans="6:55" ht="12.95" customHeight="1">
      <c r="F944" s="1627" t="s">
        <v>2205</v>
      </c>
      <c r="G944" s="1628"/>
      <c r="H944" s="1628"/>
      <c r="I944" s="1628"/>
      <c r="J944" s="1628"/>
      <c r="K944" s="1628"/>
      <c r="L944" s="1628"/>
      <c r="M944" s="1628"/>
      <c r="N944" s="1628"/>
      <c r="O944" s="1628"/>
      <c r="P944" s="1628"/>
      <c r="Q944" s="1628"/>
      <c r="R944" s="1628"/>
      <c r="S944" s="1628"/>
      <c r="T944" s="1629"/>
      <c r="U944" s="1626" t="s">
        <v>592</v>
      </c>
      <c r="V944" s="1428"/>
      <c r="W944" s="1428"/>
      <c r="X944" s="1428"/>
      <c r="Y944" s="1428"/>
      <c r="Z944" s="1429"/>
      <c r="AA944" s="1630"/>
      <c r="AB944" s="1526"/>
      <c r="AC944" s="1526"/>
      <c r="AD944" s="1526"/>
      <c r="AE944" s="1526"/>
      <c r="AF944" s="1631"/>
      <c r="AZ944" s="34"/>
      <c r="BA944" s="34"/>
      <c r="BB944" s="34"/>
      <c r="BC944" s="34"/>
    </row>
    <row r="945" spans="1:55" ht="12.95" customHeight="1">
      <c r="F945" s="45" t="s">
        <v>807</v>
      </c>
      <c r="G945" s="5"/>
      <c r="H945" s="5"/>
      <c r="I945" s="5"/>
      <c r="J945" s="5"/>
      <c r="K945" s="5"/>
      <c r="L945" s="5"/>
      <c r="M945" s="5"/>
      <c r="N945" s="5"/>
      <c r="O945" s="5"/>
      <c r="P945" s="1626" t="s">
        <v>670</v>
      </c>
      <c r="Q945" s="1428"/>
      <c r="R945" s="1428"/>
      <c r="S945" s="1428"/>
      <c r="T945" s="1429"/>
      <c r="U945" s="1626" t="s">
        <v>592</v>
      </c>
      <c r="V945" s="1428"/>
      <c r="W945" s="1428"/>
      <c r="X945" s="1428"/>
      <c r="Y945" s="1428"/>
      <c r="Z945" s="1429"/>
      <c r="AA945" s="1630"/>
      <c r="AB945" s="1526"/>
      <c r="AC945" s="1526"/>
      <c r="AD945" s="1526"/>
      <c r="AE945" s="1526"/>
      <c r="AF945" s="1631"/>
      <c r="AZ945" s="34"/>
      <c r="BA945" s="34"/>
      <c r="BB945" s="34"/>
      <c r="BC945" s="34"/>
    </row>
    <row r="946" spans="1:55" ht="12.95" customHeight="1">
      <c r="F946" s="1623" t="s">
        <v>2192</v>
      </c>
      <c r="G946" s="1624"/>
      <c r="H946" s="1625"/>
      <c r="I946" s="1640" t="s">
        <v>334</v>
      </c>
      <c r="J946" s="1641"/>
      <c r="K946" s="1641"/>
      <c r="L946" s="1641"/>
      <c r="M946" s="1641"/>
      <c r="N946" s="1641"/>
      <c r="O946" s="1641"/>
      <c r="P946" s="1641"/>
      <c r="Q946" s="1641"/>
      <c r="R946" s="1641"/>
      <c r="S946" s="1641"/>
      <c r="T946" s="1642"/>
      <c r="U946" s="1626" t="s">
        <v>592</v>
      </c>
      <c r="V946" s="1428"/>
      <c r="W946" s="1428"/>
      <c r="X946" s="1428"/>
      <c r="Y946" s="1428"/>
      <c r="Z946" s="1429"/>
      <c r="AA946" s="1630"/>
      <c r="AB946" s="1526"/>
      <c r="AC946" s="1526"/>
      <c r="AD946" s="1526"/>
      <c r="AE946" s="1526"/>
      <c r="AF946" s="1631"/>
      <c r="AZ946" s="34"/>
      <c r="BA946" s="34"/>
      <c r="BB946" s="34"/>
      <c r="BC946" s="34"/>
    </row>
    <row r="947" spans="1:55" ht="12.95" customHeight="1">
      <c r="F947" s="45" t="s">
        <v>86</v>
      </c>
      <c r="G947" s="48"/>
      <c r="H947" s="48"/>
      <c r="I947" s="1640" t="s">
        <v>334</v>
      </c>
      <c r="J947" s="1641"/>
      <c r="K947" s="1641"/>
      <c r="L947" s="1641"/>
      <c r="M947" s="1641"/>
      <c r="N947" s="1641"/>
      <c r="O947" s="1641"/>
      <c r="P947" s="1641"/>
      <c r="Q947" s="1641"/>
      <c r="R947" s="1641"/>
      <c r="S947" s="1641"/>
      <c r="T947" s="1642"/>
      <c r="U947" s="1626" t="s">
        <v>592</v>
      </c>
      <c r="V947" s="1428"/>
      <c r="W947" s="1428"/>
      <c r="X947" s="1428"/>
      <c r="Y947" s="1428"/>
      <c r="Z947" s="1429"/>
      <c r="AA947" s="1630"/>
      <c r="AB947" s="1526"/>
      <c r="AC947" s="1526"/>
      <c r="AD947" s="1526"/>
      <c r="AE947" s="1526"/>
      <c r="AF947" s="1631"/>
      <c r="AZ947" s="34"/>
      <c r="BA947" s="34"/>
      <c r="BB947" s="34"/>
      <c r="BC947" s="34"/>
    </row>
    <row r="948" spans="1:55" ht="12.95" customHeight="1">
      <c r="F948" s="45" t="s">
        <v>10</v>
      </c>
      <c r="G948" s="48"/>
      <c r="H948" s="48"/>
      <c r="I948" s="1640" t="s">
        <v>334</v>
      </c>
      <c r="J948" s="1697"/>
      <c r="K948" s="1697"/>
      <c r="L948" s="1697"/>
      <c r="M948" s="1697"/>
      <c r="N948" s="1697"/>
      <c r="O948" s="1697"/>
      <c r="P948" s="1697"/>
      <c r="Q948" s="1697"/>
      <c r="R948" s="1697"/>
      <c r="S948" s="1697"/>
      <c r="T948" s="1698"/>
      <c r="U948" s="1626" t="s">
        <v>592</v>
      </c>
      <c r="V948" s="1428"/>
      <c r="W948" s="1428"/>
      <c r="X948" s="1428"/>
      <c r="Y948" s="1428"/>
      <c r="Z948" s="1429"/>
      <c r="AA948" s="1630"/>
      <c r="AB948" s="1526"/>
      <c r="AC948" s="1526"/>
      <c r="AD948" s="1526"/>
      <c r="AE948" s="1526"/>
      <c r="AF948" s="1631"/>
      <c r="AV948" s="2"/>
      <c r="AW948" s="2"/>
      <c r="AX948" s="2"/>
      <c r="AY948" s="2"/>
      <c r="AZ948" s="34"/>
      <c r="BA948" s="34"/>
      <c r="BB948" s="34"/>
      <c r="BC948" s="34"/>
    </row>
    <row r="949" spans="1:55" ht="12.95" customHeight="1">
      <c r="F949" s="47" t="s">
        <v>170</v>
      </c>
      <c r="G949" s="48"/>
      <c r="H949" s="48"/>
      <c r="I949" s="1640" t="s">
        <v>334</v>
      </c>
      <c r="J949" s="1697"/>
      <c r="K949" s="1697"/>
      <c r="L949" s="1697"/>
      <c r="M949" s="1697"/>
      <c r="N949" s="1697"/>
      <c r="O949" s="1697"/>
      <c r="P949" s="1697"/>
      <c r="Q949" s="1697"/>
      <c r="R949" s="1697"/>
      <c r="S949" s="1697"/>
      <c r="T949" s="1698"/>
      <c r="U949" s="1626" t="s">
        <v>592</v>
      </c>
      <c r="V949" s="1428"/>
      <c r="W949" s="1428"/>
      <c r="X949" s="1428"/>
      <c r="Y949" s="1428"/>
      <c r="Z949" s="1429"/>
      <c r="AA949" s="1630"/>
      <c r="AB949" s="1526"/>
      <c r="AC949" s="1526"/>
      <c r="AD949" s="1526"/>
      <c r="AE949" s="1526"/>
      <c r="AF949" s="1631"/>
      <c r="AU949" s="2"/>
      <c r="AZ949" s="34"/>
      <c r="BA949" s="34"/>
      <c r="BB949" s="34"/>
      <c r="BC949" s="34"/>
    </row>
    <row r="950" spans="1:55" ht="12.95" customHeight="1">
      <c r="F950" s="47" t="s">
        <v>170</v>
      </c>
      <c r="G950" s="48"/>
      <c r="H950" s="48"/>
      <c r="I950" s="1819" t="s">
        <v>334</v>
      </c>
      <c r="J950" s="1697"/>
      <c r="K950" s="1697"/>
      <c r="L950" s="1697"/>
      <c r="M950" s="1697"/>
      <c r="N950" s="1697"/>
      <c r="O950" s="1697"/>
      <c r="P950" s="1697"/>
      <c r="Q950" s="1697"/>
      <c r="R950" s="1697"/>
      <c r="S950" s="1697"/>
      <c r="T950" s="1698"/>
      <c r="U950" s="1626" t="s">
        <v>592</v>
      </c>
      <c r="V950" s="1428"/>
      <c r="W950" s="1428"/>
      <c r="X950" s="1428"/>
      <c r="Y950" s="1428"/>
      <c r="Z950" s="1429"/>
      <c r="AA950" s="1630"/>
      <c r="AB950" s="1526"/>
      <c r="AC950" s="1526"/>
      <c r="AD950" s="1526"/>
      <c r="AE950" s="1526"/>
      <c r="AF950" s="1631"/>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0"/>
      <c r="N955" s="1522"/>
      <c r="O955" s="1522"/>
      <c r="P955" s="1522"/>
      <c r="Q955" s="1522"/>
      <c r="R955" s="1522"/>
      <c r="S955" s="1621"/>
      <c r="U955" s="66" t="s">
        <v>11</v>
      </c>
      <c r="V955" s="5"/>
      <c r="W955" s="5"/>
      <c r="X955" s="5"/>
      <c r="Y955" s="5"/>
      <c r="Z955" s="5"/>
      <c r="AA955" s="5"/>
      <c r="AB955" s="5"/>
      <c r="AC955" s="5"/>
      <c r="AD955" s="46"/>
      <c r="AE955" s="1700"/>
      <c r="AF955" s="1522"/>
      <c r="AG955" s="1522"/>
      <c r="AH955" s="1522"/>
      <c r="AI955" s="1522"/>
      <c r="AJ955" s="1522"/>
      <c r="AK955" s="1621"/>
      <c r="AZ955" s="34"/>
      <c r="BA955" s="34"/>
      <c r="BB955" s="34"/>
      <c r="BC955" s="34"/>
    </row>
    <row r="956" spans="1:55" ht="12.95" customHeight="1">
      <c r="C956" s="66" t="s">
        <v>12</v>
      </c>
      <c r="D956" s="5"/>
      <c r="E956" s="5"/>
      <c r="F956" s="5"/>
      <c r="G956" s="5"/>
      <c r="H956" s="5"/>
      <c r="I956" s="5"/>
      <c r="J956" s="5"/>
      <c r="K956" s="5"/>
      <c r="L956" s="46"/>
      <c r="M956" s="1659"/>
      <c r="N956" s="1559"/>
      <c r="O956" s="1559"/>
      <c r="P956" s="1559"/>
      <c r="Q956" s="1559"/>
      <c r="R956" s="1559"/>
      <c r="S956" s="1660"/>
      <c r="U956" s="66" t="s">
        <v>12</v>
      </c>
      <c r="V956" s="5"/>
      <c r="W956" s="5"/>
      <c r="X956" s="5"/>
      <c r="Y956" s="5"/>
      <c r="Z956" s="5"/>
      <c r="AA956" s="5"/>
      <c r="AB956" s="5"/>
      <c r="AC956" s="5"/>
      <c r="AD956" s="46"/>
      <c r="AE956" s="1659"/>
      <c r="AF956" s="1559"/>
      <c r="AG956" s="1559"/>
      <c r="AH956" s="1559"/>
      <c r="AI956" s="1559"/>
      <c r="AJ956" s="1559"/>
      <c r="AK956" s="1660"/>
      <c r="AZ956" s="34"/>
      <c r="BA956" s="34"/>
      <c r="BB956" s="34"/>
      <c r="BC956" s="34"/>
    </row>
    <row r="957" spans="1:55" ht="12.95" customHeight="1">
      <c r="C957" s="66" t="s">
        <v>881</v>
      </c>
      <c r="D957" s="5"/>
      <c r="E957" s="5"/>
      <c r="J957" s="1804" t="s">
        <v>307</v>
      </c>
      <c r="K957" s="1805"/>
      <c r="L957" s="1805"/>
      <c r="M957" s="1805"/>
      <c r="N957" s="1805"/>
      <c r="O957" s="1805"/>
      <c r="P957" s="1805"/>
      <c r="Q957" s="1805"/>
      <c r="R957" s="1805"/>
      <c r="S957" s="1806"/>
      <c r="U957" s="66" t="s">
        <v>881</v>
      </c>
      <c r="V957" s="5"/>
      <c r="W957" s="5"/>
      <c r="AB957" s="1804" t="s">
        <v>307</v>
      </c>
      <c r="AC957" s="1805"/>
      <c r="AD957" s="1805"/>
      <c r="AE957" s="1805"/>
      <c r="AF957" s="1805"/>
      <c r="AG957" s="1805"/>
      <c r="AH957" s="1805"/>
      <c r="AI957" s="1805"/>
      <c r="AJ957" s="1805"/>
      <c r="AK957" s="1806"/>
      <c r="AZ957" s="34"/>
      <c r="BA957" s="34"/>
      <c r="BB957" s="34"/>
      <c r="BC957" s="34"/>
    </row>
    <row r="958" spans="1:55" ht="12.95" customHeight="1">
      <c r="C958" s="66" t="s">
        <v>13</v>
      </c>
      <c r="D958" s="5"/>
      <c r="E958" s="5"/>
      <c r="F958" s="5"/>
      <c r="G958" s="5"/>
      <c r="H958" s="5"/>
      <c r="I958" s="5"/>
      <c r="J958" s="5"/>
      <c r="K958" s="5"/>
      <c r="L958" s="46"/>
      <c r="M958" s="1701"/>
      <c r="N958" s="1702"/>
      <c r="O958" s="1702"/>
      <c r="P958" s="1702"/>
      <c r="Q958" s="1702"/>
      <c r="R958" s="1702"/>
      <c r="S958" s="1703"/>
      <c r="U958" s="66" t="s">
        <v>13</v>
      </c>
      <c r="V958" s="5"/>
      <c r="W958" s="5"/>
      <c r="X958" s="5"/>
      <c r="Y958" s="5"/>
      <c r="Z958" s="5"/>
      <c r="AA958" s="5"/>
      <c r="AB958" s="5"/>
      <c r="AC958" s="5"/>
      <c r="AD958" s="46"/>
      <c r="AE958" s="1775"/>
      <c r="AF958" s="1702"/>
      <c r="AG958" s="1702"/>
      <c r="AH958" s="1702"/>
      <c r="AI958" s="1702"/>
      <c r="AJ958" s="1702"/>
      <c r="AK958" s="1703"/>
      <c r="AZ958" s="34"/>
      <c r="BA958" s="34"/>
      <c r="BB958" s="34"/>
      <c r="BC958" s="34"/>
    </row>
    <row r="959" spans="1:55" ht="12.95" customHeight="1">
      <c r="C959" s="66" t="s">
        <v>14</v>
      </c>
      <c r="D959" s="5"/>
      <c r="E959" s="5"/>
      <c r="F959" s="5"/>
      <c r="G959" s="5"/>
      <c r="H959" s="5"/>
      <c r="I959" s="5"/>
      <c r="J959" s="5"/>
      <c r="K959" s="5"/>
      <c r="L959" s="46"/>
      <c r="M959" s="1721"/>
      <c r="N959" s="1606"/>
      <c r="O959" s="1606"/>
      <c r="P959" s="1606"/>
      <c r="Q959" s="1606"/>
      <c r="R959" s="1606"/>
      <c r="S959" s="1607"/>
      <c r="U959" s="66" t="s">
        <v>14</v>
      </c>
      <c r="V959" s="5"/>
      <c r="W959" s="5"/>
      <c r="X959" s="5"/>
      <c r="Y959" s="5"/>
      <c r="Z959" s="5"/>
      <c r="AA959" s="5"/>
      <c r="AB959" s="5"/>
      <c r="AC959" s="5"/>
      <c r="AD959" s="46"/>
      <c r="AE959" s="1721"/>
      <c r="AF959" s="1606"/>
      <c r="AG959" s="1606"/>
      <c r="AH959" s="1606"/>
      <c r="AI959" s="1606"/>
      <c r="AJ959" s="1606"/>
      <c r="AK959" s="1607"/>
      <c r="AV959" s="2"/>
      <c r="AW959" s="2"/>
      <c r="AX959" s="2"/>
      <c r="AY959" s="2"/>
      <c r="AZ959" s="34"/>
      <c r="BA959" s="34"/>
      <c r="BB959" s="34"/>
      <c r="BC959" s="34"/>
    </row>
    <row r="960" spans="1:55" ht="12.95" customHeight="1">
      <c r="C960" s="66" t="s">
        <v>15</v>
      </c>
      <c r="D960" s="5"/>
      <c r="E960" s="5"/>
      <c r="F960" s="5"/>
      <c r="G960" s="5"/>
      <c r="H960" s="5"/>
      <c r="I960" s="5"/>
      <c r="J960" s="5"/>
      <c r="K960" s="5"/>
      <c r="L960" s="46"/>
      <c r="M960" s="1630"/>
      <c r="N960" s="1526"/>
      <c r="O960" s="1526"/>
      <c r="P960" s="1526"/>
      <c r="Q960" s="1526"/>
      <c r="R960" s="1526"/>
      <c r="S960" s="1631"/>
      <c r="U960" s="66" t="s">
        <v>15</v>
      </c>
      <c r="V960" s="5"/>
      <c r="W960" s="5"/>
      <c r="X960" s="5"/>
      <c r="Y960" s="5"/>
      <c r="Z960" s="5"/>
      <c r="AA960" s="5"/>
      <c r="AB960" s="5"/>
      <c r="AC960" s="5"/>
      <c r="AD960" s="46"/>
      <c r="AE960" s="1630"/>
      <c r="AF960" s="1526"/>
      <c r="AG960" s="1526"/>
      <c r="AH960" s="1526"/>
      <c r="AI960" s="1526"/>
      <c r="AJ960" s="1526"/>
      <c r="AK960" s="1631"/>
      <c r="AV960" s="2"/>
      <c r="AW960" s="2"/>
      <c r="AX960" s="2"/>
      <c r="AY960" s="2"/>
      <c r="AZ960" s="34"/>
      <c r="BA960" s="34"/>
      <c r="BB960" s="34"/>
      <c r="BC960" s="34"/>
    </row>
    <row r="961" spans="1:64" ht="12.95" customHeight="1">
      <c r="C961" s="66" t="s">
        <v>16</v>
      </c>
      <c r="D961" s="5"/>
      <c r="E961" s="5"/>
      <c r="F961" s="5"/>
      <c r="G961" s="5"/>
      <c r="H961" s="5"/>
      <c r="I961" s="5"/>
      <c r="J961" s="5"/>
      <c r="K961" s="5"/>
      <c r="L961" s="46"/>
      <c r="M961" s="1630"/>
      <c r="N961" s="1526"/>
      <c r="O961" s="1526"/>
      <c r="P961" s="1526"/>
      <c r="Q961" s="1526"/>
      <c r="R961" s="1526"/>
      <c r="S961" s="1631"/>
      <c r="U961" s="66" t="s">
        <v>16</v>
      </c>
      <c r="V961" s="5"/>
      <c r="W961" s="5"/>
      <c r="X961" s="5"/>
      <c r="Y961" s="5"/>
      <c r="Z961" s="5"/>
      <c r="AA961" s="5"/>
      <c r="AB961" s="5"/>
      <c r="AC961" s="5"/>
      <c r="AD961" s="46"/>
      <c r="AE961" s="1630"/>
      <c r="AF961" s="1526"/>
      <c r="AG961" s="1526"/>
      <c r="AH961" s="1526"/>
      <c r="AI961" s="1526"/>
      <c r="AJ961" s="1526"/>
      <c r="AK961" s="1631"/>
      <c r="AV961" s="2"/>
      <c r="AW961" s="2"/>
      <c r="AX961" s="2"/>
      <c r="AY961" s="2"/>
      <c r="AZ961" s="34"/>
      <c r="BB961" s="34"/>
      <c r="BC961" s="34"/>
    </row>
    <row r="962" spans="1:64" ht="12.95" customHeight="1">
      <c r="C962" s="121" t="s">
        <v>1662</v>
      </c>
      <c r="D962" s="5"/>
      <c r="E962" s="5"/>
      <c r="F962" s="5"/>
      <c r="G962" s="5"/>
      <c r="H962" s="5"/>
      <c r="I962" s="5"/>
      <c r="J962" s="5"/>
      <c r="K962" s="5"/>
      <c r="L962" s="46"/>
      <c r="M962" s="1772"/>
      <c r="N962" s="1773"/>
      <c r="O962" s="1773"/>
      <c r="P962" s="1773"/>
      <c r="Q962" s="1773"/>
      <c r="R962" s="1773"/>
      <c r="S962" s="1774"/>
      <c r="U962" s="121" t="s">
        <v>1662</v>
      </c>
      <c r="V962" s="5"/>
      <c r="W962" s="5"/>
      <c r="X962" s="5"/>
      <c r="Y962" s="5"/>
      <c r="Z962" s="5"/>
      <c r="AA962" s="5"/>
      <c r="AB962" s="5"/>
      <c r="AC962" s="5"/>
      <c r="AD962" s="46"/>
      <c r="AE962" s="1772"/>
      <c r="AF962" s="1773"/>
      <c r="AG962" s="1773"/>
      <c r="AH962" s="1773"/>
      <c r="AI962" s="1773"/>
      <c r="AJ962" s="1773"/>
      <c r="AK962" s="1774"/>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6"/>
      <c r="N967" s="1657"/>
      <c r="O967" s="1657"/>
      <c r="P967" s="1657"/>
      <c r="Q967" s="1657"/>
      <c r="R967" s="1657"/>
      <c r="S967" s="1658"/>
      <c r="T967" s="66" t="s">
        <v>791</v>
      </c>
      <c r="U967" s="5"/>
      <c r="V967" s="5"/>
      <c r="W967" s="5"/>
      <c r="X967" s="5"/>
      <c r="Y967" s="5"/>
      <c r="Z967" s="46"/>
      <c r="AA967" s="1656"/>
      <c r="AB967" s="1657"/>
      <c r="AC967" s="1657"/>
      <c r="AD967" s="1657"/>
      <c r="AE967" s="1657"/>
      <c r="AF967" s="1657"/>
      <c r="AG967" s="165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6"/>
      <c r="N968" s="1657"/>
      <c r="O968" s="1657"/>
      <c r="P968" s="1657"/>
      <c r="Q968" s="1657"/>
      <c r="R968" s="1657"/>
      <c r="S968" s="1658"/>
      <c r="T968" s="66" t="s">
        <v>790</v>
      </c>
      <c r="U968" s="5"/>
      <c r="V968" s="5"/>
      <c r="W968" s="5"/>
      <c r="X968" s="5"/>
      <c r="Y968" s="5"/>
      <c r="Z968" s="46"/>
      <c r="AA968" s="1656"/>
      <c r="AB968" s="1657"/>
      <c r="AC968" s="1657"/>
      <c r="AD968" s="1657"/>
      <c r="AE968" s="1657"/>
      <c r="AF968" s="1657"/>
      <c r="AG968" s="16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4" t="s">
        <v>592</v>
      </c>
      <c r="N969" s="1705"/>
      <c r="O969" s="1705"/>
      <c r="P969" s="1705"/>
      <c r="Q969" s="1705"/>
      <c r="R969" s="1705"/>
      <c r="S969" s="1706"/>
      <c r="T969" s="45" t="s">
        <v>337</v>
      </c>
      <c r="U969" s="5"/>
      <c r="V969" s="5"/>
      <c r="W969" s="5"/>
      <c r="X969" s="5"/>
      <c r="Y969" s="5"/>
      <c r="Z969" s="46"/>
      <c r="AA969" s="1656"/>
      <c r="AB969" s="1657"/>
      <c r="AC969" s="1657"/>
      <c r="AD969" s="1657"/>
      <c r="AE969" s="1657"/>
      <c r="AF969" s="1657"/>
      <c r="AG969" s="16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6"/>
      <c r="N970" s="1657"/>
      <c r="O970" s="1657"/>
      <c r="P970" s="1657"/>
      <c r="Q970" s="1657"/>
      <c r="R970" s="1657"/>
      <c r="S970" s="1658"/>
      <c r="T970" s="45" t="s">
        <v>338</v>
      </c>
      <c r="U970" s="5"/>
      <c r="V970" s="5"/>
      <c r="W970" s="5"/>
      <c r="X970" s="5"/>
      <c r="Y970" s="5"/>
      <c r="Z970" s="46"/>
      <c r="AA970" s="1656"/>
      <c r="AB970" s="1657"/>
      <c r="AC970" s="1657"/>
      <c r="AD970" s="1657"/>
      <c r="AE970" s="1657"/>
      <c r="AF970" s="1657"/>
      <c r="AG970" s="16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6"/>
      <c r="N971" s="1657"/>
      <c r="O971" s="1657"/>
      <c r="P971" s="1657"/>
      <c r="Q971" s="1657"/>
      <c r="R971" s="1657"/>
      <c r="S971" s="1658"/>
      <c r="T971" s="45" t="s">
        <v>376</v>
      </c>
      <c r="U971" s="5"/>
      <c r="V971" s="5"/>
      <c r="W971" s="5"/>
      <c r="X971" s="5"/>
      <c r="Y971" s="5"/>
      <c r="Z971" s="46"/>
      <c r="AA971" s="1656"/>
      <c r="AB971" s="1657"/>
      <c r="AC971" s="1657"/>
      <c r="AD971" s="1657"/>
      <c r="AE971" s="1657"/>
      <c r="AF971" s="1657"/>
      <c r="AG971" s="165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4" t="s">
        <v>307</v>
      </c>
      <c r="N972" s="1805"/>
      <c r="O972" s="1805"/>
      <c r="P972" s="1805"/>
      <c r="Q972" s="1805"/>
      <c r="R972" s="1805"/>
      <c r="S972" s="1806"/>
      <c r="T972" s="1759"/>
      <c r="U972" s="1760"/>
      <c r="V972" s="1760"/>
      <c r="W972" s="1760"/>
      <c r="X972" s="1760"/>
      <c r="Y972" s="1760"/>
      <c r="Z972" s="1761"/>
      <c r="AA972" s="1656"/>
      <c r="AB972" s="1657"/>
      <c r="AC972" s="1657"/>
      <c r="AD972" s="1657"/>
      <c r="AE972" s="1657"/>
      <c r="AF972" s="1657"/>
      <c r="AG972" s="16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6"/>
      <c r="N973" s="1657"/>
      <c r="O973" s="1657"/>
      <c r="P973" s="1657"/>
      <c r="Q973" s="1657"/>
      <c r="R973" s="1657"/>
      <c r="S973" s="1658"/>
      <c r="T973" s="1759"/>
      <c r="U973" s="1760"/>
      <c r="V973" s="1760"/>
      <c r="W973" s="1760"/>
      <c r="X973" s="1760"/>
      <c r="Y973" s="1760"/>
      <c r="Z973" s="1761"/>
      <c r="AA973" s="1656"/>
      <c r="AB973" s="1657"/>
      <c r="AC973" s="1657"/>
      <c r="AD973" s="1657"/>
      <c r="AE973" s="1657"/>
      <c r="AF973" s="1657"/>
      <c r="AG973" s="165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07" t="s">
        <v>334</v>
      </c>
      <c r="X974" s="1808"/>
      <c r="Y974" s="1808"/>
      <c r="Z974" s="1808"/>
      <c r="AA974" s="1808"/>
      <c r="AB974" s="1808"/>
      <c r="AC974" s="1808"/>
      <c r="AD974" s="1808"/>
      <c r="AE974" s="1808"/>
      <c r="AF974" s="1808"/>
      <c r="AG974" s="1809"/>
      <c r="AU974" s="68"/>
      <c r="AV974" s="95"/>
      <c r="AW974" s="95"/>
      <c r="AX974" s="95"/>
      <c r="AY974" s="95"/>
      <c r="AZ974" s="34"/>
      <c r="BB974" s="34"/>
      <c r="BC974" s="34"/>
      <c r="BD974" s="34"/>
      <c r="BE974" s="34"/>
      <c r="BF974" s="34"/>
      <c r="BG974" s="34"/>
      <c r="BH974" s="34"/>
      <c r="BI974" s="34"/>
      <c r="BJ974" s="34"/>
      <c r="BK974" s="34"/>
      <c r="BL974" s="34"/>
    </row>
    <row r="975" spans="1:64" ht="12.95" customHeight="1">
      <c r="F975" s="1601" t="s">
        <v>33</v>
      </c>
      <c r="G975" s="1484"/>
      <c r="H975" s="1484"/>
      <c r="I975" s="1484"/>
      <c r="J975" s="1484"/>
      <c r="K975" s="1484"/>
      <c r="L975" s="1484"/>
      <c r="M975" s="1656"/>
      <c r="N975" s="1657"/>
      <c r="O975" s="1657"/>
      <c r="P975" s="1657"/>
      <c r="Q975" s="1657"/>
      <c r="R975" s="1657"/>
      <c r="S975" s="1658"/>
      <c r="T975" s="47"/>
      <c r="U975" s="48"/>
      <c r="V975" s="48"/>
      <c r="W975" s="48"/>
      <c r="X975" s="48"/>
      <c r="Y975" s="48"/>
      <c r="Z975" s="124" t="s">
        <v>134</v>
      </c>
      <c r="AA975" s="1756"/>
      <c r="AB975" s="1757"/>
      <c r="AC975" s="1757"/>
      <c r="AD975" s="1757"/>
      <c r="AE975" s="1757"/>
      <c r="AF975" s="1757"/>
      <c r="AG975" s="1758"/>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2"/>
      <c r="BH976" s="1632"/>
      <c r="BI976" s="1632"/>
      <c r="BJ976" s="1632"/>
      <c r="BK976" s="1632"/>
      <c r="BL976" s="1632"/>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5" t="s">
        <v>549</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2.9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7" t="s">
        <v>639</v>
      </c>
      <c r="E985" s="1788"/>
      <c r="F985" s="1788"/>
      <c r="G985" s="1788"/>
      <c r="H985" s="1788"/>
      <c r="I985" s="1788"/>
      <c r="J985" s="1788"/>
      <c r="K985" s="1788"/>
      <c r="L985" s="1788"/>
      <c r="M985" s="1788"/>
      <c r="N985" s="1788"/>
      <c r="O985" s="1788"/>
      <c r="P985" s="1788"/>
      <c r="Q985" s="1789"/>
      <c r="R985" s="1787" t="s">
        <v>640</v>
      </c>
      <c r="S985" s="1788"/>
      <c r="T985" s="1788"/>
      <c r="U985" s="1788"/>
      <c r="V985" s="1788"/>
      <c r="W985" s="1788"/>
      <c r="X985" s="1788"/>
      <c r="Y985" s="1788"/>
      <c r="Z985" s="1788"/>
      <c r="AA985" s="1789"/>
      <c r="AB985" s="1787" t="s">
        <v>641</v>
      </c>
      <c r="AC985" s="1788"/>
      <c r="AD985" s="1788"/>
      <c r="AE985" s="1788"/>
      <c r="AF985" s="1788"/>
      <c r="AG985" s="1788"/>
      <c r="AH985" s="1788"/>
      <c r="AI985" s="1789"/>
      <c r="AJ985" s="1787" t="s">
        <v>642</v>
      </c>
      <c r="AK985" s="1788"/>
      <c r="AL985" s="1788"/>
      <c r="AM985" s="1788"/>
      <c r="AN985" s="1788"/>
      <c r="AO985" s="1788"/>
      <c r="AP985" s="1788"/>
      <c r="AQ985" s="1789"/>
      <c r="AR985" s="68"/>
      <c r="AS985" s="68"/>
      <c r="AT985" s="68"/>
      <c r="AU985" s="68"/>
      <c r="AV985" s="68"/>
      <c r="AW985" s="68"/>
      <c r="AX985" s="68"/>
      <c r="AY985" s="68"/>
      <c r="AZ985" s="30"/>
      <c r="BB985" s="14"/>
      <c r="BC985" s="14"/>
    </row>
    <row r="986" spans="1:64" ht="12.95" customHeight="1">
      <c r="A986" s="14"/>
      <c r="B986" s="73"/>
      <c r="C986" s="929"/>
      <c r="D986" s="1793" t="s">
        <v>634</v>
      </c>
      <c r="E986" s="1794"/>
      <c r="F986" s="1794"/>
      <c r="G986" s="1794"/>
      <c r="H986" s="1794"/>
      <c r="I986" s="1794"/>
      <c r="J986" s="1794"/>
      <c r="K986" s="1794"/>
      <c r="L986" s="1794"/>
      <c r="M986" s="1794"/>
      <c r="N986" s="1794"/>
      <c r="O986" s="1794"/>
      <c r="P986" s="1794"/>
      <c r="Q986" s="1795"/>
      <c r="R986" s="1780">
        <f>IF(ISNA(IF($CU$122="4%",(INDEX($CS$160:$CW$217,MATCH($DG$122,$CR$160:$CR$217,0),MATCH(D986,$CS$159:$CW$159,0))),(INDEX($CZ$160:$DD$217,MATCH($DG$122,$CY$160:$CY$217,0),MATCH(D986,$CZ$159:$DD$159,0))))),0,IF($CU$122="4%",(INDEX($CS$160:$CW$217,MATCH($DG$122,$CR$160:$CR$217,0),MATCH(D986,$CS$159:$CW$159,0))),(INDEX($CZ$160:$DD$217,MATCH($DG$122,$CY$160:$CY$217,0),MATCH(D986,$CZ$159:$DD$159,0)))))</f>
        <v>331890</v>
      </c>
      <c r="S986" s="1780"/>
      <c r="T986" s="1780"/>
      <c r="U986" s="1780"/>
      <c r="V986" s="1780"/>
      <c r="W986" s="1780"/>
      <c r="X986" s="1780"/>
      <c r="Y986" s="1780"/>
      <c r="Z986" s="1780"/>
      <c r="AA986" s="1780"/>
      <c r="AB986" s="1777">
        <f>CP802</f>
        <v>0</v>
      </c>
      <c r="AC986" s="1778"/>
      <c r="AD986" s="1778"/>
      <c r="AE986" s="1778"/>
      <c r="AF986" s="1778"/>
      <c r="AG986" s="1778"/>
      <c r="AH986" s="1778"/>
      <c r="AI986" s="1779"/>
      <c r="AJ986" s="1713">
        <f>IF(ISERROR((R986*AB986)),0,(R986*AB986))</f>
        <v>0</v>
      </c>
      <c r="AK986" s="1714"/>
      <c r="AL986" s="1714"/>
      <c r="AM986" s="1714"/>
      <c r="AN986" s="1714"/>
      <c r="AO986" s="1714"/>
      <c r="AP986" s="1714"/>
      <c r="AQ986" s="1715"/>
      <c r="AR986" s="68"/>
      <c r="AS986" s="68"/>
      <c r="AT986" s="68"/>
      <c r="AU986" s="68"/>
      <c r="AV986" s="68"/>
      <c r="AW986" s="68"/>
      <c r="AX986" s="68"/>
      <c r="AY986" s="68"/>
      <c r="AZ986" s="30"/>
      <c r="BB986" s="14"/>
      <c r="BC986" s="14"/>
    </row>
    <row r="987" spans="1:64" ht="12.95" customHeight="1">
      <c r="A987" s="14"/>
      <c r="B987" s="73"/>
      <c r="C987" s="83"/>
      <c r="D987" s="1793" t="s">
        <v>325</v>
      </c>
      <c r="E987" s="1794"/>
      <c r="F987" s="1794"/>
      <c r="G987" s="1794"/>
      <c r="H987" s="1794"/>
      <c r="I987" s="1794"/>
      <c r="J987" s="1794"/>
      <c r="K987" s="1794"/>
      <c r="L987" s="1794"/>
      <c r="M987" s="1794"/>
      <c r="N987" s="1794"/>
      <c r="O987" s="1794"/>
      <c r="P987" s="1794"/>
      <c r="Q987" s="1795"/>
      <c r="R987" s="1780">
        <f>IF(ISNA(IF($CU$122="4%",(INDEX($CS$160:$CW$217,MATCH($DG$122,$CR$160:$CR$217,0),MATCH(D987,$CS$159:$CW$159,0))),(INDEX($CZ$160:$DD$217,MATCH($DG$122,$CY$160:$CY$217,0),MATCH(D987,$CZ$159:$DD$159,0))))),0,IF($CU$122="4%",(INDEX($CS$160:$CW$217,MATCH($DG$122,$CR$160:$CR$217,0),MATCH(D987,$CS$159:$CW$159,0))),(INDEX($CZ$160:$DD$217,MATCH($DG$122,$CY$160:$CY$217,0),MATCH(D987,$CZ$159:$DD$159,0)))))</f>
        <v>382666</v>
      </c>
      <c r="S987" s="1780"/>
      <c r="T987" s="1780"/>
      <c r="U987" s="1780"/>
      <c r="V987" s="1780"/>
      <c r="W987" s="1780"/>
      <c r="X987" s="1780"/>
      <c r="Y987" s="1780"/>
      <c r="Z987" s="1780"/>
      <c r="AA987" s="1780"/>
      <c r="AB987" s="1777">
        <f>CU802</f>
        <v>77</v>
      </c>
      <c r="AC987" s="1778"/>
      <c r="AD987" s="1778"/>
      <c r="AE987" s="1778"/>
      <c r="AF987" s="1778"/>
      <c r="AG987" s="1778"/>
      <c r="AH987" s="1778"/>
      <c r="AI987" s="1779"/>
      <c r="AJ987" s="1713">
        <f>IF(ISERROR((R987*AB987)),0,(R987*AB987))</f>
        <v>29465282</v>
      </c>
      <c r="AK987" s="1714"/>
      <c r="AL987" s="1714"/>
      <c r="AM987" s="1714"/>
      <c r="AN987" s="1714"/>
      <c r="AO987" s="1714"/>
      <c r="AP987" s="1714"/>
      <c r="AQ987" s="1715"/>
      <c r="AR987" s="68"/>
      <c r="AS987" s="68"/>
      <c r="AT987" s="68"/>
      <c r="AU987" s="68"/>
      <c r="AV987" s="68"/>
      <c r="AW987" s="68"/>
      <c r="AX987" s="68"/>
      <c r="AY987" s="68"/>
      <c r="AZ987" s="30"/>
      <c r="BB987" s="14"/>
      <c r="BC987" s="14"/>
    </row>
    <row r="988" spans="1:64" ht="12.95" customHeight="1">
      <c r="A988" s="14"/>
      <c r="B988" s="73"/>
      <c r="C988" s="83"/>
      <c r="D988" s="1793" t="s">
        <v>163</v>
      </c>
      <c r="E988" s="1794"/>
      <c r="F988" s="1794"/>
      <c r="G988" s="1794"/>
      <c r="H988" s="1794"/>
      <c r="I988" s="1794"/>
      <c r="J988" s="1794"/>
      <c r="K988" s="1794"/>
      <c r="L988" s="1794"/>
      <c r="M988" s="1794"/>
      <c r="N988" s="1794"/>
      <c r="O988" s="1794"/>
      <c r="P988" s="1794"/>
      <c r="Q988" s="1795"/>
      <c r="R988" s="1780">
        <f>IF(ISNA(IF($CU$122="4%",(INDEX($CS$160:$CW$217,MATCH($DG$122,$CR$160:$CR$217,0),MATCH(D988,$CS$159:$CW$159,0))),(INDEX($CZ$160:$DD$217,MATCH($DG$122,$CY$160:$CY$217,0),MATCH(D988,$CZ$159:$DD$159,0))))),0,IF($CU$122="4%",(INDEX($CS$160:$CW$217,MATCH($DG$122,$CR$160:$CR$217,0),MATCH(D988,$CS$159:$CW$159,0))),(INDEX($CZ$160:$DD$217,MATCH($DG$122,$CY$160:$CY$217,0),MATCH(D988,$CZ$159:$DD$159,0)))))</f>
        <v>461600</v>
      </c>
      <c r="S988" s="1780"/>
      <c r="T988" s="1780"/>
      <c r="U988" s="1780"/>
      <c r="V988" s="1780"/>
      <c r="W988" s="1780"/>
      <c r="X988" s="1780"/>
      <c r="Y988" s="1780"/>
      <c r="Z988" s="1780"/>
      <c r="AA988" s="1780"/>
      <c r="AB988" s="1777">
        <f>CZ802</f>
        <v>166</v>
      </c>
      <c r="AC988" s="1778"/>
      <c r="AD988" s="1778"/>
      <c r="AE988" s="1778"/>
      <c r="AF988" s="1778"/>
      <c r="AG988" s="1778"/>
      <c r="AH988" s="1778"/>
      <c r="AI988" s="1779"/>
      <c r="AJ988" s="1713">
        <f>IF(ISERROR((R988*AB988)),0,(R988*AB988))</f>
        <v>76625600</v>
      </c>
      <c r="AK988" s="1714"/>
      <c r="AL988" s="1714"/>
      <c r="AM988" s="1714"/>
      <c r="AN988" s="1714"/>
      <c r="AO988" s="1714"/>
      <c r="AP988" s="1714"/>
      <c r="AQ988" s="1715"/>
      <c r="AR988" s="68"/>
      <c r="AS988" s="68"/>
      <c r="AT988" s="68"/>
      <c r="AU988" s="68"/>
      <c r="AV988" s="68"/>
      <c r="AW988" s="68"/>
      <c r="AX988" s="68"/>
      <c r="AY988" s="68"/>
      <c r="AZ988" s="30"/>
      <c r="BB988" s="14"/>
      <c r="BC988" s="14"/>
    </row>
    <row r="989" spans="1:64" ht="12.95" customHeight="1">
      <c r="A989" s="14"/>
      <c r="B989" s="73"/>
      <c r="C989" s="83"/>
      <c r="D989" s="1793" t="s">
        <v>164</v>
      </c>
      <c r="E989" s="1794"/>
      <c r="F989" s="1794"/>
      <c r="G989" s="1794"/>
      <c r="H989" s="1794"/>
      <c r="I989" s="1794"/>
      <c r="J989" s="1794"/>
      <c r="K989" s="1794"/>
      <c r="L989" s="1794"/>
      <c r="M989" s="1794"/>
      <c r="N989" s="1794"/>
      <c r="O989" s="1794"/>
      <c r="P989" s="1794"/>
      <c r="Q989" s="1795"/>
      <c r="R989" s="1780">
        <f>IF(ISNA(IF($CU$122="4%",(INDEX($CS$160:$CW$217,MATCH($DG$122,$CR$160:$CR$217,0),MATCH(D989,$CS$159:$CW$159,0))),(INDEX($CZ$160:$DD$217,MATCH($DG$122,$CY$160:$CY$217,0),MATCH(D989,$CZ$159:$DD$159,0))))),0,IF($CU$122="4%",(INDEX($CS$160:$CW$217,MATCH($DG$122,$CR$160:$CR$217,0),MATCH(D989,$CS$159:$CW$159,0))),(INDEX($CZ$160:$DD$217,MATCH($DG$122,$CY$160:$CY$217,0),MATCH(D989,$CZ$159:$DD$159,0)))))</f>
        <v>590848</v>
      </c>
      <c r="S989" s="1780"/>
      <c r="T989" s="1780"/>
      <c r="U989" s="1780"/>
      <c r="V989" s="1780"/>
      <c r="W989" s="1780"/>
      <c r="X989" s="1780"/>
      <c r="Y989" s="1780"/>
      <c r="Z989" s="1780"/>
      <c r="AA989" s="1780"/>
      <c r="AB989" s="1777">
        <f>DE802</f>
        <v>81</v>
      </c>
      <c r="AC989" s="1778"/>
      <c r="AD989" s="1778"/>
      <c r="AE989" s="1778"/>
      <c r="AF989" s="1778"/>
      <c r="AG989" s="1778"/>
      <c r="AH989" s="1778"/>
      <c r="AI989" s="1779"/>
      <c r="AJ989" s="1713">
        <f>IF(ISERROR((R989*AB989)),0,(R989*AB989))</f>
        <v>47858688</v>
      </c>
      <c r="AK989" s="1714"/>
      <c r="AL989" s="1714"/>
      <c r="AM989" s="1714"/>
      <c r="AN989" s="1714"/>
      <c r="AO989" s="1714"/>
      <c r="AP989" s="1714"/>
      <c r="AQ989" s="1715"/>
      <c r="AR989" s="68"/>
      <c r="AS989" s="68"/>
      <c r="AT989" s="68"/>
      <c r="AU989" s="68"/>
      <c r="AV989" s="68"/>
      <c r="AW989" s="68"/>
      <c r="AX989" s="68"/>
      <c r="AY989" s="68"/>
      <c r="AZ989" s="30"/>
      <c r="BA989" s="34"/>
      <c r="BB989" s="14"/>
      <c r="BC989" s="14"/>
    </row>
    <row r="990" spans="1:64" ht="12.95" customHeight="1">
      <c r="A990" s="14"/>
      <c r="B990" s="47"/>
      <c r="C990" s="78"/>
      <c r="D990" s="1793" t="s">
        <v>461</v>
      </c>
      <c r="E990" s="1794"/>
      <c r="F990" s="1794"/>
      <c r="G990" s="1794"/>
      <c r="H990" s="1794"/>
      <c r="I990" s="1794"/>
      <c r="J990" s="1794"/>
      <c r="K990" s="1794"/>
      <c r="L990" s="1794"/>
      <c r="M990" s="1794"/>
      <c r="N990" s="1794"/>
      <c r="O990" s="1794"/>
      <c r="P990" s="1794"/>
      <c r="Q990" s="1795"/>
      <c r="R990" s="1780">
        <f>IF(ISNA(IF($CU$122="4%",(INDEX($CS$160:$CW$217,MATCH($DG$122,$CR$160:$CR$217,0),MATCH(D990,$CS$159:$CW$159,0))),(INDEX($CZ$160:$DD$217,MATCH($DG$122,$CY$160:$CY$217,0),MATCH(D990,$CZ$159:$DD$159,0))))),0,IF($CU$122="4%",(INDEX($CS$160:$CW$217,MATCH($DG$122,$CR$160:$CR$217,0),MATCH(D990,$CS$159:$CW$159,0))),(INDEX($CZ$160:$DD$217,MATCH($DG$122,$CY$160:$CY$217,0),MATCH(D990,$CZ$159:$DD$159,0)))))</f>
        <v>658242</v>
      </c>
      <c r="S990" s="1780"/>
      <c r="T990" s="1780"/>
      <c r="U990" s="1780"/>
      <c r="V990" s="1780"/>
      <c r="W990" s="1780"/>
      <c r="X990" s="1780"/>
      <c r="Y990" s="1780"/>
      <c r="Z990" s="1780"/>
      <c r="AA990" s="1780"/>
      <c r="AB990" s="1777">
        <f>DO802+DJ802</f>
        <v>0</v>
      </c>
      <c r="AC990" s="1778"/>
      <c r="AD990" s="1778"/>
      <c r="AE990" s="1778"/>
      <c r="AF990" s="1778"/>
      <c r="AG990" s="1778"/>
      <c r="AH990" s="1778"/>
      <c r="AI990" s="1779"/>
      <c r="AJ990" s="1713">
        <f>IF(ISERROR((R990*AB990)),0,(R990*AB990))</f>
        <v>0</v>
      </c>
      <c r="AK990" s="1714"/>
      <c r="AL990" s="1714"/>
      <c r="AM990" s="1714"/>
      <c r="AN990" s="1714"/>
      <c r="AO990" s="1714"/>
      <c r="AP990" s="1714"/>
      <c r="AQ990" s="1715"/>
      <c r="AR990" s="68"/>
      <c r="AS990" s="68"/>
      <c r="AT990" s="68"/>
      <c r="AU990" s="68"/>
      <c r="AV990" s="68"/>
      <c r="AW990" s="68"/>
      <c r="AX990" s="68"/>
      <c r="AY990" s="68"/>
      <c r="AZ990" s="30"/>
      <c r="BB990" s="14"/>
      <c r="BC990" s="14"/>
    </row>
    <row r="991" spans="1:64" ht="12.95" customHeight="1">
      <c r="A991" s="14"/>
      <c r="B991" s="1734" t="s">
        <v>792</v>
      </c>
      <c r="C991" s="1735"/>
      <c r="D991" s="1735"/>
      <c r="E991" s="1735"/>
      <c r="F991" s="1735"/>
      <c r="G991" s="1735"/>
      <c r="H991" s="1735"/>
      <c r="I991" s="1735"/>
      <c r="J991" s="1735"/>
      <c r="K991" s="1735"/>
      <c r="L991" s="1735"/>
      <c r="M991" s="1735"/>
      <c r="N991" s="1735"/>
      <c r="O991" s="1735"/>
      <c r="P991" s="1735"/>
      <c r="Q991" s="1735"/>
      <c r="R991" s="1735"/>
      <c r="S991" s="1735"/>
      <c r="T991" s="1735"/>
      <c r="U991" s="1735"/>
      <c r="V991" s="1735"/>
      <c r="W991" s="1735"/>
      <c r="X991" s="1735"/>
      <c r="Y991" s="1735"/>
      <c r="Z991" s="1735"/>
      <c r="AA991" s="1736"/>
      <c r="AB991" s="1777">
        <f>SUM(AB986:AI990)</f>
        <v>324</v>
      </c>
      <c r="AC991" s="1778"/>
      <c r="AD991" s="1778"/>
      <c r="AE991" s="1778"/>
      <c r="AF991" s="1778"/>
      <c r="AG991" s="1778"/>
      <c r="AH991" s="1778"/>
      <c r="AI991" s="1779"/>
      <c r="AJ991" s="1713"/>
      <c r="AK991" s="1714"/>
      <c r="AL991" s="1714"/>
      <c r="AM991" s="1714"/>
      <c r="AN991" s="1714"/>
      <c r="AO991" s="1714"/>
      <c r="AP991" s="1714"/>
      <c r="AQ991" s="1715"/>
      <c r="AR991" s="68"/>
      <c r="AS991" s="68"/>
      <c r="AT991" s="68"/>
      <c r="AU991" s="68"/>
      <c r="AV991" s="68"/>
      <c r="AW991" s="68"/>
      <c r="AX991" s="68"/>
      <c r="AY991" s="68"/>
      <c r="AZ991" s="34"/>
      <c r="BA991" s="34"/>
      <c r="BB991" s="14"/>
      <c r="BC991" s="14"/>
    </row>
    <row r="992" spans="1:64" ht="12.95" customHeight="1">
      <c r="A992" s="14"/>
      <c r="B992" s="1790" t="s">
        <v>513</v>
      </c>
      <c r="C992" s="1791"/>
      <c r="D992" s="1791"/>
      <c r="E992" s="1791"/>
      <c r="F992" s="1791"/>
      <c r="G992" s="1791"/>
      <c r="H992" s="1791"/>
      <c r="I992" s="1791"/>
      <c r="J992" s="1791"/>
      <c r="K992" s="1791"/>
      <c r="L992" s="1791"/>
      <c r="M992" s="1791"/>
      <c r="N992" s="1791"/>
      <c r="O992" s="1791"/>
      <c r="P992" s="1791"/>
      <c r="Q992" s="1791"/>
      <c r="R992" s="1791"/>
      <c r="S992" s="1791"/>
      <c r="T992" s="1791"/>
      <c r="U992" s="1791"/>
      <c r="V992" s="1791"/>
      <c r="W992" s="1791"/>
      <c r="X992" s="1791"/>
      <c r="Y992" s="1791"/>
      <c r="Z992" s="1791"/>
      <c r="AA992" s="1791"/>
      <c r="AB992" s="1791"/>
      <c r="AC992" s="1791"/>
      <c r="AD992" s="1791"/>
      <c r="AE992" s="1791"/>
      <c r="AF992" s="1791"/>
      <c r="AG992" s="1791"/>
      <c r="AH992" s="1791"/>
      <c r="AI992" s="1792"/>
      <c r="AJ992" s="1713">
        <f>SUM(AJ986:AQ990)</f>
        <v>153949570</v>
      </c>
      <c r="AK992" s="1714"/>
      <c r="AL992" s="1714"/>
      <c r="AM992" s="1714"/>
      <c r="AN992" s="1714"/>
      <c r="AO992" s="1714"/>
      <c r="AP992" s="1714"/>
      <c r="AQ992" s="1715"/>
      <c r="AR992" s="68"/>
      <c r="AS992" s="68"/>
      <c r="AT992" s="68"/>
      <c r="AU992" s="68"/>
      <c r="AV992" s="68"/>
      <c r="AW992" s="68"/>
      <c r="AX992" s="68"/>
      <c r="AY992" s="68"/>
      <c r="AZ992" s="34"/>
      <c r="BB992" s="34"/>
      <c r="BC992" s="34"/>
    </row>
    <row r="993" spans="1:55" ht="12.95" customHeight="1">
      <c r="A993" s="14"/>
      <c r="B993" s="1743"/>
      <c r="C993" s="1744"/>
      <c r="D993" s="1744"/>
      <c r="E993" s="1744"/>
      <c r="F993" s="1744"/>
      <c r="G993" s="1744"/>
      <c r="H993" s="1744"/>
      <c r="I993" s="1744"/>
      <c r="J993" s="1744"/>
      <c r="K993" s="1744"/>
      <c r="L993" s="1744"/>
      <c r="M993" s="1744"/>
      <c r="N993" s="1744"/>
      <c r="O993" s="1744"/>
      <c r="P993" s="1744"/>
      <c r="Q993" s="1744"/>
      <c r="R993" s="1744"/>
      <c r="S993" s="1744"/>
      <c r="T993" s="1744"/>
      <c r="U993" s="1744"/>
      <c r="V993" s="1744"/>
      <c r="W993" s="1744"/>
      <c r="X993" s="1744"/>
      <c r="Y993" s="1744"/>
      <c r="Z993" s="1744"/>
      <c r="AA993" s="1744"/>
      <c r="AB993" s="1744"/>
      <c r="AC993" s="1744"/>
      <c r="AD993" s="1744"/>
      <c r="AE993" s="1745"/>
      <c r="AF993" s="1823" t="s">
        <v>667</v>
      </c>
      <c r="AG993" s="1824"/>
      <c r="AH993" s="1824"/>
      <c r="AI993" s="1825"/>
      <c r="AJ993" s="1743"/>
      <c r="AK993" s="1744"/>
      <c r="AL993" s="1744"/>
      <c r="AM993" s="1744"/>
      <c r="AN993" s="1744"/>
      <c r="AO993" s="1744"/>
      <c r="AP993" s="1744"/>
      <c r="AQ993" s="1745"/>
      <c r="AR993" s="68"/>
      <c r="AS993" s="68"/>
      <c r="AT993" s="68"/>
      <c r="AU993" s="68"/>
      <c r="AV993" s="68"/>
      <c r="AW993" s="68"/>
      <c r="AX993" s="68"/>
      <c r="AY993" s="68"/>
      <c r="AZ993" s="34"/>
      <c r="BA993" s="34"/>
      <c r="BB993" s="34"/>
      <c r="BC993" s="34"/>
    </row>
    <row r="994" spans="1:55" ht="12.95" customHeight="1">
      <c r="A994" s="14"/>
      <c r="B994" s="73"/>
      <c r="C994" s="927" t="s">
        <v>669</v>
      </c>
      <c r="D994" s="1731" t="s">
        <v>1221</v>
      </c>
      <c r="E994" s="1732"/>
      <c r="F994" s="1732"/>
      <c r="G994" s="1732"/>
      <c r="H994" s="1732"/>
      <c r="I994" s="1732"/>
      <c r="J994" s="1732"/>
      <c r="K994" s="1732"/>
      <c r="L994" s="1732"/>
      <c r="M994" s="1732"/>
      <c r="N994" s="1732"/>
      <c r="O994" s="1732"/>
      <c r="P994" s="1732"/>
      <c r="Q994" s="1732"/>
      <c r="R994" s="1732"/>
      <c r="S994" s="1732"/>
      <c r="T994" s="1732"/>
      <c r="U994" s="1732"/>
      <c r="V994" s="1732"/>
      <c r="W994" s="1732"/>
      <c r="X994" s="1732"/>
      <c r="Y994" s="1732"/>
      <c r="Z994" s="1732"/>
      <c r="AA994" s="1732"/>
      <c r="AB994" s="1732"/>
      <c r="AC994" s="1732"/>
      <c r="AD994" s="1732"/>
      <c r="AE994" s="1733"/>
      <c r="AF994" s="79"/>
      <c r="AG994" s="1826" t="s">
        <v>670</v>
      </c>
      <c r="AH994" s="1827"/>
      <c r="AI994" s="87"/>
      <c r="AJ994" s="1722">
        <f>ROUND(IF(AND(AG994="yes",D1000&gt;0),AJ992*0.2,0),0)</f>
        <v>0</v>
      </c>
      <c r="AK994" s="1723"/>
      <c r="AL994" s="1723"/>
      <c r="AM994" s="1723"/>
      <c r="AN994" s="1723"/>
      <c r="AO994" s="1723"/>
      <c r="AP994" s="1723"/>
      <c r="AQ994" s="1724"/>
      <c r="AR994" s="68"/>
      <c r="AS994" s="68"/>
      <c r="AT994" s="68"/>
      <c r="AU994" s="68"/>
      <c r="AV994" s="68"/>
      <c r="AW994" s="68"/>
      <c r="AX994" s="68"/>
      <c r="AY994" s="68"/>
      <c r="AZ994" s="34"/>
      <c r="BA994" s="34"/>
      <c r="BB994" s="34"/>
      <c r="BC994" s="34"/>
    </row>
    <row r="995" spans="1:55" ht="12.95" customHeight="1">
      <c r="A995" s="14"/>
      <c r="B995" s="257"/>
      <c r="C995" s="256"/>
      <c r="D995" s="1765" t="s">
        <v>2235</v>
      </c>
      <c r="E995" s="1766"/>
      <c r="F995" s="1766"/>
      <c r="G995" s="1766"/>
      <c r="H995" s="1766"/>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7"/>
      <c r="AF995" s="73"/>
      <c r="AG995" s="14"/>
      <c r="AH995" s="14"/>
      <c r="AI995" s="83"/>
      <c r="AJ995" s="1725"/>
      <c r="AK995" s="1726"/>
      <c r="AL995" s="1726"/>
      <c r="AM995" s="1726"/>
      <c r="AN995" s="1726"/>
      <c r="AO995" s="1726"/>
      <c r="AP995" s="1726"/>
      <c r="AQ995" s="1727"/>
      <c r="AR995" s="68"/>
      <c r="AS995" s="68"/>
      <c r="AT995" s="68"/>
      <c r="AU995" s="68"/>
      <c r="AV995" s="68"/>
      <c r="AW995" s="68"/>
      <c r="AX995" s="68"/>
      <c r="AY995" s="68"/>
      <c r="AZ995" s="34"/>
      <c r="BA995" s="34"/>
      <c r="BB995" s="34"/>
      <c r="BC995" s="34"/>
    </row>
    <row r="996" spans="1:55" ht="12.95" customHeight="1">
      <c r="A996" s="14"/>
      <c r="B996" s="257"/>
      <c r="C996" s="256"/>
      <c r="D996" s="1765"/>
      <c r="E996" s="1766"/>
      <c r="F996" s="1766"/>
      <c r="G996" s="1766"/>
      <c r="H996" s="1766"/>
      <c r="I996" s="1766"/>
      <c r="J996" s="1766"/>
      <c r="K996" s="1766"/>
      <c r="L996" s="1766"/>
      <c r="M996" s="1766"/>
      <c r="N996" s="1766"/>
      <c r="O996" s="1766"/>
      <c r="P996" s="1766"/>
      <c r="Q996" s="1766"/>
      <c r="R996" s="1766"/>
      <c r="S996" s="1766"/>
      <c r="T996" s="1766"/>
      <c r="U996" s="1766"/>
      <c r="V996" s="1766"/>
      <c r="W996" s="1766"/>
      <c r="X996" s="1766"/>
      <c r="Y996" s="1766"/>
      <c r="Z996" s="1766"/>
      <c r="AA996" s="1766"/>
      <c r="AB996" s="1766"/>
      <c r="AC996" s="1766"/>
      <c r="AD996" s="1766"/>
      <c r="AE996" s="1767"/>
      <c r="AF996" s="73"/>
      <c r="AG996" s="14"/>
      <c r="AH996" s="14"/>
      <c r="AI996" s="83"/>
      <c r="AJ996" s="1725"/>
      <c r="AK996" s="1726"/>
      <c r="AL996" s="1726"/>
      <c r="AM996" s="1726"/>
      <c r="AN996" s="1726"/>
      <c r="AO996" s="1726"/>
      <c r="AP996" s="1726"/>
      <c r="AQ996" s="1727"/>
      <c r="AR996" s="68"/>
      <c r="AS996" s="68"/>
      <c r="AT996" s="68"/>
      <c r="AU996" s="68"/>
      <c r="AV996" s="68"/>
      <c r="AW996" s="68"/>
      <c r="AX996" s="68"/>
      <c r="AY996" s="68"/>
      <c r="AZ996" s="34"/>
      <c r="BA996" s="34"/>
      <c r="BB996" s="34"/>
      <c r="BC996" s="34"/>
    </row>
    <row r="997" spans="1:55" ht="12.95" customHeight="1">
      <c r="A997" s="14"/>
      <c r="B997" s="257"/>
      <c r="C997" s="256"/>
      <c r="D997" s="1765"/>
      <c r="E997" s="1766"/>
      <c r="F997" s="1766"/>
      <c r="G997" s="1766"/>
      <c r="H997" s="1766"/>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7"/>
      <c r="AF997" s="73"/>
      <c r="AG997" s="14"/>
      <c r="AH997" s="14"/>
      <c r="AI997" s="83"/>
      <c r="AJ997" s="1725"/>
      <c r="AK997" s="1726"/>
      <c r="AL997" s="1726"/>
      <c r="AM997" s="1726"/>
      <c r="AN997" s="1726"/>
      <c r="AO997" s="1726"/>
      <c r="AP997" s="1726"/>
      <c r="AQ997" s="1727"/>
      <c r="AR997" s="68"/>
      <c r="AS997" s="68"/>
      <c r="AT997" s="68"/>
      <c r="AU997" s="68"/>
      <c r="AV997" s="68"/>
      <c r="AW997" s="68"/>
      <c r="AX997" s="68"/>
      <c r="AY997" s="68"/>
      <c r="AZ997" s="34"/>
      <c r="BA997" s="34"/>
      <c r="BB997" s="34"/>
      <c r="BC997" s="34"/>
    </row>
    <row r="998" spans="1:55" ht="12.95" customHeight="1">
      <c r="A998" s="14"/>
      <c r="B998" s="257"/>
      <c r="C998" s="256"/>
      <c r="D998" s="1765"/>
      <c r="E998" s="1766"/>
      <c r="F998" s="1766"/>
      <c r="G998" s="1766"/>
      <c r="H998" s="1766"/>
      <c r="I998" s="1766"/>
      <c r="J998" s="1766"/>
      <c r="K998" s="1766"/>
      <c r="L998" s="1766"/>
      <c r="M998" s="1766"/>
      <c r="N998" s="1766"/>
      <c r="O998" s="1766"/>
      <c r="P998" s="1766"/>
      <c r="Q998" s="1766"/>
      <c r="R998" s="1766"/>
      <c r="S998" s="1766"/>
      <c r="T998" s="1766"/>
      <c r="U998" s="1766"/>
      <c r="V998" s="1766"/>
      <c r="W998" s="1766"/>
      <c r="X998" s="1766"/>
      <c r="Y998" s="1766"/>
      <c r="Z998" s="1766"/>
      <c r="AA998" s="1766"/>
      <c r="AB998" s="1766"/>
      <c r="AC998" s="1766"/>
      <c r="AD998" s="1766"/>
      <c r="AE998" s="1767"/>
      <c r="AF998" s="73"/>
      <c r="AG998" s="14"/>
      <c r="AH998" s="14"/>
      <c r="AI998" s="83"/>
      <c r="AJ998" s="1725"/>
      <c r="AK998" s="1726"/>
      <c r="AL998" s="1726"/>
      <c r="AM998" s="1726"/>
      <c r="AN998" s="1726"/>
      <c r="AO998" s="1726"/>
      <c r="AP998" s="1726"/>
      <c r="AQ998" s="1727"/>
      <c r="AR998" s="68"/>
      <c r="AS998" s="68"/>
      <c r="AT998" s="68"/>
      <c r="AU998" s="68"/>
      <c r="AV998" s="68"/>
      <c r="AW998" s="68"/>
      <c r="AX998" s="68"/>
      <c r="AY998" s="68"/>
      <c r="AZ998" s="34"/>
      <c r="BA998" s="34"/>
      <c r="BB998" s="34"/>
      <c r="BC998" s="34"/>
    </row>
    <row r="999" spans="1:55" ht="12.95" customHeight="1">
      <c r="A999" s="14"/>
      <c r="B999" s="257"/>
      <c r="C999" s="256"/>
      <c r="D999" s="1768" t="s">
        <v>2206</v>
      </c>
      <c r="E999" s="1769"/>
      <c r="F999" s="1769"/>
      <c r="G999" s="1769"/>
      <c r="H999" s="1769"/>
      <c r="I999" s="1769"/>
      <c r="J999" s="1769"/>
      <c r="K999" s="1769"/>
      <c r="L999" s="1769"/>
      <c r="M999" s="1769"/>
      <c r="N999" s="1769"/>
      <c r="O999" s="1769"/>
      <c r="P999" s="1769"/>
      <c r="Q999" s="1769"/>
      <c r="R999" s="1769"/>
      <c r="S999" s="1769"/>
      <c r="T999" s="1769"/>
      <c r="U999" s="1769"/>
      <c r="V999" s="1769"/>
      <c r="W999" s="1769"/>
      <c r="X999" s="1769"/>
      <c r="Y999" s="1769"/>
      <c r="Z999" s="1769"/>
      <c r="AA999" s="1769"/>
      <c r="AB999" s="1769"/>
      <c r="AC999" s="1769"/>
      <c r="AD999" s="1769"/>
      <c r="AE999" s="1770"/>
      <c r="AF999" s="73"/>
      <c r="AG999" s="14"/>
      <c r="AH999" s="14"/>
      <c r="AI999" s="83"/>
      <c r="AJ999" s="1725"/>
      <c r="AK999" s="1726"/>
      <c r="AL999" s="1726"/>
      <c r="AM999" s="1726"/>
      <c r="AN999" s="1726"/>
      <c r="AO999" s="1726"/>
      <c r="AP999" s="1726"/>
      <c r="AQ999" s="1727"/>
      <c r="AR999" s="68"/>
      <c r="AS999" s="68"/>
      <c r="AT999" s="68"/>
      <c r="AU999" s="68"/>
      <c r="AV999" s="68"/>
      <c r="AW999" s="68"/>
      <c r="AX999" s="68"/>
      <c r="AY999" s="68"/>
      <c r="AZ999" s="34"/>
      <c r="BA999" s="34"/>
      <c r="BB999" s="34"/>
      <c r="BC999" s="34"/>
    </row>
    <row r="1000" spans="1:55" ht="12.95" customHeight="1">
      <c r="A1000" s="14"/>
      <c r="B1000" s="257"/>
      <c r="C1000" s="256"/>
      <c r="D1000" s="1737"/>
      <c r="E1000" s="1738"/>
      <c r="F1000" s="1738"/>
      <c r="G1000" s="1738"/>
      <c r="H1000" s="1738"/>
      <c r="I1000" s="1738"/>
      <c r="J1000" s="1738"/>
      <c r="K1000" s="1738"/>
      <c r="L1000" s="1738"/>
      <c r="M1000" s="1738"/>
      <c r="N1000" s="1738"/>
      <c r="O1000" s="1738"/>
      <c r="P1000" s="1738"/>
      <c r="Q1000" s="1738"/>
      <c r="R1000" s="1738"/>
      <c r="S1000" s="1738"/>
      <c r="T1000" s="1738"/>
      <c r="U1000" s="1738"/>
      <c r="V1000" s="1738"/>
      <c r="W1000" s="1738"/>
      <c r="X1000" s="1738"/>
      <c r="Y1000" s="1738"/>
      <c r="Z1000" s="1738"/>
      <c r="AA1000" s="1738"/>
      <c r="AB1000" s="1738"/>
      <c r="AC1000" s="1738"/>
      <c r="AD1000" s="1738"/>
      <c r="AE1000" s="1739"/>
      <c r="AF1000" s="77"/>
      <c r="AG1000" s="7"/>
      <c r="AH1000" s="7"/>
      <c r="AI1000" s="78"/>
      <c r="AJ1000" s="1728"/>
      <c r="AK1000" s="1729"/>
      <c r="AL1000" s="1729"/>
      <c r="AM1000" s="1729"/>
      <c r="AN1000" s="1729"/>
      <c r="AO1000" s="1729"/>
      <c r="AP1000" s="1729"/>
      <c r="AQ1000" s="1730"/>
      <c r="AR1000" s="68"/>
      <c r="AS1000" s="68"/>
      <c r="AT1000" s="68"/>
      <c r="AU1000" s="68"/>
      <c r="AV1000" s="68"/>
      <c r="AW1000" s="68"/>
      <c r="AX1000" s="68"/>
      <c r="AY1000" s="68"/>
      <c r="AZ1000" s="34"/>
      <c r="BA1000" s="34"/>
      <c r="BB1000" s="34"/>
      <c r="BC1000" s="34"/>
    </row>
    <row r="1001" spans="1:55" ht="12.95" customHeight="1">
      <c r="A1001" s="14"/>
      <c r="B1001" s="255"/>
      <c r="C1001" s="318"/>
      <c r="D1001" s="1762" t="s">
        <v>1287</v>
      </c>
      <c r="E1001" s="1763"/>
      <c r="F1001" s="1763"/>
      <c r="G1001" s="1763"/>
      <c r="H1001" s="1763"/>
      <c r="I1001" s="1763"/>
      <c r="J1001" s="1763"/>
      <c r="K1001" s="1763"/>
      <c r="L1001" s="1763"/>
      <c r="M1001" s="1763"/>
      <c r="N1001" s="1763"/>
      <c r="O1001" s="1763"/>
      <c r="P1001" s="1763"/>
      <c r="Q1001" s="1763"/>
      <c r="R1001" s="1763"/>
      <c r="S1001" s="1763"/>
      <c r="T1001" s="1763"/>
      <c r="U1001" s="1763"/>
      <c r="V1001" s="1763"/>
      <c r="W1001" s="1763"/>
      <c r="X1001" s="1763"/>
      <c r="Y1001" s="1763"/>
      <c r="Z1001" s="1763"/>
      <c r="AA1001" s="1763"/>
      <c r="AB1001" s="1763"/>
      <c r="AC1001" s="1763"/>
      <c r="AD1001" s="1763"/>
      <c r="AE1001" s="1764"/>
      <c r="AF1001" s="79"/>
      <c r="AG1001" s="1748" t="s">
        <v>670</v>
      </c>
      <c r="AH1001" s="1749"/>
      <c r="AI1001" s="87"/>
      <c r="AJ1001" s="1722">
        <f>ROUND(IF(AG1001="yes",AJ992*0.05,0),0)</f>
        <v>0</v>
      </c>
      <c r="AK1001" s="1723"/>
      <c r="AL1001" s="1723"/>
      <c r="AM1001" s="1723"/>
      <c r="AN1001" s="1723"/>
      <c r="AO1001" s="1723"/>
      <c r="AP1001" s="1723"/>
      <c r="AQ1001" s="1724"/>
      <c r="AR1001" s="68"/>
      <c r="AS1001" s="68"/>
      <c r="AT1001" s="68"/>
      <c r="AU1001" s="68"/>
      <c r="AV1001" s="68"/>
      <c r="AW1001" s="68"/>
      <c r="AX1001" s="68"/>
      <c r="AY1001" s="68"/>
      <c r="AZ1001" s="34"/>
      <c r="BA1001" s="34"/>
      <c r="BB1001" s="34"/>
      <c r="BC1001" s="34"/>
    </row>
    <row r="1002" spans="1:55" ht="12.95" customHeight="1">
      <c r="A1002" s="14"/>
      <c r="B1002" s="257"/>
      <c r="C1002" s="82"/>
      <c r="D1002" s="1765" t="s">
        <v>1285</v>
      </c>
      <c r="E1002" s="1766"/>
      <c r="F1002" s="1766"/>
      <c r="G1002" s="1766"/>
      <c r="H1002" s="1766"/>
      <c r="I1002" s="1766"/>
      <c r="J1002" s="1766"/>
      <c r="K1002" s="1766"/>
      <c r="L1002" s="1766"/>
      <c r="M1002" s="1766"/>
      <c r="N1002" s="1766"/>
      <c r="O1002" s="1766"/>
      <c r="P1002" s="1766"/>
      <c r="Q1002" s="1766"/>
      <c r="R1002" s="1766"/>
      <c r="S1002" s="1766"/>
      <c r="T1002" s="1766"/>
      <c r="U1002" s="1766"/>
      <c r="V1002" s="1766"/>
      <c r="W1002" s="1766"/>
      <c r="X1002" s="1766"/>
      <c r="Y1002" s="1766"/>
      <c r="Z1002" s="1766"/>
      <c r="AA1002" s="1766"/>
      <c r="AB1002" s="1766"/>
      <c r="AC1002" s="1766"/>
      <c r="AD1002" s="1766"/>
      <c r="AE1002" s="1767"/>
      <c r="AF1002" s="73"/>
      <c r="AG1002" s="14"/>
      <c r="AH1002" s="14"/>
      <c r="AI1002" s="83"/>
      <c r="AJ1002" s="1725"/>
      <c r="AK1002" s="1726"/>
      <c r="AL1002" s="1726"/>
      <c r="AM1002" s="1726"/>
      <c r="AN1002" s="1726"/>
      <c r="AO1002" s="1726"/>
      <c r="AP1002" s="1726"/>
      <c r="AQ1002" s="1727"/>
      <c r="AR1002" s="68"/>
      <c r="AS1002" s="68"/>
      <c r="AT1002" s="68"/>
      <c r="AU1002" s="68"/>
      <c r="AV1002" s="68"/>
      <c r="AW1002" s="68"/>
      <c r="AX1002" s="68"/>
      <c r="AY1002" s="34"/>
      <c r="AZ1002" s="34"/>
      <c r="BB1002" s="34"/>
    </row>
    <row r="1003" spans="1:55" ht="12.95" customHeight="1">
      <c r="A1003" s="14"/>
      <c r="B1003" s="257"/>
      <c r="C1003" s="82"/>
      <c r="D1003" s="1765"/>
      <c r="E1003" s="1766"/>
      <c r="F1003" s="1766"/>
      <c r="G1003" s="1766"/>
      <c r="H1003" s="1766"/>
      <c r="I1003" s="1766"/>
      <c r="J1003" s="1766"/>
      <c r="K1003" s="1766"/>
      <c r="L1003" s="1766"/>
      <c r="M1003" s="1766"/>
      <c r="N1003" s="1766"/>
      <c r="O1003" s="1766"/>
      <c r="P1003" s="1766"/>
      <c r="Q1003" s="1766"/>
      <c r="R1003" s="1766"/>
      <c r="S1003" s="1766"/>
      <c r="T1003" s="1766"/>
      <c r="U1003" s="1766"/>
      <c r="V1003" s="1766"/>
      <c r="W1003" s="1766"/>
      <c r="X1003" s="1766"/>
      <c r="Y1003" s="1766"/>
      <c r="Z1003" s="1766"/>
      <c r="AA1003" s="1766"/>
      <c r="AB1003" s="1766"/>
      <c r="AC1003" s="1766"/>
      <c r="AD1003" s="1766"/>
      <c r="AE1003" s="1767"/>
      <c r="AF1003" s="73"/>
      <c r="AG1003" s="14"/>
      <c r="AH1003" s="14"/>
      <c r="AI1003" s="83"/>
      <c r="AJ1003" s="1725"/>
      <c r="AK1003" s="1726"/>
      <c r="AL1003" s="1726"/>
      <c r="AM1003" s="1726"/>
      <c r="AN1003" s="1726"/>
      <c r="AO1003" s="1726"/>
      <c r="AP1003" s="1726"/>
      <c r="AQ1003" s="1727"/>
      <c r="AR1003" s="68"/>
      <c r="AS1003" s="68"/>
      <c r="AT1003" s="68"/>
      <c r="AU1003" s="68"/>
      <c r="AV1003" s="68"/>
      <c r="AW1003" s="68"/>
      <c r="AX1003" s="68"/>
      <c r="AY1003" s="914">
        <f>G753+O797</f>
        <v>321</v>
      </c>
      <c r="AZ1003" s="34"/>
      <c r="BB1003" s="34"/>
    </row>
    <row r="1004" spans="1:55" ht="12.95" customHeight="1">
      <c r="A1004" s="14"/>
      <c r="B1004" s="257"/>
      <c r="C1004" s="82"/>
      <c r="D1004" s="1765"/>
      <c r="E1004" s="1766"/>
      <c r="F1004" s="1766"/>
      <c r="G1004" s="1766"/>
      <c r="H1004" s="1766"/>
      <c r="I1004" s="1766"/>
      <c r="J1004" s="1766"/>
      <c r="K1004" s="1766"/>
      <c r="L1004" s="1766"/>
      <c r="M1004" s="1766"/>
      <c r="N1004" s="1766"/>
      <c r="O1004" s="1766"/>
      <c r="P1004" s="1766"/>
      <c r="Q1004" s="1766"/>
      <c r="R1004" s="1766"/>
      <c r="S1004" s="1766"/>
      <c r="T1004" s="1766"/>
      <c r="U1004" s="1766"/>
      <c r="V1004" s="1766"/>
      <c r="W1004" s="1766"/>
      <c r="X1004" s="1766"/>
      <c r="Y1004" s="1766"/>
      <c r="Z1004" s="1766"/>
      <c r="AA1004" s="1766"/>
      <c r="AB1004" s="1766"/>
      <c r="AC1004" s="1766"/>
      <c r="AD1004" s="1766"/>
      <c r="AE1004" s="1767"/>
      <c r="AF1004" s="73"/>
      <c r="AG1004" s="14"/>
      <c r="AH1004" s="14"/>
      <c r="AI1004" s="83"/>
      <c r="AJ1004" s="1725"/>
      <c r="AK1004" s="1726"/>
      <c r="AL1004" s="1726"/>
      <c r="AM1004" s="1726"/>
      <c r="AN1004" s="1726"/>
      <c r="AO1004" s="1726"/>
      <c r="AP1004" s="1726"/>
      <c r="AQ1004" s="1727"/>
      <c r="AR1004" s="68"/>
      <c r="AS1004" s="68"/>
      <c r="AT1004" s="68"/>
      <c r="AU1004" s="68"/>
      <c r="AV1004" s="68"/>
      <c r="AW1004" s="68"/>
      <c r="AX1004" s="68"/>
      <c r="AY1004" s="14"/>
      <c r="AZ1004" s="34"/>
      <c r="BB1004" s="34"/>
    </row>
    <row r="1005" spans="1:55" ht="12.95" customHeight="1">
      <c r="A1005" s="14"/>
      <c r="B1005" s="257"/>
      <c r="C1005" s="82"/>
      <c r="D1005" s="1765"/>
      <c r="E1005" s="1766"/>
      <c r="F1005" s="1766"/>
      <c r="G1005" s="1766"/>
      <c r="H1005" s="1766"/>
      <c r="I1005" s="1766"/>
      <c r="J1005" s="1766"/>
      <c r="K1005" s="1766"/>
      <c r="L1005" s="1766"/>
      <c r="M1005" s="1766"/>
      <c r="N1005" s="1766"/>
      <c r="O1005" s="1766"/>
      <c r="P1005" s="1766"/>
      <c r="Q1005" s="1766"/>
      <c r="R1005" s="1766"/>
      <c r="S1005" s="1766"/>
      <c r="T1005" s="1766"/>
      <c r="U1005" s="1766"/>
      <c r="V1005" s="1766"/>
      <c r="W1005" s="1766"/>
      <c r="X1005" s="1766"/>
      <c r="Y1005" s="1766"/>
      <c r="Z1005" s="1766"/>
      <c r="AA1005" s="1766"/>
      <c r="AB1005" s="1766"/>
      <c r="AC1005" s="1766"/>
      <c r="AD1005" s="1766"/>
      <c r="AE1005" s="1767"/>
      <c r="AF1005" s="73"/>
      <c r="AG1005" s="14"/>
      <c r="AH1005" s="14"/>
      <c r="AI1005" s="83"/>
      <c r="AJ1005" s="1725"/>
      <c r="AK1005" s="1726"/>
      <c r="AL1005" s="1726"/>
      <c r="AM1005" s="1726"/>
      <c r="AN1005" s="1726"/>
      <c r="AO1005" s="1726"/>
      <c r="AP1005" s="1726"/>
      <c r="AQ1005" s="1727"/>
      <c r="AR1005" s="68"/>
      <c r="AS1005" s="68"/>
      <c r="AT1005" s="68"/>
      <c r="AU1005" s="68"/>
      <c r="AV1005" s="68"/>
      <c r="AW1005" s="68"/>
      <c r="AX1005" s="68"/>
      <c r="AY1005" s="913">
        <f>ROUNDDOWN(X1048/I1048,2)</f>
        <v>0.17</v>
      </c>
      <c r="AZ1005" s="34"/>
      <c r="BB1005" s="34"/>
    </row>
    <row r="1006" spans="1:55" ht="12.95" customHeight="1">
      <c r="A1006" s="14"/>
      <c r="B1006" s="75"/>
      <c r="C1006" s="76"/>
      <c r="D1006" s="1768"/>
      <c r="E1006" s="1769"/>
      <c r="F1006" s="1769"/>
      <c r="G1006" s="1769"/>
      <c r="H1006" s="1769"/>
      <c r="I1006" s="1769"/>
      <c r="J1006" s="1769"/>
      <c r="K1006" s="1769"/>
      <c r="L1006" s="1769"/>
      <c r="M1006" s="1769"/>
      <c r="N1006" s="1769"/>
      <c r="O1006" s="1769"/>
      <c r="P1006" s="1769"/>
      <c r="Q1006" s="1769"/>
      <c r="R1006" s="1769"/>
      <c r="S1006" s="1769"/>
      <c r="T1006" s="1769"/>
      <c r="U1006" s="1769"/>
      <c r="V1006" s="1769"/>
      <c r="W1006" s="1769"/>
      <c r="X1006" s="1769"/>
      <c r="Y1006" s="1769"/>
      <c r="Z1006" s="1769"/>
      <c r="AA1006" s="1769"/>
      <c r="AB1006" s="1769"/>
      <c r="AC1006" s="1769"/>
      <c r="AD1006" s="1769"/>
      <c r="AE1006" s="1770"/>
      <c r="AF1006" s="77"/>
      <c r="AG1006" s="7"/>
      <c r="AH1006" s="7"/>
      <c r="AI1006" s="78"/>
      <c r="AJ1006" s="1728"/>
      <c r="AK1006" s="1729"/>
      <c r="AL1006" s="1729"/>
      <c r="AM1006" s="1729"/>
      <c r="AN1006" s="1729"/>
      <c r="AO1006" s="1729"/>
      <c r="AP1006" s="1729"/>
      <c r="AQ1006" s="1730"/>
      <c r="AR1006" s="68"/>
      <c r="AS1006" s="68"/>
      <c r="AT1006" s="68"/>
      <c r="AU1006" s="68"/>
      <c r="AV1006" s="68"/>
      <c r="AW1006" s="68"/>
      <c r="AX1006" s="68"/>
      <c r="AY1006" s="913">
        <f>ROUNDDOWN(X1052/I1052,2)</f>
        <v>0.1</v>
      </c>
      <c r="AZ1006" s="34"/>
      <c r="BB1006" s="34"/>
    </row>
    <row r="1007" spans="1:55" ht="12.95" customHeight="1">
      <c r="A1007" s="14"/>
      <c r="B1007" s="255"/>
      <c r="C1007" s="80" t="s">
        <v>673</v>
      </c>
      <c r="D1007" s="1762" t="s">
        <v>1684</v>
      </c>
      <c r="E1007" s="1763"/>
      <c r="F1007" s="1763"/>
      <c r="G1007" s="1763"/>
      <c r="H1007" s="1763"/>
      <c r="I1007" s="1763"/>
      <c r="J1007" s="1763"/>
      <c r="K1007" s="1763"/>
      <c r="L1007" s="1763"/>
      <c r="M1007" s="1763"/>
      <c r="N1007" s="1763"/>
      <c r="O1007" s="1763"/>
      <c r="P1007" s="1763"/>
      <c r="Q1007" s="1763"/>
      <c r="R1007" s="1763"/>
      <c r="S1007" s="1763"/>
      <c r="T1007" s="1763"/>
      <c r="U1007" s="1763"/>
      <c r="V1007" s="1763"/>
      <c r="W1007" s="1763"/>
      <c r="X1007" s="1763"/>
      <c r="Y1007" s="1763"/>
      <c r="Z1007" s="1763"/>
      <c r="AA1007" s="1763"/>
      <c r="AB1007" s="1763"/>
      <c r="AC1007" s="1763"/>
      <c r="AD1007" s="1763"/>
      <c r="AE1007" s="1764"/>
      <c r="AF1007" s="86"/>
      <c r="AG1007" s="1748" t="s">
        <v>670</v>
      </c>
      <c r="AH1007" s="1749"/>
      <c r="AI1007" s="87"/>
      <c r="AJ1007" s="1722">
        <f>ROUND(IF(AG1007="yes",AJ992*0.1,0),0)</f>
        <v>0</v>
      </c>
      <c r="AK1007" s="1723"/>
      <c r="AL1007" s="1723"/>
      <c r="AM1007" s="1723"/>
      <c r="AN1007" s="1723"/>
      <c r="AO1007" s="1723"/>
      <c r="AP1007" s="1723"/>
      <c r="AQ1007" s="1724"/>
      <c r="AR1007" s="68"/>
      <c r="AS1007" s="68"/>
      <c r="AT1007" s="68"/>
      <c r="AU1007" s="68"/>
      <c r="AV1007" s="68"/>
      <c r="AW1007" s="68"/>
      <c r="AX1007" s="68"/>
      <c r="BB1007" s="34"/>
    </row>
    <row r="1008" spans="1:55" ht="12.95" customHeight="1">
      <c r="A1008" s="14"/>
      <c r="B1008" s="73"/>
      <c r="C1008" s="74"/>
      <c r="D1008" s="1694" t="s">
        <v>1286</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5"/>
      <c r="AK1008" s="1726"/>
      <c r="AL1008" s="1726"/>
      <c r="AM1008" s="1726"/>
      <c r="AN1008" s="1726"/>
      <c r="AO1008" s="1726"/>
      <c r="AP1008" s="1726"/>
      <c r="AQ1008" s="1727"/>
      <c r="AR1008" s="68"/>
      <c r="AS1008" s="68"/>
      <c r="AT1008" s="68"/>
      <c r="AU1008" s="68"/>
      <c r="AV1008" s="68"/>
      <c r="AW1008" s="68"/>
      <c r="AX1008" s="68"/>
    </row>
    <row r="1009" spans="1:52" ht="12.9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5"/>
      <c r="AK1009" s="1726"/>
      <c r="AL1009" s="1726"/>
      <c r="AM1009" s="1726"/>
      <c r="AN1009" s="1726"/>
      <c r="AO1009" s="1726"/>
      <c r="AP1009" s="1726"/>
      <c r="AQ1009" s="1727"/>
      <c r="AR1009" s="68"/>
      <c r="AS1009" s="68"/>
      <c r="AT1009" s="68"/>
      <c r="AU1009" s="68"/>
      <c r="AV1009" s="68"/>
      <c r="AW1009" s="68"/>
      <c r="AX1009" s="68"/>
    </row>
    <row r="1010" spans="1:52" ht="12.95" customHeight="1">
      <c r="A1010" s="14"/>
      <c r="B1010" s="85"/>
      <c r="C1010" s="76"/>
      <c r="D1010" s="1740"/>
      <c r="E1010" s="1741"/>
      <c r="F1010" s="1741"/>
      <c r="G1010" s="1741"/>
      <c r="H1010" s="1741"/>
      <c r="I1010" s="1741"/>
      <c r="J1010" s="1741"/>
      <c r="K1010" s="1741"/>
      <c r="L1010" s="1741"/>
      <c r="M1010" s="1741"/>
      <c r="N1010" s="1741"/>
      <c r="O1010" s="1741"/>
      <c r="P1010" s="1741"/>
      <c r="Q1010" s="1741"/>
      <c r="R1010" s="1741"/>
      <c r="S1010" s="1741"/>
      <c r="T1010" s="1741"/>
      <c r="U1010" s="1741"/>
      <c r="V1010" s="1741"/>
      <c r="W1010" s="1741"/>
      <c r="X1010" s="1741"/>
      <c r="Y1010" s="1741"/>
      <c r="Z1010" s="1741"/>
      <c r="AA1010" s="1741"/>
      <c r="AB1010" s="1741"/>
      <c r="AC1010" s="1741"/>
      <c r="AD1010" s="1741"/>
      <c r="AE1010" s="1742"/>
      <c r="AF1010" s="77"/>
      <c r="AG1010" s="7"/>
      <c r="AH1010" s="7"/>
      <c r="AI1010" s="78"/>
      <c r="AJ1010" s="1728"/>
      <c r="AK1010" s="1729"/>
      <c r="AL1010" s="1729"/>
      <c r="AM1010" s="1729"/>
      <c r="AN1010" s="1729"/>
      <c r="AO1010" s="1729"/>
      <c r="AP1010" s="1729"/>
      <c r="AQ1010" s="1730"/>
      <c r="AR1010" s="68"/>
      <c r="AS1010" s="68"/>
      <c r="AT1010" s="68"/>
      <c r="AU1010" s="68"/>
      <c r="AV1010" s="68"/>
      <c r="AW1010" s="68"/>
      <c r="AX1010" s="68"/>
    </row>
    <row r="1011" spans="1:52" ht="12.95" customHeight="1">
      <c r="A1011" s="14"/>
      <c r="B1011" s="79"/>
      <c r="C1011" s="80" t="s">
        <v>212</v>
      </c>
      <c r="D1011" s="1762" t="s">
        <v>1288</v>
      </c>
      <c r="E1011" s="1763"/>
      <c r="F1011" s="1763"/>
      <c r="G1011" s="1763"/>
      <c r="H1011" s="1763"/>
      <c r="I1011" s="1763"/>
      <c r="J1011" s="1763"/>
      <c r="K1011" s="1763"/>
      <c r="L1011" s="1763"/>
      <c r="M1011" s="1763"/>
      <c r="N1011" s="1763"/>
      <c r="O1011" s="1763"/>
      <c r="P1011" s="1763"/>
      <c r="Q1011" s="1763"/>
      <c r="R1011" s="1763"/>
      <c r="S1011" s="1763"/>
      <c r="T1011" s="1763"/>
      <c r="U1011" s="1763"/>
      <c r="V1011" s="1763"/>
      <c r="W1011" s="1763"/>
      <c r="X1011" s="1763"/>
      <c r="Y1011" s="1763"/>
      <c r="Z1011" s="1763"/>
      <c r="AA1011" s="1763"/>
      <c r="AB1011" s="1763"/>
      <c r="AC1011" s="1763"/>
      <c r="AD1011" s="1763"/>
      <c r="AE1011" s="1764"/>
      <c r="AF1011" s="79"/>
      <c r="AG1011" s="1748" t="s">
        <v>670</v>
      </c>
      <c r="AH1011" s="1749"/>
      <c r="AI1011" s="87"/>
      <c r="AJ1011" s="1722">
        <f>ROUND(IF(AG1011="yes",AJ992*0.02,0),0)</f>
        <v>0</v>
      </c>
      <c r="AK1011" s="1723"/>
      <c r="AL1011" s="1723"/>
      <c r="AM1011" s="1723"/>
      <c r="AN1011" s="1723"/>
      <c r="AO1011" s="1723"/>
      <c r="AP1011" s="1723"/>
      <c r="AQ1011" s="1724"/>
      <c r="AR1011" s="68"/>
      <c r="AS1011" s="68"/>
      <c r="AT1011" s="68"/>
      <c r="AU1011" s="68"/>
      <c r="AV1011" s="68"/>
      <c r="AW1011" s="68"/>
      <c r="AX1011" s="68"/>
    </row>
    <row r="1012" spans="1:52" ht="14.25" customHeight="1">
      <c r="A1012" s="14"/>
      <c r="B1012" s="73"/>
      <c r="C1012" s="74"/>
      <c r="D1012" s="1740" t="s">
        <v>1289</v>
      </c>
      <c r="E1012" s="1741"/>
      <c r="F1012" s="1741"/>
      <c r="G1012" s="1741"/>
      <c r="H1012" s="1741"/>
      <c r="I1012" s="1741"/>
      <c r="J1012" s="1741"/>
      <c r="K1012" s="1741"/>
      <c r="L1012" s="1741"/>
      <c r="M1012" s="1741"/>
      <c r="N1012" s="1741"/>
      <c r="O1012" s="1741"/>
      <c r="P1012" s="1741"/>
      <c r="Q1012" s="1741"/>
      <c r="R1012" s="1741"/>
      <c r="S1012" s="1741"/>
      <c r="T1012" s="1741"/>
      <c r="U1012" s="1741"/>
      <c r="V1012" s="1741"/>
      <c r="W1012" s="1741"/>
      <c r="X1012" s="1741"/>
      <c r="Y1012" s="1741"/>
      <c r="Z1012" s="1741"/>
      <c r="AA1012" s="1741"/>
      <c r="AB1012" s="1741"/>
      <c r="AC1012" s="1741"/>
      <c r="AD1012" s="1741"/>
      <c r="AE1012" s="1742"/>
      <c r="AF1012" s="77"/>
      <c r="AG1012" s="7"/>
      <c r="AH1012" s="7"/>
      <c r="AI1012" s="78"/>
      <c r="AJ1012" s="1728"/>
      <c r="AK1012" s="1729"/>
      <c r="AL1012" s="1729"/>
      <c r="AM1012" s="1729"/>
      <c r="AN1012" s="1729"/>
      <c r="AO1012" s="1729"/>
      <c r="AP1012" s="1729"/>
      <c r="AQ1012" s="1730"/>
      <c r="AR1012" s="68"/>
      <c r="AS1012" s="68"/>
      <c r="AT1012" s="68"/>
      <c r="AU1012" s="68"/>
      <c r="AV1012" s="68"/>
      <c r="AW1012" s="68"/>
      <c r="AX1012" s="3" t="s">
        <v>1842</v>
      </c>
      <c r="AZ1012" s="3" t="s">
        <v>2607</v>
      </c>
    </row>
    <row r="1013" spans="1:52" ht="12.95" customHeight="1">
      <c r="A1013" s="14"/>
      <c r="B1013" s="79"/>
      <c r="C1013" s="80" t="s">
        <v>215</v>
      </c>
      <c r="D1013" s="1762" t="s">
        <v>1290</v>
      </c>
      <c r="E1013" s="1763"/>
      <c r="F1013" s="1763"/>
      <c r="G1013" s="1763"/>
      <c r="H1013" s="1763"/>
      <c r="I1013" s="1763"/>
      <c r="J1013" s="1763"/>
      <c r="K1013" s="1763"/>
      <c r="L1013" s="1763"/>
      <c r="M1013" s="1763"/>
      <c r="N1013" s="1763"/>
      <c r="O1013" s="1763"/>
      <c r="P1013" s="1763"/>
      <c r="Q1013" s="1763"/>
      <c r="R1013" s="1763"/>
      <c r="S1013" s="1763"/>
      <c r="T1013" s="1763"/>
      <c r="U1013" s="1763"/>
      <c r="V1013" s="1763"/>
      <c r="W1013" s="1763"/>
      <c r="X1013" s="1763"/>
      <c r="Y1013" s="1763"/>
      <c r="Z1013" s="1763"/>
      <c r="AA1013" s="1763"/>
      <c r="AB1013" s="1763"/>
      <c r="AC1013" s="1763"/>
      <c r="AD1013" s="1763"/>
      <c r="AE1013" s="1764"/>
      <c r="AF1013" s="79"/>
      <c r="AG1013" s="1748" t="s">
        <v>670</v>
      </c>
      <c r="AH1013" s="1749"/>
      <c r="AI1013" s="79"/>
      <c r="AJ1013" s="1722">
        <f>ROUND(IF(AG1013="yes",AJ992*0.02,0),0)</f>
        <v>0</v>
      </c>
      <c r="AK1013" s="1723"/>
      <c r="AL1013" s="1723"/>
      <c r="AM1013" s="1723"/>
      <c r="AN1013" s="1723"/>
      <c r="AO1013" s="1723"/>
      <c r="AP1013" s="1723"/>
      <c r="AQ1013" s="1724"/>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694" t="s">
        <v>1291</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8" t="str">
        <f>IF(AND(AG1013="yes",T212&lt;&gt;1),"The project may not be eligible for this boost","")</f>
        <v/>
      </c>
      <c r="AG1014" s="1849"/>
      <c r="AH1014" s="1849"/>
      <c r="AI1014" s="1850"/>
      <c r="AJ1014" s="1725"/>
      <c r="AK1014" s="1726"/>
      <c r="AL1014" s="1726"/>
      <c r="AM1014" s="1726"/>
      <c r="AN1014" s="1726"/>
      <c r="AO1014" s="1726"/>
      <c r="AP1014" s="1726"/>
      <c r="AQ1014" s="172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0"/>
      <c r="E1015" s="1741"/>
      <c r="F1015" s="1741"/>
      <c r="G1015" s="1741"/>
      <c r="H1015" s="1741"/>
      <c r="I1015" s="1741"/>
      <c r="J1015" s="1741"/>
      <c r="K1015" s="1741"/>
      <c r="L1015" s="1741"/>
      <c r="M1015" s="1741"/>
      <c r="N1015" s="1741"/>
      <c r="O1015" s="1741"/>
      <c r="P1015" s="1741"/>
      <c r="Q1015" s="1741"/>
      <c r="R1015" s="1741"/>
      <c r="S1015" s="1741"/>
      <c r="T1015" s="1741"/>
      <c r="U1015" s="1741"/>
      <c r="V1015" s="1741"/>
      <c r="W1015" s="1741"/>
      <c r="X1015" s="1741"/>
      <c r="Y1015" s="1741"/>
      <c r="Z1015" s="1741"/>
      <c r="AA1015" s="1741"/>
      <c r="AB1015" s="1741"/>
      <c r="AC1015" s="1741"/>
      <c r="AD1015" s="1741"/>
      <c r="AE1015" s="1742"/>
      <c r="AF1015" s="1851"/>
      <c r="AG1015" s="1852"/>
      <c r="AH1015" s="1852"/>
      <c r="AI1015" s="1853"/>
      <c r="AJ1015" s="1728"/>
      <c r="AK1015" s="1729"/>
      <c r="AL1015" s="1729"/>
      <c r="AM1015" s="1729"/>
      <c r="AN1015" s="1729"/>
      <c r="AO1015" s="1729"/>
      <c r="AP1015" s="1729"/>
      <c r="AQ1015" s="1730"/>
      <c r="AR1015" s="68"/>
      <c r="AS1015" s="68"/>
      <c r="AT1015" s="68"/>
      <c r="AU1015" s="68"/>
      <c r="AV1015" s="68"/>
      <c r="AW1015" s="68"/>
      <c r="AX1015" s="3">
        <v>3</v>
      </c>
      <c r="AY1015" s="200">
        <f t="shared" si="53"/>
        <v>0</v>
      </c>
      <c r="AZ1015" s="1255">
        <v>0.05</v>
      </c>
    </row>
    <row r="1016" spans="1:52" ht="12.95" customHeight="1">
      <c r="A1016" s="14"/>
      <c r="B1016" s="79"/>
      <c r="C1016" s="80" t="s">
        <v>218</v>
      </c>
      <c r="D1016" s="1731" t="s">
        <v>2236</v>
      </c>
      <c r="E1016" s="1732"/>
      <c r="F1016" s="1732"/>
      <c r="G1016" s="1732"/>
      <c r="H1016" s="1732"/>
      <c r="I1016" s="1732"/>
      <c r="J1016" s="1732"/>
      <c r="K1016" s="1732"/>
      <c r="L1016" s="1732"/>
      <c r="M1016" s="1732"/>
      <c r="N1016" s="1732"/>
      <c r="O1016" s="1732"/>
      <c r="P1016" s="1732"/>
      <c r="Q1016" s="1732"/>
      <c r="R1016" s="1732"/>
      <c r="S1016" s="1732"/>
      <c r="T1016" s="1732"/>
      <c r="U1016" s="1732"/>
      <c r="V1016" s="1732"/>
      <c r="W1016" s="1732"/>
      <c r="X1016" s="1732"/>
      <c r="Y1016" s="1732"/>
      <c r="Z1016" s="1732"/>
      <c r="AA1016" s="1732"/>
      <c r="AB1016" s="1732"/>
      <c r="AC1016" s="1732"/>
      <c r="AD1016" s="1732"/>
      <c r="AE1016" s="1733"/>
      <c r="AF1016" s="79"/>
      <c r="AG1016" s="1748" t="s">
        <v>670</v>
      </c>
      <c r="AH1016" s="1749"/>
      <c r="AI1016" s="87"/>
      <c r="AJ1016" s="1722">
        <f>IF(AG1016="yes",AJ992*AY1024,0)</f>
        <v>0</v>
      </c>
      <c r="AK1016" s="1723"/>
      <c r="AL1016" s="1723"/>
      <c r="AM1016" s="1723"/>
      <c r="AN1016" s="1723"/>
      <c r="AO1016" s="1723"/>
      <c r="AP1016" s="1723"/>
      <c r="AQ1016" s="1724"/>
      <c r="AR1016" s="68"/>
      <c r="AS1016" s="68"/>
      <c r="AT1016" s="68"/>
      <c r="AU1016" s="68"/>
      <c r="AV1016" s="68"/>
      <c r="AW1016" s="68"/>
      <c r="AX1016" s="3">
        <v>4</v>
      </c>
      <c r="AY1016" s="200">
        <f t="shared" si="53"/>
        <v>0</v>
      </c>
      <c r="AZ1016" s="1255">
        <v>0.02</v>
      </c>
    </row>
    <row r="1017" spans="1:52" ht="12.95" customHeight="1">
      <c r="A1017" s="14"/>
      <c r="B1017" s="73"/>
      <c r="C1017" s="74"/>
      <c r="D1017" s="1694" t="s">
        <v>1292</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2" t="str">
        <f>IF(AND(AG1016="Yes",AY1024=0),AY1027,"")</f>
        <v/>
      </c>
      <c r="AG1017" s="1843"/>
      <c r="AH1017" s="1843"/>
      <c r="AI1017" s="1844"/>
      <c r="AJ1017" s="1725"/>
      <c r="AK1017" s="1726"/>
      <c r="AL1017" s="1726"/>
      <c r="AM1017" s="1726"/>
      <c r="AN1017" s="1726"/>
      <c r="AO1017" s="1726"/>
      <c r="AP1017" s="1726"/>
      <c r="AQ1017" s="1727"/>
      <c r="AR1017" s="68"/>
      <c r="AS1017" s="68"/>
      <c r="AT1017" s="68"/>
      <c r="AU1017" s="68"/>
      <c r="AV1017" s="68"/>
      <c r="AW1017" s="68"/>
      <c r="AX1017" s="3">
        <v>5</v>
      </c>
      <c r="AY1017" s="200">
        <f t="shared" si="53"/>
        <v>0</v>
      </c>
      <c r="AZ1017" s="1255">
        <v>0.04</v>
      </c>
    </row>
    <row r="1018" spans="1:52" ht="12.9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2"/>
      <c r="AG1018" s="1843"/>
      <c r="AH1018" s="1843"/>
      <c r="AI1018" s="1844"/>
      <c r="AJ1018" s="1725"/>
      <c r="AK1018" s="1726"/>
      <c r="AL1018" s="1726"/>
      <c r="AM1018" s="1726"/>
      <c r="AN1018" s="1726"/>
      <c r="AO1018" s="1726"/>
      <c r="AP1018" s="1726"/>
      <c r="AQ1018" s="1727"/>
      <c r="AR1018" s="68"/>
      <c r="AS1018" s="68"/>
      <c r="AT1018" s="68"/>
      <c r="AU1018" s="68"/>
      <c r="AV1018" s="68"/>
      <c r="AW1018" s="68"/>
      <c r="AX1018" s="3">
        <v>6</v>
      </c>
      <c r="AY1018" s="200">
        <f t="shared" si="53"/>
        <v>0</v>
      </c>
      <c r="AZ1018" s="1255">
        <v>0.04</v>
      </c>
    </row>
    <row r="1019" spans="1:52" ht="12.95" customHeight="1">
      <c r="A1019" s="14"/>
      <c r="B1019" s="81"/>
      <c r="C1019" s="82"/>
      <c r="D1019" s="1740"/>
      <c r="E1019" s="1741"/>
      <c r="F1019" s="1741"/>
      <c r="G1019" s="1741"/>
      <c r="H1019" s="1741"/>
      <c r="I1019" s="1741"/>
      <c r="J1019" s="1741"/>
      <c r="K1019" s="1741"/>
      <c r="L1019" s="1741"/>
      <c r="M1019" s="1741"/>
      <c r="N1019" s="1741"/>
      <c r="O1019" s="1741"/>
      <c r="P1019" s="1741"/>
      <c r="Q1019" s="1741"/>
      <c r="R1019" s="1741"/>
      <c r="S1019" s="1741"/>
      <c r="T1019" s="1741"/>
      <c r="U1019" s="1741"/>
      <c r="V1019" s="1741"/>
      <c r="W1019" s="1741"/>
      <c r="X1019" s="1741"/>
      <c r="Y1019" s="1741"/>
      <c r="Z1019" s="1741"/>
      <c r="AA1019" s="1741"/>
      <c r="AB1019" s="1741"/>
      <c r="AC1019" s="1741"/>
      <c r="AD1019" s="1741"/>
      <c r="AE1019" s="1742"/>
      <c r="AF1019" s="1845"/>
      <c r="AG1019" s="1846"/>
      <c r="AH1019" s="1846"/>
      <c r="AI1019" s="1847"/>
      <c r="AJ1019" s="1728"/>
      <c r="AK1019" s="1729"/>
      <c r="AL1019" s="1729"/>
      <c r="AM1019" s="1729"/>
      <c r="AN1019" s="1729"/>
      <c r="AO1019" s="1729"/>
      <c r="AP1019" s="1729"/>
      <c r="AQ1019" s="1730"/>
      <c r="AR1019" s="68"/>
      <c r="AS1019" s="68"/>
      <c r="AT1019" s="68"/>
      <c r="AU1019" s="68"/>
      <c r="AV1019" s="68"/>
      <c r="AW1019" s="68"/>
      <c r="AX1019" s="3">
        <v>7</v>
      </c>
      <c r="AY1019" s="200">
        <f t="shared" si="53"/>
        <v>0</v>
      </c>
      <c r="AZ1019" s="1255">
        <v>0.01</v>
      </c>
    </row>
    <row r="1020" spans="1:52" ht="12.95" customHeight="1">
      <c r="A1020" s="14"/>
      <c r="B1020" s="79"/>
      <c r="C1020" s="80" t="s">
        <v>223</v>
      </c>
      <c r="D1020" s="1810" t="s">
        <v>1293</v>
      </c>
      <c r="E1020" s="1811"/>
      <c r="F1020" s="1811"/>
      <c r="G1020" s="1811"/>
      <c r="H1020" s="1811"/>
      <c r="I1020" s="1811"/>
      <c r="J1020" s="1811"/>
      <c r="K1020" s="1811"/>
      <c r="L1020" s="1811"/>
      <c r="M1020" s="1811"/>
      <c r="N1020" s="1811"/>
      <c r="O1020" s="1811"/>
      <c r="P1020" s="1811"/>
      <c r="Q1020" s="1811"/>
      <c r="R1020" s="1811"/>
      <c r="S1020" s="1811"/>
      <c r="T1020" s="1811"/>
      <c r="U1020" s="1811"/>
      <c r="V1020" s="1811"/>
      <c r="W1020" s="1811"/>
      <c r="X1020" s="1811"/>
      <c r="Y1020" s="1811"/>
      <c r="Z1020" s="1811"/>
      <c r="AA1020" s="1811"/>
      <c r="AB1020" s="1811"/>
      <c r="AC1020" s="1811"/>
      <c r="AD1020" s="1811"/>
      <c r="AE1020" s="1812"/>
      <c r="AF1020" s="79"/>
      <c r="AG1020" s="1748" t="s">
        <v>670</v>
      </c>
      <c r="AH1020" s="1749"/>
      <c r="AI1020" s="87"/>
      <c r="AJ1020" s="1722">
        <f>ROUND(IF(AND(AG1020="Yes",J1024&lt;&gt;"N/A",AF1023&lt;&gt;""),MIN(AF1023,(0.15*AJ992)),0),0)</f>
        <v>0</v>
      </c>
      <c r="AK1020" s="1723"/>
      <c r="AL1020" s="1723"/>
      <c r="AM1020" s="1723"/>
      <c r="AN1020" s="1723"/>
      <c r="AO1020" s="1723"/>
      <c r="AP1020" s="1723"/>
      <c r="AQ1020" s="1724"/>
      <c r="AR1020" s="68"/>
      <c r="AS1020" s="68"/>
      <c r="AT1020" s="68"/>
      <c r="AU1020" s="68"/>
      <c r="AV1020" s="68"/>
      <c r="AW1020" s="68"/>
      <c r="AX1020" s="3">
        <v>8</v>
      </c>
      <c r="AY1020" s="200">
        <f t="shared" si="53"/>
        <v>0</v>
      </c>
      <c r="AZ1020" s="1255">
        <v>0.01</v>
      </c>
    </row>
    <row r="1021" spans="1:52" ht="12.95" customHeight="1">
      <c r="A1021" s="14"/>
      <c r="B1021" s="81"/>
      <c r="C1021" s="84"/>
      <c r="D1021" s="1813"/>
      <c r="E1021" s="1814"/>
      <c r="F1021" s="1814"/>
      <c r="G1021" s="1814"/>
      <c r="H1021" s="1814"/>
      <c r="I1021" s="1814"/>
      <c r="J1021" s="1814"/>
      <c r="K1021" s="1814"/>
      <c r="L1021" s="1814"/>
      <c r="M1021" s="1814"/>
      <c r="N1021" s="1814"/>
      <c r="O1021" s="1814"/>
      <c r="P1021" s="1814"/>
      <c r="Q1021" s="1814"/>
      <c r="R1021" s="1814"/>
      <c r="S1021" s="1814"/>
      <c r="T1021" s="1814"/>
      <c r="U1021" s="1814"/>
      <c r="V1021" s="1814"/>
      <c r="W1021" s="1814"/>
      <c r="X1021" s="1814"/>
      <c r="Y1021" s="1814"/>
      <c r="Z1021" s="1814"/>
      <c r="AA1021" s="1814"/>
      <c r="AB1021" s="1814"/>
      <c r="AC1021" s="1814"/>
      <c r="AD1021" s="1814"/>
      <c r="AE1021" s="1815"/>
      <c r="AF1021" s="1828" t="str">
        <f>IF(AG1020="yes","Please Select Type and Enter Amount:","")</f>
        <v/>
      </c>
      <c r="AG1021" s="1829"/>
      <c r="AH1021" s="1829"/>
      <c r="AI1021" s="1830"/>
      <c r="AJ1021" s="1725"/>
      <c r="AK1021" s="1726"/>
      <c r="AL1021" s="1726"/>
      <c r="AM1021" s="1726"/>
      <c r="AN1021" s="1726"/>
      <c r="AO1021" s="1726"/>
      <c r="AP1021" s="1726"/>
      <c r="AQ1021" s="1727"/>
      <c r="AR1021" s="68"/>
      <c r="AS1021" s="68"/>
      <c r="AT1021" s="68"/>
      <c r="AU1021" s="68"/>
      <c r="AV1021" s="68"/>
      <c r="AW1021" s="68"/>
      <c r="AX1021" s="3">
        <v>9</v>
      </c>
      <c r="AY1021" s="200">
        <f t="shared" si="53"/>
        <v>0</v>
      </c>
      <c r="AZ1021" s="1255">
        <v>0.01</v>
      </c>
    </row>
    <row r="1022" spans="1:52" ht="12.95" customHeight="1">
      <c r="A1022" s="14"/>
      <c r="B1022" s="81"/>
      <c r="C1022" s="84"/>
      <c r="D1022" s="1694" t="s">
        <v>1294</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5"/>
      <c r="AK1022" s="1726"/>
      <c r="AL1022" s="1726"/>
      <c r="AM1022" s="1726"/>
      <c r="AN1022" s="1726"/>
      <c r="AO1022" s="1726"/>
      <c r="AP1022" s="1726"/>
      <c r="AQ1022" s="1727"/>
      <c r="AR1022" s="68"/>
      <c r="AS1022" s="68"/>
      <c r="AT1022" s="68"/>
      <c r="AU1022" s="68"/>
      <c r="AV1022" s="68"/>
      <c r="AW1022" s="68"/>
      <c r="AX1022" s="3">
        <v>10</v>
      </c>
      <c r="AY1022" s="200">
        <f t="shared" si="53"/>
        <v>0</v>
      </c>
      <c r="AZ1022" s="1255">
        <v>0.02</v>
      </c>
    </row>
    <row r="1023" spans="1:52" ht="12.9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1"/>
      <c r="AG1023" s="1771"/>
      <c r="AH1023" s="1771"/>
      <c r="AI1023" s="1771"/>
      <c r="AJ1023" s="1725"/>
      <c r="AK1023" s="1726"/>
      <c r="AL1023" s="1726"/>
      <c r="AM1023" s="1726"/>
      <c r="AN1023" s="1726"/>
      <c r="AO1023" s="1726"/>
      <c r="AP1023" s="1726"/>
      <c r="AQ1023" s="172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0" t="s">
        <v>592</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1"/>
      <c r="AG1024" s="1771"/>
      <c r="AH1024" s="1771"/>
      <c r="AI1024" s="1771"/>
      <c r="AJ1024" s="1728"/>
      <c r="AK1024" s="1729"/>
      <c r="AL1024" s="1729"/>
      <c r="AM1024" s="1729"/>
      <c r="AN1024" s="1729"/>
      <c r="AO1024" s="1729"/>
      <c r="AP1024" s="1729"/>
      <c r="AQ1024" s="1730"/>
      <c r="AR1024" s="68"/>
      <c r="AS1024" s="68"/>
      <c r="AT1024" s="68"/>
      <c r="AU1024" s="68"/>
      <c r="AV1024" s="68"/>
      <c r="AW1024" s="68"/>
      <c r="AX1024" s="1032" t="s">
        <v>2606</v>
      </c>
      <c r="AY1024" s="201">
        <f>IF(SUM(AY1013:AY1023)&lt;=0.2,SUM(AY1013:AY1023),0.2)</f>
        <v>0.2</v>
      </c>
    </row>
    <row r="1025" spans="1:57" ht="12.95" customHeight="1">
      <c r="A1025" s="14"/>
      <c r="B1025" s="79"/>
      <c r="C1025" s="80" t="s">
        <v>229</v>
      </c>
      <c r="D1025" s="1762" t="s">
        <v>1295</v>
      </c>
      <c r="E1025" s="1763"/>
      <c r="F1025" s="1763"/>
      <c r="G1025" s="1763"/>
      <c r="H1025" s="1763"/>
      <c r="I1025" s="1763"/>
      <c r="J1025" s="1763"/>
      <c r="K1025" s="1763"/>
      <c r="L1025" s="1763"/>
      <c r="M1025" s="1763"/>
      <c r="N1025" s="1763"/>
      <c r="O1025" s="1763"/>
      <c r="P1025" s="1763"/>
      <c r="Q1025" s="1763"/>
      <c r="R1025" s="1763"/>
      <c r="S1025" s="1763"/>
      <c r="T1025" s="1763"/>
      <c r="U1025" s="1763"/>
      <c r="V1025" s="1763"/>
      <c r="W1025" s="1763"/>
      <c r="X1025" s="1763"/>
      <c r="Y1025" s="1763"/>
      <c r="Z1025" s="1763"/>
      <c r="AA1025" s="1763"/>
      <c r="AB1025" s="1763"/>
      <c r="AC1025" s="1763"/>
      <c r="AD1025" s="1763"/>
      <c r="AE1025" s="1764"/>
      <c r="AF1025" s="79"/>
      <c r="AG1025" s="1748" t="s">
        <v>670</v>
      </c>
      <c r="AH1025" s="1749"/>
      <c r="AI1025" s="87"/>
      <c r="AJ1025" s="1722">
        <f>ROUND(IF(AG1025="Yes",AF1027,0),0)</f>
        <v>0</v>
      </c>
      <c r="AK1025" s="1723"/>
      <c r="AL1025" s="1723"/>
      <c r="AM1025" s="1723"/>
      <c r="AN1025" s="1723"/>
      <c r="AO1025" s="1723"/>
      <c r="AP1025" s="1723"/>
      <c r="AQ1025" s="1724"/>
      <c r="AR1025" s="68"/>
      <c r="AS1025" s="68"/>
      <c r="AT1025" s="68"/>
      <c r="AU1025" s="68"/>
      <c r="AV1025" s="68"/>
      <c r="AW1025" s="68"/>
      <c r="AX1025" s="68"/>
      <c r="AY1025" s="68"/>
    </row>
    <row r="1026" spans="1:57" ht="12.95" customHeight="1">
      <c r="A1026" s="14"/>
      <c r="B1026" s="73"/>
      <c r="C1026" s="74"/>
      <c r="D1026" s="1694" t="s">
        <v>1691</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6" t="str">
        <f>IF(AG1025="yes","Enter Amount:","")</f>
        <v/>
      </c>
      <c r="AG1026" s="1817"/>
      <c r="AH1026" s="1817"/>
      <c r="AI1026" s="1818"/>
      <c r="AJ1026" s="1725"/>
      <c r="AK1026" s="1726"/>
      <c r="AL1026" s="1726"/>
      <c r="AM1026" s="1726"/>
      <c r="AN1026" s="1726"/>
      <c r="AO1026" s="1726"/>
      <c r="AP1026" s="1726"/>
      <c r="AQ1026" s="1727"/>
      <c r="AR1026" s="68"/>
      <c r="AS1026" s="68"/>
      <c r="AT1026" s="68"/>
      <c r="AU1026" s="68"/>
      <c r="AV1026" s="68"/>
      <c r="AW1026" s="68"/>
      <c r="AX1026" s="68"/>
      <c r="AY1026" s="68"/>
    </row>
    <row r="1027" spans="1:57" ht="12.9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1"/>
      <c r="AG1027" s="1771"/>
      <c r="AH1027" s="1771"/>
      <c r="AI1027" s="1771"/>
      <c r="AJ1027" s="1725"/>
      <c r="AK1027" s="1726"/>
      <c r="AL1027" s="1726"/>
      <c r="AM1027" s="1726"/>
      <c r="AN1027" s="1726"/>
      <c r="AO1027" s="1726"/>
      <c r="AP1027" s="1726"/>
      <c r="AQ1027" s="172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0"/>
      <c r="E1028" s="1741"/>
      <c r="F1028" s="1741"/>
      <c r="G1028" s="1741"/>
      <c r="H1028" s="1741"/>
      <c r="I1028" s="1741"/>
      <c r="J1028" s="1741"/>
      <c r="K1028" s="1741"/>
      <c r="L1028" s="1741"/>
      <c r="M1028" s="1741"/>
      <c r="N1028" s="1741"/>
      <c r="O1028" s="1741"/>
      <c r="P1028" s="1741"/>
      <c r="Q1028" s="1741"/>
      <c r="R1028" s="1741"/>
      <c r="S1028" s="1741"/>
      <c r="T1028" s="1741"/>
      <c r="U1028" s="1741"/>
      <c r="V1028" s="1741"/>
      <c r="W1028" s="1741"/>
      <c r="X1028" s="1741"/>
      <c r="Y1028" s="1741"/>
      <c r="Z1028" s="1741"/>
      <c r="AA1028" s="1741"/>
      <c r="AB1028" s="1741"/>
      <c r="AC1028" s="1741"/>
      <c r="AD1028" s="1741"/>
      <c r="AE1028" s="1742"/>
      <c r="AF1028" s="1771"/>
      <c r="AG1028" s="1771"/>
      <c r="AH1028" s="1771"/>
      <c r="AI1028" s="1771"/>
      <c r="AJ1028" s="1728"/>
      <c r="AK1028" s="1729"/>
      <c r="AL1028" s="1729"/>
      <c r="AM1028" s="1729"/>
      <c r="AN1028" s="1729"/>
      <c r="AO1028" s="1729"/>
      <c r="AP1028" s="1729"/>
      <c r="AQ1028" s="1730"/>
      <c r="AR1028" s="68"/>
      <c r="AS1028" s="68"/>
      <c r="AT1028" s="68"/>
      <c r="AU1028" s="68"/>
      <c r="AV1028" s="68"/>
      <c r="AW1028" s="68"/>
      <c r="AX1028" s="68"/>
      <c r="AY1028" s="68"/>
    </row>
    <row r="1029" spans="1:57" ht="12.95" customHeight="1">
      <c r="A1029" s="14"/>
      <c r="B1029" s="79"/>
      <c r="C1029" s="80" t="s">
        <v>234</v>
      </c>
      <c r="D1029" s="1731" t="s">
        <v>1296</v>
      </c>
      <c r="E1029" s="1732"/>
      <c r="F1029" s="1732"/>
      <c r="G1029" s="1732"/>
      <c r="H1029" s="1732"/>
      <c r="I1029" s="1732"/>
      <c r="J1029" s="1732"/>
      <c r="K1029" s="1732"/>
      <c r="L1029" s="1732"/>
      <c r="M1029" s="1732"/>
      <c r="N1029" s="1732"/>
      <c r="O1029" s="1732"/>
      <c r="P1029" s="1732"/>
      <c r="Q1029" s="1732"/>
      <c r="R1029" s="1732"/>
      <c r="S1029" s="1732"/>
      <c r="T1029" s="1732"/>
      <c r="U1029" s="1732"/>
      <c r="V1029" s="1732"/>
      <c r="W1029" s="1732"/>
      <c r="X1029" s="1732"/>
      <c r="Y1029" s="1732"/>
      <c r="Z1029" s="1732"/>
      <c r="AA1029" s="1732"/>
      <c r="AB1029" s="1732"/>
      <c r="AC1029" s="1732"/>
      <c r="AD1029" s="1732"/>
      <c r="AE1029" s="1733"/>
      <c r="AF1029" s="79"/>
      <c r="AG1029" s="1748" t="s">
        <v>670</v>
      </c>
      <c r="AH1029" s="1749"/>
      <c r="AI1029" s="87"/>
      <c r="AJ1029" s="1722">
        <f>ROUND(IF(AG1029="yes",(AJ992*0.1),0),0)</f>
        <v>0</v>
      </c>
      <c r="AK1029" s="1723"/>
      <c r="AL1029" s="1723"/>
      <c r="AM1029" s="1723"/>
      <c r="AN1029" s="1723"/>
      <c r="AO1029" s="1723"/>
      <c r="AP1029" s="1723"/>
      <c r="AQ1029" s="1724"/>
      <c r="AR1029" s="68"/>
      <c r="AS1029" s="68"/>
      <c r="AT1029" s="68"/>
      <c r="AU1029" s="68"/>
      <c r="AV1029" s="68"/>
      <c r="AW1029" s="68"/>
      <c r="AX1029" s="68"/>
      <c r="AY1029" s="68"/>
    </row>
    <row r="1030" spans="1:57" ht="12.95" customHeight="1">
      <c r="A1030" s="14"/>
      <c r="B1030" s="73"/>
      <c r="C1030" s="74"/>
      <c r="D1030" s="1694" t="s">
        <v>1297</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5"/>
      <c r="AK1030" s="1726"/>
      <c r="AL1030" s="1726"/>
      <c r="AM1030" s="1726"/>
      <c r="AN1030" s="1726"/>
      <c r="AO1030" s="1726"/>
      <c r="AP1030" s="1726"/>
      <c r="AQ1030" s="1727"/>
      <c r="AR1030" s="68"/>
      <c r="AS1030" s="68"/>
      <c r="AT1030" s="68"/>
      <c r="AU1030" s="68"/>
      <c r="AV1030" s="68"/>
      <c r="AW1030" s="68"/>
      <c r="AX1030" s="68"/>
      <c r="AY1030" s="68"/>
    </row>
    <row r="1031" spans="1:57" ht="12.95" customHeight="1">
      <c r="A1031" s="14"/>
      <c r="B1031" s="77"/>
      <c r="C1031" s="74"/>
      <c r="D1031" s="1740"/>
      <c r="E1031" s="1741"/>
      <c r="F1031" s="1741"/>
      <c r="G1031" s="1741"/>
      <c r="H1031" s="1741"/>
      <c r="I1031" s="1741"/>
      <c r="J1031" s="1741"/>
      <c r="K1031" s="1741"/>
      <c r="L1031" s="1741"/>
      <c r="M1031" s="1741"/>
      <c r="N1031" s="1741"/>
      <c r="O1031" s="1741"/>
      <c r="P1031" s="1741"/>
      <c r="Q1031" s="1741"/>
      <c r="R1031" s="1741"/>
      <c r="S1031" s="1741"/>
      <c r="T1031" s="1741"/>
      <c r="U1031" s="1741"/>
      <c r="V1031" s="1741"/>
      <c r="W1031" s="1741"/>
      <c r="X1031" s="1741"/>
      <c r="Y1031" s="1741"/>
      <c r="Z1031" s="1741"/>
      <c r="AA1031" s="1741"/>
      <c r="AB1031" s="1741"/>
      <c r="AC1031" s="1741"/>
      <c r="AD1031" s="1741"/>
      <c r="AE1031" s="1742"/>
      <c r="AF1031" s="73"/>
      <c r="AG1031" s="14"/>
      <c r="AH1031" s="14"/>
      <c r="AI1031" s="83"/>
      <c r="AJ1031" s="1728"/>
      <c r="AK1031" s="1729"/>
      <c r="AL1031" s="1729"/>
      <c r="AM1031" s="1729"/>
      <c r="AN1031" s="1729"/>
      <c r="AO1031" s="1729"/>
      <c r="AP1031" s="1729"/>
      <c r="AQ1031" s="1730"/>
      <c r="AR1031" s="68"/>
      <c r="AS1031" s="68"/>
      <c r="AT1031" s="68"/>
      <c r="AU1031" s="68"/>
      <c r="AV1031" s="68"/>
      <c r="AW1031" s="68"/>
      <c r="AX1031" s="68"/>
      <c r="AY1031" s="68"/>
    </row>
    <row r="1032" spans="1:57" ht="12.95" customHeight="1">
      <c r="A1032" s="14"/>
      <c r="B1032" s="73"/>
      <c r="C1032" s="339" t="s">
        <v>688</v>
      </c>
      <c r="D1032" s="1762" t="s">
        <v>1687</v>
      </c>
      <c r="E1032" s="1763"/>
      <c r="F1032" s="1763"/>
      <c r="G1032" s="1763"/>
      <c r="H1032" s="1763"/>
      <c r="I1032" s="1763"/>
      <c r="J1032" s="1763"/>
      <c r="K1032" s="1763"/>
      <c r="L1032" s="1763"/>
      <c r="M1032" s="1763"/>
      <c r="N1032" s="1763"/>
      <c r="O1032" s="1763"/>
      <c r="P1032" s="1763"/>
      <c r="Q1032" s="1763"/>
      <c r="R1032" s="1763"/>
      <c r="S1032" s="1763"/>
      <c r="T1032" s="1763"/>
      <c r="U1032" s="1763"/>
      <c r="V1032" s="1763"/>
      <c r="W1032" s="1763"/>
      <c r="X1032" s="1763"/>
      <c r="Y1032" s="1763"/>
      <c r="Z1032" s="1763"/>
      <c r="AA1032" s="1763"/>
      <c r="AB1032" s="1763"/>
      <c r="AC1032" s="1763"/>
      <c r="AD1032" s="1763"/>
      <c r="AE1032" s="1764"/>
      <c r="AF1032" s="79"/>
      <c r="AG1032" s="1748" t="s">
        <v>670</v>
      </c>
      <c r="AH1032" s="1749"/>
      <c r="AI1032" s="87"/>
      <c r="AJ1032" s="1722">
        <f>ROUND(IF(AG1032="yes",(AJ992*0.15),0),0)</f>
        <v>0</v>
      </c>
      <c r="AK1032" s="1723"/>
      <c r="AL1032" s="1723"/>
      <c r="AM1032" s="1723"/>
      <c r="AN1032" s="1723"/>
      <c r="AO1032" s="1723"/>
      <c r="AP1032" s="1723"/>
      <c r="AQ1032" s="1724"/>
      <c r="AR1032" s="68"/>
      <c r="AS1032" s="68"/>
      <c r="AT1032" s="68"/>
      <c r="AU1032" s="68"/>
      <c r="AV1032" s="68"/>
      <c r="AW1032" s="68"/>
      <c r="AX1032" s="68"/>
      <c r="AY1032" s="68"/>
    </row>
    <row r="1033" spans="1:57" ht="12.95" customHeight="1">
      <c r="A1033" s="14"/>
      <c r="B1033" s="73"/>
      <c r="C1033" s="74"/>
      <c r="D1033" s="1799"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0"/>
      <c r="AF1033" s="915"/>
      <c r="AG1033" s="916"/>
      <c r="AH1033" s="916"/>
      <c r="AI1033" s="917"/>
      <c r="AJ1033" s="1725"/>
      <c r="AK1033" s="1726"/>
      <c r="AL1033" s="1726"/>
      <c r="AM1033" s="1726"/>
      <c r="AN1033" s="1726"/>
      <c r="AO1033" s="1726"/>
      <c r="AP1033" s="1726"/>
      <c r="AQ1033" s="1727"/>
      <c r="AR1033" s="68"/>
      <c r="AS1033" s="68"/>
      <c r="AT1033" s="68"/>
      <c r="AU1033" s="68"/>
      <c r="AV1033" s="68"/>
      <c r="AW1033" s="68"/>
      <c r="AX1033" s="68"/>
      <c r="AY1033" s="68"/>
    </row>
    <row r="1034" spans="1:57" ht="12.95" customHeight="1">
      <c r="A1034" s="14"/>
      <c r="B1034" s="73"/>
      <c r="C1034" s="74"/>
      <c r="D1034" s="1799"/>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0"/>
      <c r="AF1034" s="915"/>
      <c r="AG1034" s="916"/>
      <c r="AH1034" s="916"/>
      <c r="AI1034" s="917"/>
      <c r="AJ1034" s="1725"/>
      <c r="AK1034" s="1726"/>
      <c r="AL1034" s="1726"/>
      <c r="AM1034" s="1726"/>
      <c r="AN1034" s="1726"/>
      <c r="AO1034" s="1726"/>
      <c r="AP1034" s="1726"/>
      <c r="AQ1034" s="1727"/>
      <c r="AR1034" s="68"/>
      <c r="AS1034" s="68"/>
      <c r="AT1034" s="68"/>
      <c r="AU1034" s="68"/>
      <c r="AV1034" s="68"/>
      <c r="AW1034" s="68"/>
      <c r="AX1034" s="68"/>
      <c r="AY1034" s="68"/>
    </row>
    <row r="1035" spans="1:57" ht="12.95" customHeight="1">
      <c r="A1035" s="14"/>
      <c r="B1035" s="73"/>
      <c r="C1035" s="74"/>
      <c r="D1035" s="1801"/>
      <c r="E1035" s="1802"/>
      <c r="F1035" s="1802"/>
      <c r="G1035" s="1802"/>
      <c r="H1035" s="1802"/>
      <c r="I1035" s="1802"/>
      <c r="J1035" s="1802"/>
      <c r="K1035" s="1802"/>
      <c r="L1035" s="1802"/>
      <c r="M1035" s="1802"/>
      <c r="N1035" s="1802"/>
      <c r="O1035" s="1802"/>
      <c r="P1035" s="1802"/>
      <c r="Q1035" s="1802"/>
      <c r="R1035" s="1802"/>
      <c r="S1035" s="1802"/>
      <c r="T1035" s="1802"/>
      <c r="U1035" s="1802"/>
      <c r="V1035" s="1802"/>
      <c r="W1035" s="1802"/>
      <c r="X1035" s="1802"/>
      <c r="Y1035" s="1802"/>
      <c r="Z1035" s="1802"/>
      <c r="AA1035" s="1802"/>
      <c r="AB1035" s="1802"/>
      <c r="AC1035" s="1802"/>
      <c r="AD1035" s="1802"/>
      <c r="AE1035" s="1803"/>
      <c r="AF1035" s="918"/>
      <c r="AG1035" s="919"/>
      <c r="AH1035" s="919"/>
      <c r="AI1035" s="920"/>
      <c r="AJ1035" s="1728"/>
      <c r="AK1035" s="1729"/>
      <c r="AL1035" s="1729"/>
      <c r="AM1035" s="1729"/>
      <c r="AN1035" s="1729"/>
      <c r="AO1035" s="1729"/>
      <c r="AP1035" s="1729"/>
      <c r="AQ1035" s="1730"/>
      <c r="AR1035" s="68"/>
      <c r="AS1035" s="68"/>
      <c r="AT1035" s="68"/>
      <c r="AU1035" s="68"/>
      <c r="AV1035" s="68"/>
      <c r="AW1035" s="68"/>
      <c r="AX1035" s="68"/>
      <c r="AY1035" s="68"/>
    </row>
    <row r="1036" spans="1:57" ht="12.95" customHeight="1">
      <c r="A1036" s="14"/>
      <c r="B1036" s="73"/>
      <c r="C1036" s="339" t="s">
        <v>688</v>
      </c>
      <c r="D1036" s="1731" t="s">
        <v>1689</v>
      </c>
      <c r="E1036" s="1732"/>
      <c r="F1036" s="1732"/>
      <c r="G1036" s="1732"/>
      <c r="H1036" s="1732"/>
      <c r="I1036" s="1732"/>
      <c r="J1036" s="1732"/>
      <c r="K1036" s="1732"/>
      <c r="L1036" s="1732"/>
      <c r="M1036" s="1732"/>
      <c r="N1036" s="1732"/>
      <c r="O1036" s="1732"/>
      <c r="P1036" s="1732"/>
      <c r="Q1036" s="1732"/>
      <c r="R1036" s="1732"/>
      <c r="S1036" s="1732"/>
      <c r="T1036" s="1732"/>
      <c r="U1036" s="1732"/>
      <c r="V1036" s="1732"/>
      <c r="W1036" s="1732"/>
      <c r="X1036" s="1732"/>
      <c r="Y1036" s="1732"/>
      <c r="Z1036" s="1732"/>
      <c r="AA1036" s="1732"/>
      <c r="AB1036" s="1732"/>
      <c r="AC1036" s="1732"/>
      <c r="AD1036" s="1732"/>
      <c r="AE1036" s="1733"/>
      <c r="AF1036" s="73"/>
      <c r="AG1036" s="1750" t="s">
        <v>670</v>
      </c>
      <c r="AH1036" s="1751"/>
      <c r="AI1036" s="83"/>
      <c r="AJ1036" s="1722">
        <f>ROUND(IF(AND(AG1036="yes",AJ1032=0),(AJ992*0.1),0),0)</f>
        <v>0</v>
      </c>
      <c r="AK1036" s="1723"/>
      <c r="AL1036" s="1723"/>
      <c r="AM1036" s="1723"/>
      <c r="AN1036" s="1723"/>
      <c r="AO1036" s="1723"/>
      <c r="AP1036" s="1723"/>
      <c r="AQ1036" s="1724"/>
      <c r="AR1036" s="68"/>
      <c r="AS1036" s="68"/>
      <c r="AT1036" s="68"/>
      <c r="AU1036" s="68"/>
      <c r="AV1036" s="68"/>
      <c r="AW1036" s="68"/>
      <c r="AX1036" s="68"/>
      <c r="AY1036" s="68"/>
    </row>
    <row r="1037" spans="1:57" ht="12.95" customHeight="1">
      <c r="A1037" s="14"/>
      <c r="B1037" s="73"/>
      <c r="C1037" s="74"/>
      <c r="D1037" s="1799"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0"/>
      <c r="AF1037" s="73"/>
      <c r="AG1037" s="14"/>
      <c r="AH1037" s="14"/>
      <c r="AI1037" s="83"/>
      <c r="AJ1037" s="1725"/>
      <c r="AK1037" s="1726"/>
      <c r="AL1037" s="1726"/>
      <c r="AM1037" s="1726"/>
      <c r="AN1037" s="1726"/>
      <c r="AO1037" s="1726"/>
      <c r="AP1037" s="1726"/>
      <c r="AQ1037" s="1727"/>
      <c r="AR1037" s="68"/>
      <c r="AS1037" s="68"/>
      <c r="AT1037" s="68"/>
      <c r="AU1037" s="68"/>
      <c r="AV1037" s="68"/>
      <c r="AW1037" s="68"/>
      <c r="AX1037" s="68"/>
      <c r="AY1037" s="68"/>
    </row>
    <row r="1038" spans="1:57" ht="12.95" customHeight="1">
      <c r="A1038" s="14"/>
      <c r="B1038" s="73"/>
      <c r="C1038" s="74"/>
      <c r="D1038" s="1799"/>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0"/>
      <c r="AF1038" s="73"/>
      <c r="AG1038" s="14"/>
      <c r="AH1038" s="14"/>
      <c r="AI1038" s="83"/>
      <c r="AJ1038" s="1725"/>
      <c r="AK1038" s="1726"/>
      <c r="AL1038" s="1726"/>
      <c r="AM1038" s="1726"/>
      <c r="AN1038" s="1726"/>
      <c r="AO1038" s="1726"/>
      <c r="AP1038" s="1726"/>
      <c r="AQ1038" s="1727"/>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799"/>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0"/>
      <c r="AF1039" s="73"/>
      <c r="AG1039" s="14"/>
      <c r="AH1039" s="14"/>
      <c r="AI1039" s="83"/>
      <c r="AJ1039" s="1725"/>
      <c r="AK1039" s="1726"/>
      <c r="AL1039" s="1726"/>
      <c r="AM1039" s="1726"/>
      <c r="AN1039" s="1726"/>
      <c r="AO1039" s="1726"/>
      <c r="AP1039" s="1726"/>
      <c r="AQ1039" s="1727"/>
      <c r="AR1039" s="68"/>
      <c r="AS1039" s="68"/>
      <c r="AT1039" s="68"/>
      <c r="AU1039" s="68"/>
      <c r="AV1039" s="68"/>
      <c r="AW1039" s="68"/>
      <c r="AX1039" s="68"/>
      <c r="AY1039" s="68"/>
      <c r="BA1039">
        <f>IFERROR((($CI$753+$CM$753)/$AG$440),0)</f>
        <v>0.2834890965732087</v>
      </c>
      <c r="BB1039" s="3" t="s">
        <v>2493</v>
      </c>
    </row>
    <row r="1040" spans="1:57" ht="12.95" customHeight="1">
      <c r="A1040" s="14"/>
      <c r="B1040" s="73"/>
      <c r="C1040" s="74"/>
      <c r="D1040" s="1801"/>
      <c r="E1040" s="1802"/>
      <c r="F1040" s="1802"/>
      <c r="G1040" s="1802"/>
      <c r="H1040" s="1802"/>
      <c r="I1040" s="1802"/>
      <c r="J1040" s="1802"/>
      <c r="K1040" s="1802"/>
      <c r="L1040" s="1802"/>
      <c r="M1040" s="1802"/>
      <c r="N1040" s="1802"/>
      <c r="O1040" s="1802"/>
      <c r="P1040" s="1802"/>
      <c r="Q1040" s="1802"/>
      <c r="R1040" s="1802"/>
      <c r="S1040" s="1802"/>
      <c r="T1040" s="1802"/>
      <c r="U1040" s="1802"/>
      <c r="V1040" s="1802"/>
      <c r="W1040" s="1802"/>
      <c r="X1040" s="1802"/>
      <c r="Y1040" s="1802"/>
      <c r="Z1040" s="1802"/>
      <c r="AA1040" s="1802"/>
      <c r="AB1040" s="1802"/>
      <c r="AC1040" s="1802"/>
      <c r="AD1040" s="1802"/>
      <c r="AE1040" s="1803"/>
      <c r="AF1040" s="73"/>
      <c r="AG1040" s="14"/>
      <c r="AH1040" s="14"/>
      <c r="AI1040" s="83"/>
      <c r="AJ1040" s="1725"/>
      <c r="AK1040" s="1726"/>
      <c r="AL1040" s="1726"/>
      <c r="AM1040" s="1726"/>
      <c r="AN1040" s="1726"/>
      <c r="AO1040" s="1726"/>
      <c r="AP1040" s="1726"/>
      <c r="AQ1040" s="1727"/>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762" t="s">
        <v>1298</v>
      </c>
      <c r="E1041" s="1763"/>
      <c r="F1041" s="1763"/>
      <c r="G1041" s="1763"/>
      <c r="H1041" s="1763"/>
      <c r="I1041" s="1763"/>
      <c r="J1041" s="1763"/>
      <c r="K1041" s="1763"/>
      <c r="L1041" s="1763"/>
      <c r="M1041" s="1763"/>
      <c r="N1041" s="1763"/>
      <c r="O1041" s="1763"/>
      <c r="P1041" s="1763"/>
      <c r="Q1041" s="1763"/>
      <c r="R1041" s="1763"/>
      <c r="S1041" s="1763"/>
      <c r="T1041" s="1763"/>
      <c r="U1041" s="1763"/>
      <c r="V1041" s="1763"/>
      <c r="W1041" s="1763"/>
      <c r="X1041" s="1763"/>
      <c r="Y1041" s="1763"/>
      <c r="Z1041" s="1763"/>
      <c r="AA1041" s="1763"/>
      <c r="AB1041" s="1763"/>
      <c r="AC1041" s="1763"/>
      <c r="AD1041" s="1763"/>
      <c r="AE1041" s="1764"/>
      <c r="AF1041" s="79"/>
      <c r="AG1041" s="1748" t="s">
        <v>670</v>
      </c>
      <c r="AH1041" s="1749"/>
      <c r="AI1041" s="87"/>
      <c r="AJ1041" s="1722">
        <f>ROUND(IF(AG1041="yes",(AJ992*0.1),0),0)</f>
        <v>0</v>
      </c>
      <c r="AK1041" s="1723"/>
      <c r="AL1041" s="1723"/>
      <c r="AM1041" s="1723"/>
      <c r="AN1041" s="1723"/>
      <c r="AO1041" s="1723"/>
      <c r="AP1041" s="1723"/>
      <c r="AQ1041" s="1724"/>
      <c r="AR1041" s="68"/>
      <c r="AS1041" s="68"/>
      <c r="AT1041" s="68"/>
      <c r="AU1041" s="68"/>
      <c r="AV1041" s="68"/>
      <c r="AW1041" s="68"/>
      <c r="AX1041" s="68"/>
      <c r="AY1041" s="68"/>
      <c r="BA1041">
        <f>Q212</f>
        <v>0</v>
      </c>
      <c r="BB1041" s="3" t="s">
        <v>2491</v>
      </c>
    </row>
    <row r="1042" spans="1:56" ht="12.95" customHeight="1">
      <c r="A1042" s="14"/>
      <c r="B1042" s="73"/>
      <c r="C1042" s="74"/>
      <c r="D1042" s="1694" t="s">
        <v>2145</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5"/>
      <c r="AK1042" s="1726"/>
      <c r="AL1042" s="1726"/>
      <c r="AM1042" s="1726"/>
      <c r="AN1042" s="1726"/>
      <c r="AO1042" s="1726"/>
      <c r="AP1042" s="1726"/>
      <c r="AQ1042" s="1727"/>
      <c r="AR1042" s="68"/>
      <c r="AS1042" s="68"/>
      <c r="AT1042" s="68"/>
      <c r="AU1042" s="68"/>
      <c r="AV1042" s="68"/>
      <c r="AW1042" s="68"/>
      <c r="AX1042" s="68"/>
      <c r="AY1042" s="68"/>
      <c r="BA1042" s="1184">
        <f>T212</f>
        <v>0</v>
      </c>
      <c r="BB1042" s="3" t="s">
        <v>2492</v>
      </c>
    </row>
    <row r="1043" spans="1:56" ht="12.9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5"/>
      <c r="AK1043" s="1726"/>
      <c r="AL1043" s="1726"/>
      <c r="AM1043" s="1726"/>
      <c r="AN1043" s="1726"/>
      <c r="AO1043" s="1726"/>
      <c r="AP1043" s="1726"/>
      <c r="AQ1043" s="1727"/>
      <c r="AR1043" s="68"/>
      <c r="AS1043" s="68"/>
      <c r="AT1043" s="68"/>
      <c r="AU1043" s="68"/>
      <c r="AV1043" s="68"/>
      <c r="AW1043" s="68"/>
      <c r="AX1043" s="68"/>
      <c r="AY1043" s="68"/>
    </row>
    <row r="1044" spans="1:56" ht="12.95" customHeight="1">
      <c r="A1044" s="14"/>
      <c r="B1044" s="73"/>
      <c r="C1044" s="74"/>
      <c r="D1044" s="1740"/>
      <c r="E1044" s="1741"/>
      <c r="F1044" s="1741"/>
      <c r="G1044" s="1741"/>
      <c r="H1044" s="1741"/>
      <c r="I1044" s="1741"/>
      <c r="J1044" s="1741"/>
      <c r="K1044" s="1741"/>
      <c r="L1044" s="1741"/>
      <c r="M1044" s="1741"/>
      <c r="N1044" s="1741"/>
      <c r="O1044" s="1741"/>
      <c r="P1044" s="1741"/>
      <c r="Q1044" s="1741"/>
      <c r="R1044" s="1741"/>
      <c r="S1044" s="1741"/>
      <c r="T1044" s="1741"/>
      <c r="U1044" s="1741"/>
      <c r="V1044" s="1741"/>
      <c r="W1044" s="1741"/>
      <c r="X1044" s="1741"/>
      <c r="Y1044" s="1741"/>
      <c r="Z1044" s="1741"/>
      <c r="AA1044" s="1741"/>
      <c r="AB1044" s="1741"/>
      <c r="AC1044" s="1741"/>
      <c r="AD1044" s="1741"/>
      <c r="AE1044" s="1742"/>
      <c r="AF1044" s="73"/>
      <c r="AG1044" s="14"/>
      <c r="AH1044" s="14"/>
      <c r="AI1044" s="83"/>
      <c r="AJ1044" s="1728"/>
      <c r="AK1044" s="1729"/>
      <c r="AL1044" s="1729"/>
      <c r="AM1044" s="1729"/>
      <c r="AN1044" s="1729"/>
      <c r="AO1044" s="1729"/>
      <c r="AP1044" s="1729"/>
      <c r="AQ1044" s="1730"/>
      <c r="AR1044" s="68"/>
      <c r="AS1044" s="68"/>
      <c r="AT1044" s="68"/>
      <c r="AU1044" s="68"/>
      <c r="AV1044" s="68"/>
      <c r="AW1044" s="68"/>
      <c r="AX1044" s="68"/>
      <c r="AY1044" s="68"/>
    </row>
    <row r="1045" spans="1:56" ht="12.95" customHeight="1">
      <c r="A1045" s="14"/>
      <c r="B1045" s="79"/>
      <c r="C1045" s="131" t="s">
        <v>1685</v>
      </c>
      <c r="D1045" s="1731" t="s">
        <v>1865</v>
      </c>
      <c r="E1045" s="1732"/>
      <c r="F1045" s="1732"/>
      <c r="G1045" s="1732"/>
      <c r="H1045" s="1732"/>
      <c r="I1045" s="1732"/>
      <c r="J1045" s="1732"/>
      <c r="K1045" s="1732"/>
      <c r="L1045" s="1732"/>
      <c r="M1045" s="1732"/>
      <c r="N1045" s="1732"/>
      <c r="O1045" s="1732"/>
      <c r="P1045" s="1732"/>
      <c r="Q1045" s="1732"/>
      <c r="R1045" s="1732"/>
      <c r="S1045" s="1732"/>
      <c r="T1045" s="1732"/>
      <c r="U1045" s="1732"/>
      <c r="V1045" s="1732"/>
      <c r="W1045" s="1732"/>
      <c r="X1045" s="1732"/>
      <c r="Y1045" s="1732"/>
      <c r="Z1045" s="1732"/>
      <c r="AA1045" s="1732"/>
      <c r="AB1045" s="1732"/>
      <c r="AC1045" s="1732"/>
      <c r="AD1045" s="1732"/>
      <c r="AE1045" s="1733"/>
      <c r="AF1045" s="79"/>
      <c r="AG1045" s="1746" t="str">
        <f>IF(X1048&gt;0,"Yes","No")</f>
        <v>Yes</v>
      </c>
      <c r="AH1045" s="1747"/>
      <c r="AI1045" s="87"/>
      <c r="AJ1045" s="1722">
        <f>IF((X1048=0),0,AY1005*AJ992)</f>
        <v>26171426.900000002</v>
      </c>
      <c r="AK1045" s="1723"/>
      <c r="AL1045" s="1723"/>
      <c r="AM1045" s="1723"/>
      <c r="AN1045" s="1723"/>
      <c r="AO1045" s="1723"/>
      <c r="AP1045" s="1723"/>
      <c r="AQ1045" s="172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694" t="s">
        <v>1300</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3"/>
      <c r="AH1046" s="443"/>
      <c r="AI1046" s="83"/>
      <c r="AJ1046" s="1725"/>
      <c r="AK1046" s="1726"/>
      <c r="AL1046" s="1726"/>
      <c r="AM1046" s="1726"/>
      <c r="AN1046" s="1726"/>
      <c r="AO1046" s="1726"/>
      <c r="AP1046" s="1726"/>
      <c r="AQ1046" s="1727"/>
      <c r="AR1046" s="68"/>
      <c r="AS1046" s="68"/>
      <c r="AT1046" s="68"/>
      <c r="AU1046" s="13"/>
      <c r="AV1046" s="68"/>
      <c r="AW1046" s="68"/>
      <c r="AX1046" s="68"/>
      <c r="AY1046" s="68"/>
      <c r="AZ1046" s="962">
        <f>'Sources and Uses Budget'!S97*BA1046</f>
        <v>18636255.300000001</v>
      </c>
      <c r="BA1046" s="1182">
        <f>IF(BA1040,20%,15%)</f>
        <v>0.15</v>
      </c>
      <c r="BB1046" s="3" t="s">
        <v>2479</v>
      </c>
      <c r="BC1046" s="3" t="s">
        <v>2480</v>
      </c>
      <c r="BD1046" s="3"/>
    </row>
    <row r="1047" spans="1:56" ht="12.95" customHeight="1">
      <c r="A1047" s="14"/>
      <c r="B1047" s="73"/>
      <c r="C1047" s="442"/>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3"/>
      <c r="AH1047" s="443"/>
      <c r="AI1047" s="83"/>
      <c r="AJ1047" s="1725"/>
      <c r="AK1047" s="1726"/>
      <c r="AL1047" s="1726"/>
      <c r="AM1047" s="1726"/>
      <c r="AN1047" s="1726"/>
      <c r="AO1047" s="1726"/>
      <c r="AP1047" s="1726"/>
      <c r="AQ1047" s="1727"/>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785">
        <f>AY1003</f>
        <v>321</v>
      </c>
      <c r="J1048" s="1786"/>
      <c r="K1048" s="7"/>
      <c r="L1048" s="133"/>
      <c r="M1048" s="133"/>
      <c r="N1048" s="133"/>
      <c r="O1048" s="133"/>
      <c r="P1048" s="133"/>
      <c r="Q1048" s="133"/>
      <c r="R1048" s="133"/>
      <c r="S1048" s="133"/>
      <c r="T1048" s="133"/>
      <c r="U1048" s="133"/>
      <c r="V1048" s="134" t="s">
        <v>974</v>
      </c>
      <c r="W1048" s="48"/>
      <c r="X1048" s="1783">
        <f>CI753</f>
        <v>57</v>
      </c>
      <c r="Y1048" s="1784"/>
      <c r="Z1048" s="48"/>
      <c r="AA1048" s="48"/>
      <c r="AB1048" s="48"/>
      <c r="AC1048" s="48"/>
      <c r="AD1048" s="48"/>
      <c r="AE1048" s="49"/>
      <c r="AF1048" s="924"/>
      <c r="AG1048" s="925"/>
      <c r="AH1048" s="925"/>
      <c r="AI1048" s="926"/>
      <c r="AJ1048" s="1728"/>
      <c r="AK1048" s="1729"/>
      <c r="AL1048" s="1729"/>
      <c r="AM1048" s="1729"/>
      <c r="AN1048" s="1729"/>
      <c r="AO1048" s="1729"/>
      <c r="AP1048" s="1729"/>
      <c r="AQ1048" s="173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2.95" customHeight="1">
      <c r="A1049" s="14"/>
      <c r="B1049" s="79"/>
      <c r="C1049" s="131" t="s">
        <v>1686</v>
      </c>
      <c r="D1049" s="1762" t="s">
        <v>2171</v>
      </c>
      <c r="E1049" s="1763"/>
      <c r="F1049" s="1763"/>
      <c r="G1049" s="1763"/>
      <c r="H1049" s="1763"/>
      <c r="I1049" s="1763"/>
      <c r="J1049" s="1763"/>
      <c r="K1049" s="1763"/>
      <c r="L1049" s="1763"/>
      <c r="M1049" s="1763"/>
      <c r="N1049" s="1763"/>
      <c r="O1049" s="1763"/>
      <c r="P1049" s="1763"/>
      <c r="Q1049" s="1763"/>
      <c r="R1049" s="1763"/>
      <c r="S1049" s="1763"/>
      <c r="T1049" s="1763"/>
      <c r="U1049" s="1763"/>
      <c r="V1049" s="1763"/>
      <c r="W1049" s="1763"/>
      <c r="X1049" s="1763"/>
      <c r="Y1049" s="1763"/>
      <c r="Z1049" s="1763"/>
      <c r="AA1049" s="1763"/>
      <c r="AB1049" s="1763"/>
      <c r="AC1049" s="1763"/>
      <c r="AD1049" s="1763"/>
      <c r="AE1049" s="1764"/>
      <c r="AF1049" s="73"/>
      <c r="AG1049" s="1746" t="str">
        <f>IF(X1052&gt;0,"Yes","No")</f>
        <v>Yes</v>
      </c>
      <c r="AH1049" s="1747"/>
      <c r="AI1049" s="83"/>
      <c r="AJ1049" s="1722">
        <f>IF((X1052=0),0,(2*AY1006)*AJ992)</f>
        <v>30789914</v>
      </c>
      <c r="AK1049" s="1723"/>
      <c r="AL1049" s="1723"/>
      <c r="AM1049" s="1723"/>
      <c r="AN1049" s="1723"/>
      <c r="AO1049" s="1723"/>
      <c r="AP1049" s="1723"/>
      <c r="AQ1049" s="1724"/>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694" t="s">
        <v>1299</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3"/>
      <c r="AH1050" s="443"/>
      <c r="AI1050" s="83"/>
      <c r="AJ1050" s="1725"/>
      <c r="AK1050" s="1726"/>
      <c r="AL1050" s="1726"/>
      <c r="AM1050" s="1726"/>
      <c r="AN1050" s="1726"/>
      <c r="AO1050" s="1726"/>
      <c r="AP1050" s="1726"/>
      <c r="AQ1050" s="1727"/>
      <c r="AR1050" s="68"/>
      <c r="AS1050" s="68"/>
      <c r="AT1050" s="68"/>
      <c r="AU1050" s="68"/>
      <c r="AV1050" s="68"/>
      <c r="AW1050" s="68"/>
      <c r="AX1050" s="68"/>
      <c r="AY1050" s="68"/>
      <c r="AZ1050" s="962"/>
      <c r="BA1050" s="3"/>
      <c r="BB1050" s="3"/>
      <c r="BC1050" s="3"/>
      <c r="BD1050" s="3"/>
    </row>
    <row r="1051" spans="1:56" ht="12.9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1"/>
      <c r="AG1051" s="922"/>
      <c r="AH1051" s="922"/>
      <c r="AI1051" s="923"/>
      <c r="AJ1051" s="1725"/>
      <c r="AK1051" s="1726"/>
      <c r="AL1051" s="1726"/>
      <c r="AM1051" s="1726"/>
      <c r="AN1051" s="1726"/>
      <c r="AO1051" s="1726"/>
      <c r="AP1051" s="1726"/>
      <c r="AQ1051" s="1727"/>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5">
        <f>AY1003</f>
        <v>321</v>
      </c>
      <c r="J1052" s="1786"/>
      <c r="K1052" s="14"/>
      <c r="L1052" s="133"/>
      <c r="M1052" s="133"/>
      <c r="N1052" s="133"/>
      <c r="O1052" s="133"/>
      <c r="P1052" s="133"/>
      <c r="Q1052" s="133"/>
      <c r="R1052" s="133"/>
      <c r="S1052" s="133"/>
      <c r="T1052" s="133"/>
      <c r="U1052" s="133"/>
      <c r="V1052" s="134" t="s">
        <v>975</v>
      </c>
      <c r="X1052" s="1783">
        <f>CM753</f>
        <v>34</v>
      </c>
      <c r="Y1052" s="1784"/>
      <c r="AF1052" s="924"/>
      <c r="AG1052" s="925"/>
      <c r="AH1052" s="925"/>
      <c r="AI1052" s="926"/>
      <c r="AJ1052" s="1728"/>
      <c r="AK1052" s="1729"/>
      <c r="AL1052" s="1729"/>
      <c r="AM1052" s="1729"/>
      <c r="AN1052" s="1729"/>
      <c r="AO1052" s="1729"/>
      <c r="AP1052" s="1729"/>
      <c r="AQ1052" s="1730"/>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1" t="s">
        <v>514</v>
      </c>
      <c r="E1053" s="1781"/>
      <c r="F1053" s="1781"/>
      <c r="G1053" s="1781"/>
      <c r="H1053" s="1781"/>
      <c r="I1053" s="1781"/>
      <c r="J1053" s="1781"/>
      <c r="K1053" s="1781"/>
      <c r="L1053" s="1781"/>
      <c r="M1053" s="1781"/>
      <c r="N1053" s="1781"/>
      <c r="O1053" s="1781"/>
      <c r="P1053" s="1781"/>
      <c r="Q1053" s="1781"/>
      <c r="R1053" s="1781"/>
      <c r="S1053" s="1781"/>
      <c r="T1053" s="1781"/>
      <c r="U1053" s="1781"/>
      <c r="V1053" s="1781"/>
      <c r="W1053" s="1781"/>
      <c r="X1053" s="1781"/>
      <c r="Y1053" s="1781"/>
      <c r="Z1053" s="1781"/>
      <c r="AA1053" s="1781"/>
      <c r="AB1053" s="1781"/>
      <c r="AC1053" s="1781"/>
      <c r="AD1053" s="1781"/>
      <c r="AE1053" s="1781"/>
      <c r="AF1053" s="1781"/>
      <c r="AG1053" s="1781"/>
      <c r="AH1053" s="1781"/>
      <c r="AI1053" s="1782"/>
      <c r="AJ1053" s="1796">
        <f>SUM(AJ992:AQ1052)</f>
        <v>210910910.90000001</v>
      </c>
      <c r="AK1053" s="1797"/>
      <c r="AL1053" s="1797"/>
      <c r="AM1053" s="1797"/>
      <c r="AN1053" s="1797"/>
      <c r="AO1053" s="1797"/>
      <c r="AP1053" s="1797"/>
      <c r="AQ1053" s="1798"/>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142877957</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18636255.300000001</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0.82326765836370963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18636255</v>
      </c>
      <c r="BB1058" s="3" t="s">
        <v>2494</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16136255</v>
      </c>
      <c r="BB1059" s="3" t="s">
        <v>2495</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5" t="s">
        <v>795</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546</v>
      </c>
      <c r="B1065" s="1416"/>
      <c r="C1065" s="1855">
        <v>1</v>
      </c>
      <c r="D1065" s="1855"/>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592</v>
      </c>
      <c r="B1067" s="1416"/>
      <c r="C1067" s="1855">
        <v>2</v>
      </c>
      <c r="D1067" s="1855"/>
      <c r="E1067" s="1857" t="s">
        <v>2238</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2.95"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2.95"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592</v>
      </c>
      <c r="B1070" s="1416"/>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592</v>
      </c>
      <c r="B1075" s="1416"/>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592</v>
      </c>
      <c r="B1081" s="1416"/>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592</v>
      </c>
      <c r="B1085" s="1416"/>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592</v>
      </c>
      <c r="B1089" s="1416"/>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592</v>
      </c>
      <c r="B1094" s="1416"/>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592</v>
      </c>
      <c r="B1097" s="1416"/>
      <c r="C1097" s="1855">
        <v>9</v>
      </c>
      <c r="D1097" s="1855"/>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592</v>
      </c>
      <c r="B1100" s="1416"/>
      <c r="C1100" s="1855">
        <v>10</v>
      </c>
      <c r="D1100" s="1855"/>
      <c r="E1100" s="1856" t="s">
        <v>2239</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2.95"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592</v>
      </c>
      <c r="B1103" s="1416"/>
      <c r="C1103" s="1855">
        <v>11</v>
      </c>
      <c r="D1103" s="1855"/>
      <c r="E1103" s="1856" t="s">
        <v>2241</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2.95"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2" workbookViewId="0">
      <selection activeCell="D108" sqref="D10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2)City of Rocklin</v>
      </c>
      <c r="H2" s="139" t="str">
        <f>Application!B629&amp;Application!C629</f>
        <v>3)USA Multi-Family Development, Inc.</v>
      </c>
      <c r="I2" s="139" t="str">
        <f>Application!B630&amp;Application!C630</f>
        <v>4)Net Operating Income</v>
      </c>
      <c r="J2" s="139" t="str">
        <f>Application!B631&amp;Application!C631</f>
        <v>5)Safehold, Inc.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f>
        <v>1</v>
      </c>
      <c r="F4" s="147"/>
      <c r="G4" s="147"/>
      <c r="H4" s="147"/>
      <c r="I4" s="147"/>
      <c r="J4" s="147"/>
      <c r="K4" s="147"/>
      <c r="L4" s="147"/>
      <c r="M4" s="147"/>
      <c r="N4" s="147"/>
      <c r="O4" s="147"/>
      <c r="P4" s="147"/>
      <c r="Q4" s="147"/>
      <c r="R4" s="516">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257651</v>
      </c>
      <c r="C10" s="147">
        <v>257651</v>
      </c>
      <c r="D10" s="147"/>
      <c r="E10" s="147"/>
      <c r="F10" s="147"/>
      <c r="G10" s="147">
        <f>C10</f>
        <v>257651</v>
      </c>
      <c r="H10" s="147"/>
      <c r="I10" s="147"/>
      <c r="J10" s="147"/>
      <c r="K10" s="147"/>
      <c r="L10" s="147"/>
      <c r="M10" s="147"/>
      <c r="N10" s="147"/>
      <c r="O10" s="147"/>
      <c r="P10" s="147"/>
      <c r="Q10" s="147"/>
      <c r="R10" s="516">
        <f>SUM(E10:Q10)</f>
        <v>257651</v>
      </c>
      <c r="S10" s="147">
        <f>C10</f>
        <v>257651</v>
      </c>
      <c r="T10" s="147"/>
      <c r="U10" s="143"/>
    </row>
    <row r="11" spans="1:21" s="144" customFormat="1">
      <c r="A11" s="149" t="s">
        <v>597</v>
      </c>
      <c r="B11" s="146">
        <f>SUM(C11:D11)</f>
        <v>257651</v>
      </c>
      <c r="C11" s="146">
        <f t="shared" ref="C11:Q11" si="1">SUM(C9:C10)</f>
        <v>257651</v>
      </c>
      <c r="D11" s="146">
        <f t="shared" si="1"/>
        <v>0</v>
      </c>
      <c r="E11" s="146">
        <f t="shared" si="1"/>
        <v>0</v>
      </c>
      <c r="F11" s="146">
        <f t="shared" si="1"/>
        <v>0</v>
      </c>
      <c r="G11" s="146">
        <f t="shared" si="1"/>
        <v>257651</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257651</v>
      </c>
      <c r="S11" s="148"/>
      <c r="T11" s="150">
        <f>SUM(T9:T10)</f>
        <v>0</v>
      </c>
      <c r="U11" s="143"/>
    </row>
    <row r="12" spans="1:21" s="144" customFormat="1">
      <c r="A12" s="149" t="s">
        <v>84</v>
      </c>
      <c r="B12" s="146">
        <f t="shared" ref="B12:Q12" si="2">SUM(B8+B11)</f>
        <v>257652</v>
      </c>
      <c r="C12" s="146">
        <f t="shared" si="2"/>
        <v>257652</v>
      </c>
      <c r="D12" s="146">
        <f t="shared" si="2"/>
        <v>0</v>
      </c>
      <c r="E12" s="146">
        <f t="shared" si="2"/>
        <v>1</v>
      </c>
      <c r="F12" s="146">
        <f t="shared" si="2"/>
        <v>0</v>
      </c>
      <c r="G12" s="146">
        <f t="shared" si="2"/>
        <v>257651</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257652</v>
      </c>
      <c r="S12" s="148"/>
      <c r="T12" s="148"/>
      <c r="U12" s="143"/>
    </row>
    <row r="13" spans="1:21" s="144" customFormat="1">
      <c r="A13" s="287" t="s">
        <v>903</v>
      </c>
      <c r="B13" s="146">
        <f>SUM(C13+D13)</f>
        <v>806500</v>
      </c>
      <c r="C13" s="147">
        <v>806500</v>
      </c>
      <c r="D13" s="147"/>
      <c r="E13" s="147"/>
      <c r="F13" s="147"/>
      <c r="G13" s="147">
        <f>C13</f>
        <v>806500</v>
      </c>
      <c r="H13" s="147"/>
      <c r="I13" s="147"/>
      <c r="J13" s="147"/>
      <c r="K13" s="147"/>
      <c r="L13" s="147"/>
      <c r="M13" s="147"/>
      <c r="N13" s="147"/>
      <c r="O13" s="147"/>
      <c r="P13" s="147"/>
      <c r="Q13" s="147"/>
      <c r="R13" s="516">
        <f>SUM(E13:Q13)</f>
        <v>806500</v>
      </c>
      <c r="S13" s="147">
        <f>C13</f>
        <v>806500</v>
      </c>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12882569</v>
      </c>
      <c r="C29" s="147">
        <v>12882569</v>
      </c>
      <c r="D29" s="147"/>
      <c r="E29" s="147"/>
      <c r="F29" s="147">
        <f>C29-G29</f>
        <v>12246720</v>
      </c>
      <c r="G29" s="147">
        <f>G108-G13-G10</f>
        <v>635849</v>
      </c>
      <c r="H29" s="147"/>
      <c r="I29" s="147"/>
      <c r="J29" s="147"/>
      <c r="K29" s="147"/>
      <c r="L29" s="147"/>
      <c r="M29" s="147"/>
      <c r="N29" s="147"/>
      <c r="O29" s="147"/>
      <c r="P29" s="147"/>
      <c r="Q29" s="147"/>
      <c r="R29" s="516">
        <f t="shared" ref="R29:R37" si="7">SUM(E29:Q29)</f>
        <v>12882569</v>
      </c>
      <c r="S29" s="147">
        <f>C29</f>
        <v>12882569</v>
      </c>
      <c r="T29" s="147"/>
      <c r="U29" s="143"/>
    </row>
    <row r="30" spans="1:21" s="144" customFormat="1">
      <c r="A30" s="145" t="s">
        <v>600</v>
      </c>
      <c r="B30" s="146">
        <f t="shared" si="6"/>
        <v>59946989</v>
      </c>
      <c r="C30" s="147">
        <v>59946989</v>
      </c>
      <c r="D30" s="147"/>
      <c r="E30" s="147">
        <f>C30-F30-J30</f>
        <v>7143709</v>
      </c>
      <c r="F30" s="147">
        <f>F108-F29</f>
        <v>29243280</v>
      </c>
      <c r="G30" s="147"/>
      <c r="H30" s="147"/>
      <c r="I30" s="147"/>
      <c r="J30" s="147">
        <f>J108</f>
        <v>23560000</v>
      </c>
      <c r="K30" s="147"/>
      <c r="L30" s="147"/>
      <c r="M30" s="147"/>
      <c r="N30" s="147"/>
      <c r="O30" s="147"/>
      <c r="P30" s="147"/>
      <c r="Q30" s="147"/>
      <c r="R30" s="516">
        <f t="shared" si="7"/>
        <v>59946989</v>
      </c>
      <c r="S30" s="147">
        <f t="shared" ref="S30:S37" si="8">C30</f>
        <v>59946989</v>
      </c>
      <c r="T30" s="147"/>
      <c r="U30" s="143"/>
    </row>
    <row r="31" spans="1:21" s="144" customFormat="1">
      <c r="A31" s="145" t="s">
        <v>601</v>
      </c>
      <c r="B31" s="146">
        <f t="shared" si="6"/>
        <v>2112000</v>
      </c>
      <c r="C31" s="147">
        <v>2112000</v>
      </c>
      <c r="D31" s="147"/>
      <c r="E31" s="147">
        <f>C31</f>
        <v>2112000</v>
      </c>
      <c r="F31" s="147"/>
      <c r="G31" s="147"/>
      <c r="H31" s="147"/>
      <c r="I31" s="147"/>
      <c r="J31" s="147"/>
      <c r="K31" s="147"/>
      <c r="L31" s="147"/>
      <c r="M31" s="147"/>
      <c r="N31" s="147"/>
      <c r="O31" s="147"/>
      <c r="P31" s="147"/>
      <c r="Q31" s="147"/>
      <c r="R31" s="516">
        <f t="shared" si="7"/>
        <v>2112000</v>
      </c>
      <c r="S31" s="147">
        <f t="shared" si="8"/>
        <v>2112000</v>
      </c>
      <c r="T31" s="147"/>
      <c r="U31" s="143"/>
    </row>
    <row r="32" spans="1:21" s="144" customFormat="1">
      <c r="A32" s="145" t="s">
        <v>137</v>
      </c>
      <c r="B32" s="146">
        <f t="shared" si="6"/>
        <v>4177429</v>
      </c>
      <c r="C32" s="147">
        <v>4177429</v>
      </c>
      <c r="D32" s="147"/>
      <c r="E32" s="147">
        <f t="shared" ref="E32:E35" si="9">C32</f>
        <v>4177429</v>
      </c>
      <c r="F32" s="147"/>
      <c r="G32" s="147"/>
      <c r="H32" s="147"/>
      <c r="I32" s="147"/>
      <c r="J32" s="147"/>
      <c r="K32" s="147"/>
      <c r="L32" s="147"/>
      <c r="M32" s="147"/>
      <c r="N32" s="147"/>
      <c r="O32" s="147"/>
      <c r="P32" s="147"/>
      <c r="Q32" s="147"/>
      <c r="R32" s="516">
        <f t="shared" si="7"/>
        <v>4177429</v>
      </c>
      <c r="S32" s="147">
        <f t="shared" si="8"/>
        <v>4177429</v>
      </c>
      <c r="T32" s="147"/>
      <c r="U32" s="143"/>
    </row>
    <row r="33" spans="1:21" s="144" customFormat="1">
      <c r="A33" s="145" t="s">
        <v>138</v>
      </c>
      <c r="B33" s="146">
        <f t="shared" si="6"/>
        <v>4177429</v>
      </c>
      <c r="C33" s="147">
        <v>4177429</v>
      </c>
      <c r="D33" s="147"/>
      <c r="E33" s="147">
        <f t="shared" si="9"/>
        <v>4177429</v>
      </c>
      <c r="F33" s="147"/>
      <c r="G33" s="147"/>
      <c r="H33" s="147"/>
      <c r="I33" s="147"/>
      <c r="J33" s="147"/>
      <c r="K33" s="147"/>
      <c r="L33" s="147"/>
      <c r="M33" s="147"/>
      <c r="N33" s="147"/>
      <c r="O33" s="147"/>
      <c r="P33" s="147"/>
      <c r="Q33" s="147"/>
      <c r="R33" s="516">
        <f t="shared" si="7"/>
        <v>4177429</v>
      </c>
      <c r="S33" s="147">
        <f t="shared" si="8"/>
        <v>4177429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2425157</v>
      </c>
      <c r="C35" s="147">
        <v>2425157</v>
      </c>
      <c r="D35" s="147"/>
      <c r="E35" s="147">
        <f t="shared" si="9"/>
        <v>2425157</v>
      </c>
      <c r="F35" s="147"/>
      <c r="G35" s="147"/>
      <c r="H35" s="147"/>
      <c r="I35" s="147"/>
      <c r="J35" s="147"/>
      <c r="K35" s="147"/>
      <c r="L35" s="147"/>
      <c r="M35" s="147"/>
      <c r="N35" s="147"/>
      <c r="O35" s="147"/>
      <c r="P35" s="147"/>
      <c r="Q35" s="147"/>
      <c r="R35" s="516">
        <f t="shared" si="7"/>
        <v>2425157</v>
      </c>
      <c r="S35" s="147">
        <f t="shared" si="8"/>
        <v>2425157</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85721573</v>
      </c>
      <c r="C38" s="146">
        <f>SUM(C29:C37)</f>
        <v>85721573</v>
      </c>
      <c r="D38" s="146">
        <f t="shared" ref="D38:Q38" si="10">SUM(D29:D37)</f>
        <v>0</v>
      </c>
      <c r="E38" s="146">
        <f t="shared" si="10"/>
        <v>20035724</v>
      </c>
      <c r="F38" s="146">
        <f t="shared" si="10"/>
        <v>41490000</v>
      </c>
      <c r="G38" s="146">
        <f t="shared" si="10"/>
        <v>635849</v>
      </c>
      <c r="H38" s="146">
        <f t="shared" si="10"/>
        <v>0</v>
      </c>
      <c r="I38" s="146">
        <f t="shared" si="10"/>
        <v>0</v>
      </c>
      <c r="J38" s="146">
        <f t="shared" si="10"/>
        <v>23560000</v>
      </c>
      <c r="K38" s="146">
        <f t="shared" si="10"/>
        <v>0</v>
      </c>
      <c r="L38" s="146">
        <f t="shared" si="10"/>
        <v>0</v>
      </c>
      <c r="M38" s="146">
        <f t="shared" si="10"/>
        <v>0</v>
      </c>
      <c r="N38" s="146">
        <f t="shared" si="10"/>
        <v>0</v>
      </c>
      <c r="O38" s="146">
        <f t="shared" si="10"/>
        <v>0</v>
      </c>
      <c r="P38" s="146">
        <f t="shared" si="10"/>
        <v>0</v>
      </c>
      <c r="Q38" s="146">
        <f t="shared" si="10"/>
        <v>0</v>
      </c>
      <c r="R38" s="342">
        <f>SUM(R29:R37)</f>
        <v>85721573</v>
      </c>
      <c r="S38" s="150">
        <f>SUM(S29:S37)</f>
        <v>85721573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2683444</v>
      </c>
      <c r="C40" s="147">
        <v>2683444</v>
      </c>
      <c r="D40" s="147"/>
      <c r="E40" s="147">
        <f t="shared" ref="E40" si="11">C40</f>
        <v>2683444</v>
      </c>
      <c r="F40" s="147"/>
      <c r="G40" s="147"/>
      <c r="H40" s="147"/>
      <c r="I40" s="147"/>
      <c r="J40" s="147"/>
      <c r="K40" s="147"/>
      <c r="L40" s="147"/>
      <c r="M40" s="147"/>
      <c r="N40" s="147"/>
      <c r="O40" s="147"/>
      <c r="P40" s="147"/>
      <c r="Q40" s="147"/>
      <c r="R40" s="516">
        <f>SUM(E40:Q40)</f>
        <v>2683444</v>
      </c>
      <c r="S40" s="147">
        <f>C40</f>
        <v>2683444</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2683444</v>
      </c>
      <c r="C42" s="146">
        <f>SUM(C39:C41)</f>
        <v>2683444</v>
      </c>
      <c r="D42" s="146">
        <f>SUM(D39:D41)</f>
        <v>0</v>
      </c>
      <c r="E42" s="146">
        <f t="shared" ref="E42:T42" si="12">SUM(E40:E41)</f>
        <v>2683444</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2683444</v>
      </c>
      <c r="S42" s="150">
        <f t="shared" si="12"/>
        <v>2683444</v>
      </c>
      <c r="T42" s="150">
        <f t="shared" si="12"/>
        <v>0</v>
      </c>
      <c r="U42" s="143"/>
    </row>
    <row r="43" spans="1:21" s="144" customFormat="1">
      <c r="A43" s="149" t="s">
        <v>148</v>
      </c>
      <c r="B43" s="146">
        <f>SUM(C43:D43)</f>
        <v>640096</v>
      </c>
      <c r="C43" s="147">
        <v>640096</v>
      </c>
      <c r="D43" s="147"/>
      <c r="E43" s="147">
        <f t="shared" ref="E43" si="13">C43</f>
        <v>640096</v>
      </c>
      <c r="F43" s="147"/>
      <c r="G43" s="147"/>
      <c r="H43" s="147"/>
      <c r="I43" s="147"/>
      <c r="J43" s="147"/>
      <c r="K43" s="147"/>
      <c r="L43" s="147"/>
      <c r="M43" s="147"/>
      <c r="N43" s="147"/>
      <c r="O43" s="147"/>
      <c r="P43" s="147"/>
      <c r="Q43" s="147"/>
      <c r="R43" s="516">
        <f>SUM(E43:Q43)</f>
        <v>640096</v>
      </c>
      <c r="S43" s="147">
        <f>C43</f>
        <v>640096</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7588810</v>
      </c>
      <c r="C45" s="147">
        <v>7588810</v>
      </c>
      <c r="D45" s="147"/>
      <c r="E45" s="147">
        <f t="shared" ref="E45:E47" si="15">C45</f>
        <v>7588810</v>
      </c>
      <c r="F45" s="147"/>
      <c r="G45" s="147"/>
      <c r="H45" s="147"/>
      <c r="I45" s="147"/>
      <c r="J45" s="147"/>
      <c r="K45" s="147"/>
      <c r="L45" s="147"/>
      <c r="M45" s="147"/>
      <c r="N45" s="147"/>
      <c r="O45" s="147"/>
      <c r="P45" s="147"/>
      <c r="Q45" s="147"/>
      <c r="R45" s="516">
        <f t="shared" ref="R45:R53" si="16">SUM(E45:Q45)</f>
        <v>7588810</v>
      </c>
      <c r="S45" s="147">
        <f>C45</f>
        <v>7588810</v>
      </c>
      <c r="T45" s="147"/>
      <c r="U45" s="143"/>
    </row>
    <row r="46" spans="1:21" s="144" customFormat="1">
      <c r="A46" s="145" t="s">
        <v>151</v>
      </c>
      <c r="B46" s="146">
        <f t="shared" si="14"/>
        <v>4120599</v>
      </c>
      <c r="C46" s="147">
        <v>4120599</v>
      </c>
      <c r="D46" s="147"/>
      <c r="E46" s="147">
        <f t="shared" si="15"/>
        <v>4120599</v>
      </c>
      <c r="F46" s="147"/>
      <c r="G46" s="147"/>
      <c r="H46" s="147"/>
      <c r="I46" s="147"/>
      <c r="J46" s="147"/>
      <c r="K46" s="147"/>
      <c r="L46" s="147"/>
      <c r="M46" s="147"/>
      <c r="N46" s="147"/>
      <c r="O46" s="147"/>
      <c r="P46" s="147"/>
      <c r="Q46" s="147"/>
      <c r="R46" s="516">
        <f t="shared" si="16"/>
        <v>4120599</v>
      </c>
      <c r="S46" s="147">
        <f t="shared" ref="S46:S53" si="17">C46</f>
        <v>4120599</v>
      </c>
      <c r="T46" s="147"/>
      <c r="U46" s="143"/>
    </row>
    <row r="47" spans="1:21" s="144" customFormat="1">
      <c r="A47" s="186" t="s">
        <v>152</v>
      </c>
      <c r="B47" s="146">
        <f t="shared" si="14"/>
        <v>57998</v>
      </c>
      <c r="C47" s="147">
        <v>57998</v>
      </c>
      <c r="D47" s="147"/>
      <c r="E47" s="147">
        <f t="shared" si="15"/>
        <v>57998</v>
      </c>
      <c r="F47" s="147"/>
      <c r="G47" s="147"/>
      <c r="H47" s="147"/>
      <c r="I47" s="147"/>
      <c r="J47" s="147"/>
      <c r="K47" s="147"/>
      <c r="L47" s="147"/>
      <c r="M47" s="147"/>
      <c r="N47" s="147"/>
      <c r="O47" s="147"/>
      <c r="P47" s="147"/>
      <c r="Q47" s="147"/>
      <c r="R47" s="516">
        <f t="shared" si="16"/>
        <v>57998</v>
      </c>
      <c r="S47" s="147">
        <f t="shared" si="17"/>
        <v>57998</v>
      </c>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16">
        <f t="shared" si="16"/>
        <v>0</v>
      </c>
      <c r="S48" s="147">
        <f t="shared" si="17"/>
        <v>0</v>
      </c>
      <c r="T48" s="147"/>
      <c r="U48" s="143"/>
    </row>
    <row r="49" spans="1:21" s="144" customFormat="1">
      <c r="A49" s="145" t="s">
        <v>57</v>
      </c>
      <c r="B49" s="146">
        <f t="shared" si="14"/>
        <v>0</v>
      </c>
      <c r="C49" s="147"/>
      <c r="D49" s="147"/>
      <c r="E49" s="147"/>
      <c r="F49" s="147"/>
      <c r="G49" s="147"/>
      <c r="H49" s="147"/>
      <c r="I49" s="147"/>
      <c r="J49" s="147"/>
      <c r="K49" s="147"/>
      <c r="L49" s="147"/>
      <c r="M49" s="147"/>
      <c r="N49" s="147"/>
      <c r="O49" s="147"/>
      <c r="P49" s="147"/>
      <c r="Q49" s="147"/>
      <c r="R49" s="516">
        <f t="shared" si="16"/>
        <v>0</v>
      </c>
      <c r="S49" s="147">
        <f t="shared" si="17"/>
        <v>0</v>
      </c>
      <c r="T49" s="147"/>
      <c r="U49" s="143"/>
    </row>
    <row r="50" spans="1:21" s="144" customFormat="1">
      <c r="A50" s="145" t="s">
        <v>156</v>
      </c>
      <c r="B50" s="146">
        <f t="shared" si="14"/>
        <v>140000</v>
      </c>
      <c r="C50" s="147">
        <v>140000</v>
      </c>
      <c r="D50" s="147"/>
      <c r="E50" s="147">
        <f t="shared" ref="E50:E51" si="18">C50</f>
        <v>140000</v>
      </c>
      <c r="F50" s="147"/>
      <c r="G50" s="147"/>
      <c r="H50" s="147"/>
      <c r="I50" s="147"/>
      <c r="J50" s="147"/>
      <c r="K50" s="147"/>
      <c r="L50" s="147"/>
      <c r="M50" s="147"/>
      <c r="N50" s="147"/>
      <c r="O50" s="147"/>
      <c r="P50" s="147"/>
      <c r="Q50" s="147"/>
      <c r="R50" s="516">
        <f t="shared" si="16"/>
        <v>140000</v>
      </c>
      <c r="S50" s="147">
        <f t="shared" si="17"/>
        <v>140000</v>
      </c>
      <c r="T50" s="147"/>
      <c r="U50" s="143"/>
    </row>
    <row r="51" spans="1:21" s="144" customFormat="1">
      <c r="A51" s="283" t="s">
        <v>154</v>
      </c>
      <c r="B51" s="146">
        <f t="shared" si="14"/>
        <v>470530</v>
      </c>
      <c r="C51" s="147">
        <v>470530</v>
      </c>
      <c r="D51" s="147"/>
      <c r="E51" s="147">
        <f t="shared" si="18"/>
        <v>470530</v>
      </c>
      <c r="F51" s="147"/>
      <c r="G51" s="147"/>
      <c r="H51" s="147"/>
      <c r="I51" s="147"/>
      <c r="J51" s="147"/>
      <c r="K51" s="147"/>
      <c r="L51" s="147"/>
      <c r="M51" s="147"/>
      <c r="N51" s="147"/>
      <c r="O51" s="147"/>
      <c r="P51" s="147"/>
      <c r="Q51" s="147"/>
      <c r="R51" s="516">
        <f t="shared" si="16"/>
        <v>470530</v>
      </c>
      <c r="S51" s="147">
        <f t="shared" si="17"/>
        <v>470530</v>
      </c>
      <c r="T51" s="147"/>
      <c r="U51" s="143"/>
    </row>
    <row r="52" spans="1:21" s="144" customFormat="1">
      <c r="A52" s="145" t="s">
        <v>155</v>
      </c>
      <c r="B52" s="146">
        <f t="shared" si="14"/>
        <v>0</v>
      </c>
      <c r="C52" s="147"/>
      <c r="D52" s="147"/>
      <c r="E52" s="147"/>
      <c r="F52" s="147"/>
      <c r="G52" s="147"/>
      <c r="H52" s="147"/>
      <c r="I52" s="147"/>
      <c r="J52" s="147"/>
      <c r="K52" s="147"/>
      <c r="L52" s="147"/>
      <c r="M52" s="147"/>
      <c r="N52" s="147"/>
      <c r="O52" s="147"/>
      <c r="P52" s="147"/>
      <c r="Q52" s="147"/>
      <c r="R52" s="516">
        <f t="shared" si="16"/>
        <v>0</v>
      </c>
      <c r="S52" s="147">
        <f t="shared" si="17"/>
        <v>0</v>
      </c>
      <c r="T52" s="147"/>
      <c r="U52" s="143"/>
    </row>
    <row r="53" spans="1:21" s="144" customFormat="1">
      <c r="A53" s="1149" t="s">
        <v>2727</v>
      </c>
      <c r="B53" s="146">
        <f t="shared" si="14"/>
        <v>48000</v>
      </c>
      <c r="C53" s="147">
        <v>48000</v>
      </c>
      <c r="D53" s="147"/>
      <c r="E53" s="147">
        <f t="shared" ref="E53" si="19">C53</f>
        <v>48000</v>
      </c>
      <c r="F53" s="147"/>
      <c r="G53" s="147"/>
      <c r="H53" s="147"/>
      <c r="I53" s="147"/>
      <c r="J53" s="147"/>
      <c r="K53" s="147"/>
      <c r="L53" s="147"/>
      <c r="M53" s="147"/>
      <c r="N53" s="147"/>
      <c r="O53" s="147"/>
      <c r="P53" s="147"/>
      <c r="Q53" s="147"/>
      <c r="R53" s="516">
        <f t="shared" si="16"/>
        <v>48000</v>
      </c>
      <c r="S53" s="147">
        <f t="shared" si="17"/>
        <v>48000</v>
      </c>
      <c r="T53" s="147"/>
      <c r="U53" s="143"/>
    </row>
    <row r="54" spans="1:21" s="153" customFormat="1">
      <c r="A54" s="149" t="s">
        <v>157</v>
      </c>
      <c r="B54" s="150">
        <f>SUM(C54:D54)</f>
        <v>12425937</v>
      </c>
      <c r="C54" s="150">
        <f t="shared" ref="C54:T54" si="20">SUM(C45:C53)</f>
        <v>12425937</v>
      </c>
      <c r="D54" s="150">
        <f t="shared" si="20"/>
        <v>0</v>
      </c>
      <c r="E54" s="150">
        <f t="shared" si="20"/>
        <v>12425937</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12425937</v>
      </c>
      <c r="S54" s="150">
        <f t="shared" si="20"/>
        <v>12425937</v>
      </c>
      <c r="T54" s="150">
        <f t="shared" si="20"/>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2621476</v>
      </c>
      <c r="C56" s="147">
        <v>2621476</v>
      </c>
      <c r="D56" s="147"/>
      <c r="E56" s="147">
        <f t="shared" ref="E56:E57" si="22">C56</f>
        <v>2621476</v>
      </c>
      <c r="F56" s="147"/>
      <c r="G56" s="147"/>
      <c r="H56" s="147"/>
      <c r="I56" s="147"/>
      <c r="J56" s="147"/>
      <c r="K56" s="147"/>
      <c r="L56" s="147"/>
      <c r="M56" s="147"/>
      <c r="N56" s="147"/>
      <c r="O56" s="147"/>
      <c r="P56" s="147"/>
      <c r="Q56" s="147"/>
      <c r="R56" s="516">
        <f t="shared" ref="R56:R61" si="23">SUM(E56:Q56)</f>
        <v>2621476</v>
      </c>
      <c r="S56" s="148"/>
      <c r="T56" s="148"/>
      <c r="U56" s="143"/>
    </row>
    <row r="57" spans="1:21" s="192" customFormat="1">
      <c r="A57" s="186" t="s">
        <v>152</v>
      </c>
      <c r="B57" s="193">
        <f t="shared" si="21"/>
        <v>311749</v>
      </c>
      <c r="C57" s="190">
        <v>311749</v>
      </c>
      <c r="D57" s="190"/>
      <c r="E57" s="190">
        <f t="shared" si="22"/>
        <v>311749</v>
      </c>
      <c r="F57" s="190"/>
      <c r="G57" s="190"/>
      <c r="H57" s="190"/>
      <c r="I57" s="190"/>
      <c r="J57" s="190"/>
      <c r="K57" s="190"/>
      <c r="L57" s="190"/>
      <c r="M57" s="190"/>
      <c r="N57" s="190"/>
      <c r="O57" s="190"/>
      <c r="P57" s="190"/>
      <c r="Q57" s="190"/>
      <c r="R57" s="516">
        <f t="shared" si="23"/>
        <v>311749</v>
      </c>
      <c r="S57" s="194"/>
      <c r="T57" s="194"/>
      <c r="U57" s="191"/>
    </row>
    <row r="58" spans="1:21" s="144" customFormat="1">
      <c r="A58" s="145" t="s">
        <v>156</v>
      </c>
      <c r="B58" s="146">
        <f t="shared" si="21"/>
        <v>0</v>
      </c>
      <c r="C58" s="147"/>
      <c r="D58" s="147"/>
      <c r="E58" s="147"/>
      <c r="F58" s="147"/>
      <c r="G58" s="147"/>
      <c r="H58" s="147"/>
      <c r="I58" s="147"/>
      <c r="J58" s="147"/>
      <c r="K58" s="147"/>
      <c r="L58" s="147"/>
      <c r="M58" s="147"/>
      <c r="N58" s="147"/>
      <c r="O58" s="147"/>
      <c r="P58" s="147"/>
      <c r="Q58" s="147"/>
      <c r="R58" s="516">
        <f t="shared" si="23"/>
        <v>0</v>
      </c>
      <c r="S58" s="148"/>
      <c r="T58" s="148"/>
      <c r="U58" s="143"/>
    </row>
    <row r="59" spans="1:21" s="144" customFormat="1">
      <c r="A59" s="283" t="s">
        <v>154</v>
      </c>
      <c r="B59" s="146">
        <f t="shared" si="21"/>
        <v>0</v>
      </c>
      <c r="C59" s="147"/>
      <c r="D59" s="147"/>
      <c r="E59" s="147"/>
      <c r="F59" s="147"/>
      <c r="G59" s="147"/>
      <c r="H59" s="147"/>
      <c r="I59" s="147"/>
      <c r="J59" s="147"/>
      <c r="K59" s="147"/>
      <c r="L59" s="147"/>
      <c r="M59" s="147"/>
      <c r="N59" s="147"/>
      <c r="O59" s="147"/>
      <c r="P59" s="147"/>
      <c r="Q59" s="147"/>
      <c r="R59" s="516">
        <f t="shared" si="23"/>
        <v>0</v>
      </c>
      <c r="S59" s="148"/>
      <c r="T59" s="148"/>
      <c r="U59" s="143"/>
    </row>
    <row r="60" spans="1:21" s="144" customFormat="1">
      <c r="A60" s="145" t="s">
        <v>155</v>
      </c>
      <c r="B60" s="146">
        <f t="shared" si="21"/>
        <v>0</v>
      </c>
      <c r="C60" s="147"/>
      <c r="D60" s="147"/>
      <c r="E60" s="147"/>
      <c r="F60" s="147"/>
      <c r="G60" s="147"/>
      <c r="H60" s="147"/>
      <c r="I60" s="147"/>
      <c r="J60" s="147"/>
      <c r="K60" s="147"/>
      <c r="L60" s="147"/>
      <c r="M60" s="147"/>
      <c r="N60" s="147"/>
      <c r="O60" s="147"/>
      <c r="P60" s="147"/>
      <c r="Q60" s="147"/>
      <c r="R60" s="516">
        <f t="shared" si="23"/>
        <v>0</v>
      </c>
      <c r="S60" s="148"/>
      <c r="T60" s="148"/>
      <c r="U60" s="143"/>
    </row>
    <row r="61" spans="1:21" s="144" customFormat="1">
      <c r="A61" s="1149" t="s">
        <v>2728</v>
      </c>
      <c r="B61" s="146">
        <f t="shared" si="21"/>
        <v>5918007</v>
      </c>
      <c r="C61" s="147">
        <v>5918007</v>
      </c>
      <c r="D61" s="147"/>
      <c r="E61" s="147">
        <f t="shared" ref="E61" si="24">C61</f>
        <v>5918007</v>
      </c>
      <c r="F61" s="147"/>
      <c r="G61" s="147"/>
      <c r="H61" s="147"/>
      <c r="I61" s="147"/>
      <c r="J61" s="147"/>
      <c r="K61" s="147"/>
      <c r="L61" s="147"/>
      <c r="M61" s="147"/>
      <c r="N61" s="147"/>
      <c r="O61" s="147"/>
      <c r="P61" s="147"/>
      <c r="Q61" s="147"/>
      <c r="R61" s="516">
        <f t="shared" si="23"/>
        <v>5918007</v>
      </c>
      <c r="S61" s="148"/>
      <c r="T61" s="148"/>
      <c r="U61" s="143"/>
    </row>
    <row r="62" spans="1:21" s="144" customFormat="1" ht="13.7" customHeight="1">
      <c r="A62" s="149" t="s">
        <v>301</v>
      </c>
      <c r="B62" s="146">
        <f>SUM(C62:D62)</f>
        <v>8851232</v>
      </c>
      <c r="C62" s="146">
        <f t="shared" ref="C62:R62" si="25">SUM(C56:C61)</f>
        <v>8851232</v>
      </c>
      <c r="D62" s="146">
        <f t="shared" si="25"/>
        <v>0</v>
      </c>
      <c r="E62" s="146">
        <f t="shared" si="25"/>
        <v>8851232</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42">
        <f t="shared" si="25"/>
        <v>8851232</v>
      </c>
      <c r="S62" s="148"/>
      <c r="T62" s="148"/>
      <c r="U62" s="143"/>
    </row>
    <row r="63" spans="1:21" s="144" customFormat="1">
      <c r="A63" s="154" t="s">
        <v>302</v>
      </c>
      <c r="B63" s="146">
        <f t="shared" ref="B63:R63" si="26">SUM(B8+B11+B13+B14+B15+B26+B27+B38+B42+B43+B54+B62)</f>
        <v>111386434</v>
      </c>
      <c r="C63" s="146">
        <f t="shared" si="26"/>
        <v>111386434</v>
      </c>
      <c r="D63" s="146">
        <f t="shared" si="26"/>
        <v>0</v>
      </c>
      <c r="E63" s="146">
        <f t="shared" si="26"/>
        <v>44636434</v>
      </c>
      <c r="F63" s="146">
        <f t="shared" si="26"/>
        <v>41490000</v>
      </c>
      <c r="G63" s="146">
        <f t="shared" si="26"/>
        <v>1700000</v>
      </c>
      <c r="H63" s="146">
        <f t="shared" si="26"/>
        <v>0</v>
      </c>
      <c r="I63" s="146">
        <f t="shared" si="26"/>
        <v>0</v>
      </c>
      <c r="J63" s="146">
        <f t="shared" si="26"/>
        <v>23560000</v>
      </c>
      <c r="K63" s="146">
        <f t="shared" si="26"/>
        <v>0</v>
      </c>
      <c r="L63" s="146">
        <f t="shared" si="26"/>
        <v>0</v>
      </c>
      <c r="M63" s="146">
        <f t="shared" si="26"/>
        <v>0</v>
      </c>
      <c r="N63" s="146">
        <f t="shared" si="26"/>
        <v>0</v>
      </c>
      <c r="O63" s="146">
        <f t="shared" si="26"/>
        <v>0</v>
      </c>
      <c r="P63" s="146">
        <f t="shared" si="26"/>
        <v>0</v>
      </c>
      <c r="Q63" s="146">
        <f t="shared" si="26"/>
        <v>0</v>
      </c>
      <c r="R63" s="342">
        <f t="shared" si="26"/>
        <v>111386434</v>
      </c>
      <c r="S63" s="146">
        <f>SUM(S10+S13+S14+S15+S26+S27+S38+S42+S43+S54)</f>
        <v>102535201</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 t="shared" ref="E65" si="27">C65</f>
        <v>100000</v>
      </c>
      <c r="F65" s="147"/>
      <c r="G65" s="147"/>
      <c r="H65" s="147"/>
      <c r="I65" s="147"/>
      <c r="J65" s="147"/>
      <c r="K65" s="147"/>
      <c r="L65" s="147"/>
      <c r="M65" s="147"/>
      <c r="N65" s="147"/>
      <c r="O65" s="147"/>
      <c r="P65" s="147"/>
      <c r="Q65" s="147"/>
      <c r="R65" s="516">
        <f>SUM(E65:Q65)</f>
        <v>100000</v>
      </c>
      <c r="S65" s="147"/>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100000</v>
      </c>
      <c r="C70" s="146">
        <f>SUM(C65:C69)</f>
        <v>100000</v>
      </c>
      <c r="D70" s="146">
        <f>SUM(D65:D69)</f>
        <v>0</v>
      </c>
      <c r="E70" s="146">
        <f t="shared" ref="E70:T70" si="28">SUM(E65:E69)</f>
        <v>100000</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42">
        <f t="shared" si="28"/>
        <v>100000</v>
      </c>
      <c r="S70" s="150">
        <f t="shared" si="28"/>
        <v>0</v>
      </c>
      <c r="T70" s="150">
        <f t="shared" si="28"/>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1579477</v>
      </c>
      <c r="C75" s="147">
        <v>1579477</v>
      </c>
      <c r="D75" s="147"/>
      <c r="E75" s="147"/>
      <c r="F75" s="147"/>
      <c r="G75" s="147"/>
      <c r="H75" s="147"/>
      <c r="I75" s="147">
        <f>C75</f>
        <v>1579477</v>
      </c>
      <c r="J75" s="147"/>
      <c r="K75" s="147"/>
      <c r="L75" s="147"/>
      <c r="M75" s="147"/>
      <c r="N75" s="147"/>
      <c r="O75" s="147"/>
      <c r="P75" s="147"/>
      <c r="Q75" s="147"/>
      <c r="R75" s="516">
        <f>SUM(E75:Q75)</f>
        <v>1579477</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1579477</v>
      </c>
      <c r="C77" s="146">
        <f>SUM(C72:C76)</f>
        <v>1579477</v>
      </c>
      <c r="D77" s="146">
        <f>SUM(D72:D76)</f>
        <v>0</v>
      </c>
      <c r="E77" s="146">
        <f t="shared" ref="E77:Q77" si="29">SUM(E72:E76)</f>
        <v>0</v>
      </c>
      <c r="F77" s="146">
        <f t="shared" si="29"/>
        <v>0</v>
      </c>
      <c r="G77" s="146">
        <f t="shared" si="29"/>
        <v>0</v>
      </c>
      <c r="H77" s="146">
        <f t="shared" si="29"/>
        <v>0</v>
      </c>
      <c r="I77" s="146">
        <f t="shared" si="29"/>
        <v>1579477</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1579477</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6266556</v>
      </c>
      <c r="C79" s="147">
        <v>6266556</v>
      </c>
      <c r="D79" s="147"/>
      <c r="E79" s="147">
        <f t="shared" ref="E79" si="30">C79</f>
        <v>6266556</v>
      </c>
      <c r="F79" s="147"/>
      <c r="G79" s="147"/>
      <c r="H79" s="147"/>
      <c r="I79" s="147"/>
      <c r="J79" s="147"/>
      <c r="K79" s="147"/>
      <c r="L79" s="147"/>
      <c r="M79" s="147"/>
      <c r="N79" s="147"/>
      <c r="O79" s="147"/>
      <c r="P79" s="147"/>
      <c r="Q79" s="147"/>
      <c r="R79" s="516">
        <f>SUM(E79:Q79)</f>
        <v>6266556</v>
      </c>
      <c r="S79" s="147">
        <f>C79</f>
        <v>6266556</v>
      </c>
      <c r="T79" s="147"/>
      <c r="U79" s="143"/>
    </row>
    <row r="80" spans="1:21" s="144" customFormat="1">
      <c r="A80" s="283" t="s">
        <v>58</v>
      </c>
      <c r="B80" s="146">
        <f>SUM(C80:D80)</f>
        <v>1376164</v>
      </c>
      <c r="C80" s="147">
        <v>1376164</v>
      </c>
      <c r="D80" s="147"/>
      <c r="E80" s="147">
        <f>C80-I80</f>
        <v>663187</v>
      </c>
      <c r="F80" s="147"/>
      <c r="G80" s="147"/>
      <c r="H80" s="147"/>
      <c r="I80" s="147">
        <f>I108-I99-I75-I88-I89</f>
        <v>712977</v>
      </c>
      <c r="J80" s="147"/>
      <c r="K80" s="147"/>
      <c r="L80" s="147"/>
      <c r="M80" s="147"/>
      <c r="N80" s="147"/>
      <c r="O80" s="147"/>
      <c r="P80" s="147"/>
      <c r="Q80" s="147"/>
      <c r="R80" s="516">
        <f>SUM(E80:Q80)</f>
        <v>1376164</v>
      </c>
      <c r="S80" s="147">
        <f>C80</f>
        <v>1376164</v>
      </c>
      <c r="T80" s="147"/>
      <c r="U80" s="143"/>
    </row>
    <row r="81" spans="1:21" s="144" customFormat="1">
      <c r="A81" s="149" t="s">
        <v>1210</v>
      </c>
      <c r="B81" s="146">
        <f>SUM(C81:D81)</f>
        <v>7642720</v>
      </c>
      <c r="C81" s="509">
        <f>SUM(C79:C80)</f>
        <v>7642720</v>
      </c>
      <c r="D81" s="509">
        <f t="shared" ref="D81:T81" si="31">SUM(D79:D80)</f>
        <v>0</v>
      </c>
      <c r="E81" s="509">
        <f t="shared" si="31"/>
        <v>6929743</v>
      </c>
      <c r="F81" s="509">
        <f t="shared" si="31"/>
        <v>0</v>
      </c>
      <c r="G81" s="509">
        <f t="shared" si="31"/>
        <v>0</v>
      </c>
      <c r="H81" s="509">
        <f t="shared" si="31"/>
        <v>0</v>
      </c>
      <c r="I81" s="509">
        <f t="shared" si="31"/>
        <v>712977</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7642720</v>
      </c>
      <c r="S81" s="509">
        <f t="shared" si="31"/>
        <v>7642720</v>
      </c>
      <c r="T81" s="509">
        <f t="shared" si="31"/>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2">SUM(C83+D83)</f>
        <v>300497</v>
      </c>
      <c r="C83" s="147">
        <v>300497</v>
      </c>
      <c r="D83" s="147"/>
      <c r="E83" s="147">
        <f t="shared" ref="E83" si="33">C83</f>
        <v>300497</v>
      </c>
      <c r="F83" s="147"/>
      <c r="G83" s="147"/>
      <c r="H83" s="147"/>
      <c r="I83" s="147"/>
      <c r="J83" s="147"/>
      <c r="K83" s="147"/>
      <c r="L83" s="147"/>
      <c r="M83" s="147"/>
      <c r="N83" s="147"/>
      <c r="O83" s="147"/>
      <c r="P83" s="147"/>
      <c r="Q83" s="147"/>
      <c r="R83" s="516">
        <f t="shared" ref="R83:R95" si="34">SUM(E83:Q83)</f>
        <v>300497</v>
      </c>
      <c r="S83" s="148"/>
      <c r="T83" s="148"/>
      <c r="U83" s="143"/>
    </row>
    <row r="84" spans="1:21" s="144" customFormat="1">
      <c r="A84" s="145" t="s">
        <v>768</v>
      </c>
      <c r="B84" s="146">
        <f t="shared" si="32"/>
        <v>0</v>
      </c>
      <c r="C84" s="147"/>
      <c r="D84" s="147"/>
      <c r="E84" s="147"/>
      <c r="F84" s="147"/>
      <c r="G84" s="147"/>
      <c r="H84" s="147"/>
      <c r="I84" s="147"/>
      <c r="J84" s="147"/>
      <c r="K84" s="147"/>
      <c r="L84" s="147"/>
      <c r="M84" s="147"/>
      <c r="N84" s="147"/>
      <c r="O84" s="147"/>
      <c r="P84" s="147"/>
      <c r="Q84" s="147"/>
      <c r="R84" s="516">
        <f t="shared" si="34"/>
        <v>0</v>
      </c>
      <c r="S84" s="147"/>
      <c r="T84" s="147"/>
      <c r="U84" s="143"/>
    </row>
    <row r="85" spans="1:21" s="144" customFormat="1">
      <c r="A85" s="145" t="s">
        <v>769</v>
      </c>
      <c r="B85" s="146">
        <f t="shared" si="32"/>
        <v>11905951</v>
      </c>
      <c r="C85" s="147">
        <v>11905951</v>
      </c>
      <c r="D85" s="147"/>
      <c r="E85" s="147">
        <f t="shared" ref="E85:E86" si="35">C85</f>
        <v>11905951</v>
      </c>
      <c r="F85" s="147"/>
      <c r="G85" s="147"/>
      <c r="H85" s="147"/>
      <c r="I85" s="147"/>
      <c r="J85" s="147"/>
      <c r="K85" s="147"/>
      <c r="L85" s="147"/>
      <c r="M85" s="147"/>
      <c r="N85" s="147"/>
      <c r="O85" s="147"/>
      <c r="P85" s="147"/>
      <c r="Q85" s="147"/>
      <c r="R85" s="516">
        <f t="shared" si="34"/>
        <v>11905951</v>
      </c>
      <c r="S85" s="147">
        <f>C85</f>
        <v>11905951</v>
      </c>
      <c r="T85" s="147"/>
      <c r="U85" s="143"/>
    </row>
    <row r="86" spans="1:21" s="144" customFormat="1">
      <c r="A86" s="145" t="s">
        <v>770</v>
      </c>
      <c r="B86" s="146">
        <f t="shared" si="32"/>
        <v>1160460</v>
      </c>
      <c r="C86" s="147">
        <v>1160460</v>
      </c>
      <c r="D86" s="147"/>
      <c r="E86" s="147">
        <f t="shared" si="35"/>
        <v>1160460</v>
      </c>
      <c r="F86" s="147"/>
      <c r="G86" s="147"/>
      <c r="H86" s="147"/>
      <c r="I86" s="147"/>
      <c r="J86" s="147"/>
      <c r="K86" s="147"/>
      <c r="L86" s="147"/>
      <c r="M86" s="147"/>
      <c r="N86" s="147"/>
      <c r="O86" s="147"/>
      <c r="P86" s="147"/>
      <c r="Q86" s="147"/>
      <c r="R86" s="516">
        <f t="shared" si="34"/>
        <v>1160460</v>
      </c>
      <c r="S86" s="147">
        <f t="shared" ref="S86:S87" si="36">C86</f>
        <v>1160460</v>
      </c>
      <c r="T86" s="147"/>
      <c r="U86" s="143"/>
    </row>
    <row r="87" spans="1:21" s="144" customFormat="1">
      <c r="A87" s="145" t="s">
        <v>771</v>
      </c>
      <c r="B87" s="146">
        <f t="shared" si="32"/>
        <v>0</v>
      </c>
      <c r="C87" s="147"/>
      <c r="D87" s="147"/>
      <c r="E87" s="147"/>
      <c r="F87" s="147"/>
      <c r="G87" s="147"/>
      <c r="H87" s="147"/>
      <c r="I87" s="147"/>
      <c r="J87" s="147"/>
      <c r="K87" s="147"/>
      <c r="L87" s="147"/>
      <c r="M87" s="147"/>
      <c r="N87" s="147"/>
      <c r="O87" s="147"/>
      <c r="P87" s="147"/>
      <c r="Q87" s="147"/>
      <c r="R87" s="516">
        <f t="shared" si="34"/>
        <v>0</v>
      </c>
      <c r="S87" s="147">
        <f t="shared" si="36"/>
        <v>0</v>
      </c>
      <c r="T87" s="147"/>
      <c r="U87" s="143"/>
    </row>
    <row r="88" spans="1:21" s="144" customFormat="1">
      <c r="A88" s="145" t="s">
        <v>772</v>
      </c>
      <c r="B88" s="146">
        <f t="shared" si="32"/>
        <v>203000</v>
      </c>
      <c r="C88" s="147">
        <v>203000</v>
      </c>
      <c r="D88" s="147"/>
      <c r="E88" s="147"/>
      <c r="F88" s="147"/>
      <c r="G88" s="147"/>
      <c r="H88" s="147"/>
      <c r="I88" s="147">
        <f>C88</f>
        <v>203000</v>
      </c>
      <c r="J88" s="147"/>
      <c r="K88" s="147"/>
      <c r="L88" s="147"/>
      <c r="M88" s="147"/>
      <c r="N88" s="147"/>
      <c r="O88" s="147"/>
      <c r="P88" s="147"/>
      <c r="Q88" s="147"/>
      <c r="R88" s="516">
        <f t="shared" si="34"/>
        <v>203000</v>
      </c>
      <c r="S88" s="148"/>
      <c r="T88" s="148"/>
      <c r="U88" s="143"/>
    </row>
    <row r="89" spans="1:21" s="144" customFormat="1">
      <c r="A89" s="145" t="s">
        <v>773</v>
      </c>
      <c r="B89" s="146">
        <f t="shared" si="32"/>
        <v>649500</v>
      </c>
      <c r="C89" s="147">
        <v>649500</v>
      </c>
      <c r="D89" s="147"/>
      <c r="E89" s="147"/>
      <c r="F89" s="147"/>
      <c r="G89" s="147"/>
      <c r="H89" s="147"/>
      <c r="I89" s="147">
        <f>C89</f>
        <v>649500</v>
      </c>
      <c r="J89" s="147"/>
      <c r="K89" s="147"/>
      <c r="L89" s="147"/>
      <c r="M89" s="147"/>
      <c r="N89" s="147"/>
      <c r="O89" s="147"/>
      <c r="P89" s="147"/>
      <c r="Q89" s="147"/>
      <c r="R89" s="516">
        <f t="shared" si="34"/>
        <v>649500</v>
      </c>
      <c r="S89" s="147">
        <f>C89</f>
        <v>649500</v>
      </c>
      <c r="T89" s="147"/>
      <c r="U89" s="143"/>
    </row>
    <row r="90" spans="1:21" s="144" customFormat="1">
      <c r="A90" s="145" t="s">
        <v>774</v>
      </c>
      <c r="B90" s="146">
        <f t="shared" si="32"/>
        <v>22300</v>
      </c>
      <c r="C90" s="147">
        <v>22300</v>
      </c>
      <c r="D90" s="147"/>
      <c r="E90" s="147">
        <f t="shared" ref="E90:E93" si="37">C90</f>
        <v>22300</v>
      </c>
      <c r="F90" s="147"/>
      <c r="G90" s="147"/>
      <c r="H90" s="147"/>
      <c r="I90" s="147"/>
      <c r="J90" s="147"/>
      <c r="K90" s="147"/>
      <c r="L90" s="147"/>
      <c r="M90" s="147"/>
      <c r="N90" s="147"/>
      <c r="O90" s="147"/>
      <c r="P90" s="147"/>
      <c r="Q90" s="147"/>
      <c r="R90" s="516">
        <f t="shared" si="34"/>
        <v>22300</v>
      </c>
      <c r="S90" s="147">
        <f t="shared" ref="S90:S93" si="38">C90</f>
        <v>22300</v>
      </c>
      <c r="T90" s="147"/>
      <c r="U90" s="143"/>
    </row>
    <row r="91" spans="1:21" s="144" customFormat="1">
      <c r="A91" s="145" t="s">
        <v>372</v>
      </c>
      <c r="B91" s="146">
        <f t="shared" si="32"/>
        <v>45000</v>
      </c>
      <c r="C91" s="147">
        <v>45000</v>
      </c>
      <c r="D91" s="147"/>
      <c r="E91" s="147">
        <f t="shared" si="37"/>
        <v>45000</v>
      </c>
      <c r="F91" s="147"/>
      <c r="G91" s="147"/>
      <c r="H91" s="147"/>
      <c r="I91" s="147"/>
      <c r="J91" s="147"/>
      <c r="K91" s="147"/>
      <c r="L91" s="147"/>
      <c r="M91" s="147"/>
      <c r="N91" s="147"/>
      <c r="O91" s="147"/>
      <c r="P91" s="147"/>
      <c r="Q91" s="147"/>
      <c r="R91" s="516">
        <f t="shared" si="34"/>
        <v>45000</v>
      </c>
      <c r="S91" s="147">
        <f t="shared" si="38"/>
        <v>45000</v>
      </c>
      <c r="T91" s="147"/>
      <c r="U91" s="143"/>
    </row>
    <row r="92" spans="1:21" s="144" customFormat="1">
      <c r="A92" s="283" t="s">
        <v>1212</v>
      </c>
      <c r="B92" s="146">
        <f t="shared" si="32"/>
        <v>5200</v>
      </c>
      <c r="C92" s="147">
        <v>5200</v>
      </c>
      <c r="D92" s="147"/>
      <c r="E92" s="147">
        <f t="shared" si="37"/>
        <v>5200</v>
      </c>
      <c r="F92" s="147"/>
      <c r="G92" s="147"/>
      <c r="H92" s="147"/>
      <c r="I92" s="147"/>
      <c r="J92" s="147"/>
      <c r="K92" s="147"/>
      <c r="L92" s="147"/>
      <c r="M92" s="147"/>
      <c r="N92" s="147"/>
      <c r="O92" s="147"/>
      <c r="P92" s="147"/>
      <c r="Q92" s="147"/>
      <c r="R92" s="516">
        <f t="shared" si="34"/>
        <v>5200</v>
      </c>
      <c r="S92" s="147">
        <f t="shared" si="38"/>
        <v>5200</v>
      </c>
      <c r="T92" s="147"/>
      <c r="U92" s="143"/>
    </row>
    <row r="93" spans="1:21" s="144" customFormat="1">
      <c r="A93" s="1149" t="s">
        <v>2729</v>
      </c>
      <c r="B93" s="146">
        <f t="shared" si="32"/>
        <v>275370</v>
      </c>
      <c r="C93" s="147">
        <v>275370</v>
      </c>
      <c r="D93" s="147"/>
      <c r="E93" s="147">
        <f t="shared" si="37"/>
        <v>275370</v>
      </c>
      <c r="F93" s="147"/>
      <c r="G93" s="147"/>
      <c r="H93" s="147"/>
      <c r="I93" s="147"/>
      <c r="J93" s="147"/>
      <c r="K93" s="147"/>
      <c r="L93" s="147"/>
      <c r="M93" s="147"/>
      <c r="N93" s="147"/>
      <c r="O93" s="147"/>
      <c r="P93" s="147"/>
      <c r="Q93" s="147"/>
      <c r="R93" s="516">
        <f t="shared" si="34"/>
        <v>275370</v>
      </c>
      <c r="S93" s="147">
        <f t="shared" si="38"/>
        <v>275370</v>
      </c>
      <c r="T93" s="147"/>
      <c r="U93" s="143"/>
    </row>
    <row r="94" spans="1:21" s="144" customFormat="1">
      <c r="A94" s="1149" t="s">
        <v>34</v>
      </c>
      <c r="B94" s="146">
        <f t="shared" si="32"/>
        <v>0</v>
      </c>
      <c r="C94" s="147"/>
      <c r="D94" s="147"/>
      <c r="E94" s="147"/>
      <c r="F94" s="147"/>
      <c r="G94" s="147"/>
      <c r="H94" s="147"/>
      <c r="I94" s="147"/>
      <c r="J94" s="147"/>
      <c r="K94" s="147"/>
      <c r="L94" s="147"/>
      <c r="M94" s="147"/>
      <c r="N94" s="147"/>
      <c r="O94" s="147"/>
      <c r="P94" s="147"/>
      <c r="Q94" s="147"/>
      <c r="R94" s="516">
        <f t="shared" si="34"/>
        <v>0</v>
      </c>
      <c r="S94" s="147"/>
      <c r="T94" s="147"/>
      <c r="U94" s="143"/>
    </row>
    <row r="95" spans="1:21" s="144" customFormat="1">
      <c r="A95" s="1149" t="s">
        <v>34</v>
      </c>
      <c r="B95" s="146">
        <f t="shared" si="32"/>
        <v>0</v>
      </c>
      <c r="C95" s="147"/>
      <c r="D95" s="147"/>
      <c r="E95" s="147"/>
      <c r="F95" s="147"/>
      <c r="G95" s="147"/>
      <c r="H95" s="147"/>
      <c r="I95" s="147"/>
      <c r="J95" s="147"/>
      <c r="K95" s="147"/>
      <c r="L95" s="147"/>
      <c r="M95" s="147"/>
      <c r="N95" s="147"/>
      <c r="O95" s="147"/>
      <c r="P95" s="147"/>
      <c r="Q95" s="147"/>
      <c r="R95" s="516">
        <f t="shared" si="34"/>
        <v>0</v>
      </c>
      <c r="S95" s="147"/>
      <c r="T95" s="147"/>
      <c r="U95" s="143"/>
    </row>
    <row r="96" spans="1:21" s="144" customFormat="1">
      <c r="A96" s="149" t="s">
        <v>775</v>
      </c>
      <c r="B96" s="146">
        <f>SUM(C96:D96)</f>
        <v>14567278</v>
      </c>
      <c r="C96" s="146">
        <f t="shared" ref="C96:R96" si="39">SUM(C83:C95)</f>
        <v>14567278</v>
      </c>
      <c r="D96" s="146">
        <f t="shared" si="39"/>
        <v>0</v>
      </c>
      <c r="E96" s="146">
        <f t="shared" si="39"/>
        <v>13714778</v>
      </c>
      <c r="F96" s="146">
        <f t="shared" si="39"/>
        <v>0</v>
      </c>
      <c r="G96" s="146">
        <f t="shared" si="39"/>
        <v>0</v>
      </c>
      <c r="H96" s="146">
        <f t="shared" si="39"/>
        <v>0</v>
      </c>
      <c r="I96" s="146">
        <f t="shared" si="39"/>
        <v>852500</v>
      </c>
      <c r="J96" s="146">
        <f t="shared" si="39"/>
        <v>0</v>
      </c>
      <c r="K96" s="146">
        <f t="shared" si="39"/>
        <v>0</v>
      </c>
      <c r="L96" s="146">
        <f t="shared" si="39"/>
        <v>0</v>
      </c>
      <c r="M96" s="146">
        <f t="shared" si="39"/>
        <v>0</v>
      </c>
      <c r="N96" s="146">
        <f t="shared" si="39"/>
        <v>0</v>
      </c>
      <c r="O96" s="146">
        <f t="shared" si="39"/>
        <v>0</v>
      </c>
      <c r="P96" s="146">
        <f t="shared" si="39"/>
        <v>0</v>
      </c>
      <c r="Q96" s="146">
        <f t="shared" si="39"/>
        <v>0</v>
      </c>
      <c r="R96" s="342">
        <f t="shared" si="39"/>
        <v>14567278</v>
      </c>
      <c r="S96" s="150">
        <f>SUM(S84:S87,S89:S95)</f>
        <v>14063781</v>
      </c>
      <c r="T96" s="146">
        <f>SUM(T84:T87,T89:T95)</f>
        <v>0</v>
      </c>
      <c r="U96" s="143"/>
    </row>
    <row r="97" spans="1:21" s="144" customFormat="1">
      <c r="A97" s="149" t="s">
        <v>776</v>
      </c>
      <c r="B97" s="146">
        <f>SUM(C97:D97)</f>
        <v>135275909</v>
      </c>
      <c r="C97" s="146">
        <f t="shared" ref="C97:R97" si="40">SUM(C63+C70+C77+C81+C96)</f>
        <v>135275909</v>
      </c>
      <c r="D97" s="146">
        <f t="shared" si="40"/>
        <v>0</v>
      </c>
      <c r="E97" s="146">
        <f t="shared" si="40"/>
        <v>65380955</v>
      </c>
      <c r="F97" s="146">
        <f t="shared" si="40"/>
        <v>41490000</v>
      </c>
      <c r="G97" s="146">
        <f t="shared" si="40"/>
        <v>1700000</v>
      </c>
      <c r="H97" s="146">
        <f t="shared" si="40"/>
        <v>0</v>
      </c>
      <c r="I97" s="146">
        <f t="shared" si="40"/>
        <v>3144954</v>
      </c>
      <c r="J97" s="146">
        <f t="shared" si="40"/>
        <v>23560000</v>
      </c>
      <c r="K97" s="146">
        <f t="shared" si="40"/>
        <v>0</v>
      </c>
      <c r="L97" s="146">
        <f t="shared" si="40"/>
        <v>0</v>
      </c>
      <c r="M97" s="146">
        <f t="shared" si="40"/>
        <v>0</v>
      </c>
      <c r="N97" s="146">
        <f t="shared" si="40"/>
        <v>0</v>
      </c>
      <c r="O97" s="146">
        <f t="shared" si="40"/>
        <v>0</v>
      </c>
      <c r="P97" s="146">
        <f t="shared" si="40"/>
        <v>0</v>
      </c>
      <c r="Q97" s="146">
        <f t="shared" si="40"/>
        <v>0</v>
      </c>
      <c r="R97" s="146">
        <f t="shared" si="40"/>
        <v>135275909</v>
      </c>
      <c r="S97" s="146">
        <f>SUM(S63+S70+S81+S96)</f>
        <v>124241702</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18636255</v>
      </c>
      <c r="C99" s="979">
        <v>18636255</v>
      </c>
      <c r="D99" s="979"/>
      <c r="E99" s="979"/>
      <c r="F99" s="147"/>
      <c r="G99" s="147"/>
      <c r="H99" s="147">
        <f>H108</f>
        <v>15103125</v>
      </c>
      <c r="I99" s="147">
        <f>C99-H99</f>
        <v>3533130</v>
      </c>
      <c r="J99" s="147"/>
      <c r="K99" s="147"/>
      <c r="L99" s="147"/>
      <c r="M99" s="147"/>
      <c r="N99" s="147"/>
      <c r="O99" s="147"/>
      <c r="P99" s="147"/>
      <c r="Q99" s="147"/>
      <c r="R99" s="516">
        <f>SUM(E99:Q99)</f>
        <v>18636255</v>
      </c>
      <c r="S99" s="147">
        <f>C99</f>
        <v>18636255</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18636255</v>
      </c>
      <c r="C104" s="146">
        <f>SUM(C99:C103)</f>
        <v>18636255</v>
      </c>
      <c r="D104" s="146">
        <f t="shared" ref="D104:T104" si="41">SUM(D99:D103)</f>
        <v>0</v>
      </c>
      <c r="E104" s="146">
        <f t="shared" si="41"/>
        <v>0</v>
      </c>
      <c r="F104" s="146">
        <f t="shared" si="41"/>
        <v>0</v>
      </c>
      <c r="G104" s="146">
        <f t="shared" si="41"/>
        <v>0</v>
      </c>
      <c r="H104" s="146">
        <f t="shared" si="41"/>
        <v>15103125</v>
      </c>
      <c r="I104" s="146">
        <f t="shared" si="41"/>
        <v>3533130</v>
      </c>
      <c r="J104" s="146">
        <f t="shared" si="41"/>
        <v>0</v>
      </c>
      <c r="K104" s="146">
        <f t="shared" si="41"/>
        <v>0</v>
      </c>
      <c r="L104" s="146">
        <f t="shared" si="41"/>
        <v>0</v>
      </c>
      <c r="M104" s="146">
        <f t="shared" si="41"/>
        <v>0</v>
      </c>
      <c r="N104" s="146">
        <f t="shared" si="41"/>
        <v>0</v>
      </c>
      <c r="O104" s="146">
        <f t="shared" si="41"/>
        <v>0</v>
      </c>
      <c r="P104" s="146">
        <f t="shared" si="41"/>
        <v>0</v>
      </c>
      <c r="Q104" s="146">
        <f t="shared" si="41"/>
        <v>0</v>
      </c>
      <c r="R104" s="342">
        <f t="shared" si="41"/>
        <v>18636255</v>
      </c>
      <c r="S104" s="150">
        <f t="shared" si="41"/>
        <v>18636255</v>
      </c>
      <c r="T104" s="150">
        <f t="shared" si="41"/>
        <v>0</v>
      </c>
      <c r="U104" s="143"/>
    </row>
    <row r="105" spans="1:21" s="144" customFormat="1">
      <c r="A105" s="149" t="s">
        <v>781</v>
      </c>
      <c r="B105" s="150">
        <f>SUM(C105:D105)</f>
        <v>153912164</v>
      </c>
      <c r="C105" s="150">
        <f t="shared" ref="C105:R105" si="42">SUM(C97+C104)</f>
        <v>153912164</v>
      </c>
      <c r="D105" s="150">
        <f t="shared" si="42"/>
        <v>0</v>
      </c>
      <c r="E105" s="150">
        <f t="shared" si="42"/>
        <v>65380955</v>
      </c>
      <c r="F105" s="150">
        <f t="shared" si="42"/>
        <v>41490000</v>
      </c>
      <c r="G105" s="150">
        <f t="shared" si="42"/>
        <v>1700000</v>
      </c>
      <c r="H105" s="150">
        <f t="shared" si="42"/>
        <v>15103125</v>
      </c>
      <c r="I105" s="150">
        <f t="shared" si="42"/>
        <v>6678084</v>
      </c>
      <c r="J105" s="150">
        <f t="shared" si="42"/>
        <v>23560000</v>
      </c>
      <c r="K105" s="150">
        <f t="shared" si="42"/>
        <v>0</v>
      </c>
      <c r="L105" s="150">
        <f t="shared" si="42"/>
        <v>0</v>
      </c>
      <c r="M105" s="150">
        <f t="shared" si="42"/>
        <v>0</v>
      </c>
      <c r="N105" s="150">
        <f t="shared" si="42"/>
        <v>0</v>
      </c>
      <c r="O105" s="150">
        <f t="shared" si="42"/>
        <v>0</v>
      </c>
      <c r="P105" s="150">
        <f t="shared" si="42"/>
        <v>0</v>
      </c>
      <c r="Q105" s="150">
        <f t="shared" si="42"/>
        <v>0</v>
      </c>
      <c r="R105" s="342">
        <f t="shared" si="42"/>
        <v>153912164</v>
      </c>
      <c r="S105" s="150">
        <f>S97+S104</f>
        <v>142877957</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142877957</v>
      </c>
      <c r="T107" s="150">
        <f>T105+T106</f>
        <v>0</v>
      </c>
    </row>
    <row r="108" spans="1:21" s="189" customFormat="1">
      <c r="A108" s="162" t="s">
        <v>880</v>
      </c>
      <c r="B108" s="157"/>
      <c r="C108" s="157"/>
      <c r="D108" s="157"/>
      <c r="E108" s="301">
        <f>Application!AO640</f>
        <v>65380955</v>
      </c>
      <c r="F108" s="301">
        <f>Application!AO627</f>
        <v>41490000</v>
      </c>
      <c r="G108" s="301">
        <f>Application!AO628</f>
        <v>1700000</v>
      </c>
      <c r="H108" s="301">
        <f>Application!AO629</f>
        <v>15103125</v>
      </c>
      <c r="I108" s="301">
        <f>Application!AO630</f>
        <v>6678084</v>
      </c>
      <c r="J108" s="301">
        <f>Application!AO631</f>
        <v>23560000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0" t="s">
        <v>1225</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993</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994</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75">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1" t="s">
        <v>1001</v>
      </c>
      <c r="E132" s="1861"/>
      <c r="F132" s="1861"/>
      <c r="G132" s="1861"/>
      <c r="H132" s="1861"/>
      <c r="I132" s="117"/>
      <c r="J132" s="1861" t="s">
        <v>1002</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2.75">
      <c r="A139" s="1858" t="s">
        <v>1005</v>
      </c>
      <c r="B139" s="1858"/>
      <c r="C139" s="1858"/>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4" workbookViewId="0">
      <selection activeCell="D118" sqref="D118"/>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1228</v>
      </c>
      <c r="B1" s="1872"/>
      <c r="C1" s="1872"/>
      <c r="D1" s="1872"/>
      <c r="E1" s="1872"/>
      <c r="F1" s="1872"/>
      <c r="G1" s="1872"/>
      <c r="H1" s="1872"/>
      <c r="I1" s="1872"/>
      <c r="J1" s="1873"/>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v>
      </c>
      <c r="C4" s="362">
        <f>B4</f>
        <v>1</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v>
      </c>
      <c r="C8" s="361">
        <f>SUM(C4:C7)</f>
        <v>1</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257651</v>
      </c>
      <c r="C10" s="362">
        <f>B10</f>
        <v>257651</v>
      </c>
      <c r="D10" s="362"/>
      <c r="E10" s="361">
        <f>'Sources and Uses Budget'!S10</f>
        <v>257651</v>
      </c>
      <c r="F10" s="362">
        <f>E10</f>
        <v>257651</v>
      </c>
      <c r="G10" s="362"/>
      <c r="H10" s="361">
        <f>'Sources and Uses Budget'!T10</f>
        <v>0</v>
      </c>
      <c r="I10" s="362"/>
      <c r="J10" s="362"/>
      <c r="K10" s="359"/>
    </row>
    <row r="11" spans="1:11" s="360" customFormat="1">
      <c r="A11" s="365" t="s">
        <v>597</v>
      </c>
      <c r="B11" s="361">
        <f>'Sources and Uses Budget'!C11</f>
        <v>257651</v>
      </c>
      <c r="C11" s="361">
        <f>SUM(C9:C10)</f>
        <v>257651</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257652</v>
      </c>
      <c r="C12" s="361">
        <f>SUM(C8+C11)</f>
        <v>257652</v>
      </c>
      <c r="D12" s="361">
        <f>SUM(D8+D11)</f>
        <v>0</v>
      </c>
      <c r="E12" s="363"/>
      <c r="F12" s="363"/>
      <c r="G12" s="363"/>
      <c r="H12" s="363"/>
      <c r="I12" s="363"/>
      <c r="J12" s="363"/>
      <c r="K12" s="359"/>
    </row>
    <row r="13" spans="1:11" s="360" customFormat="1">
      <c r="A13" s="366" t="s">
        <v>903</v>
      </c>
      <c r="B13" s="361">
        <f>'Sources and Uses Budget'!C13</f>
        <v>806500</v>
      </c>
      <c r="C13" s="362">
        <f>B13</f>
        <v>806500</v>
      </c>
      <c r="D13" s="362"/>
      <c r="E13" s="361">
        <f>'Sources and Uses Budget'!S13</f>
        <v>806500</v>
      </c>
      <c r="F13" s="362">
        <f>E13</f>
        <v>806500</v>
      </c>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12882569</v>
      </c>
      <c r="C29" s="362">
        <f t="shared" ref="C29:C33" si="0">B29</f>
        <v>12882569</v>
      </c>
      <c r="D29" s="362"/>
      <c r="E29" s="361">
        <f>'Sources and Uses Budget'!S29</f>
        <v>12882569</v>
      </c>
      <c r="F29" s="362">
        <f t="shared" ref="F29:F33" si="1">E29</f>
        <v>12882569</v>
      </c>
      <c r="G29" s="362"/>
      <c r="H29" s="361">
        <f>'Sources and Uses Budget'!T29</f>
        <v>0</v>
      </c>
      <c r="I29" s="362"/>
      <c r="J29" s="362"/>
      <c r="K29" s="359"/>
    </row>
    <row r="30" spans="1:11" s="360" customFormat="1">
      <c r="A30" s="145" t="s">
        <v>600</v>
      </c>
      <c r="B30" s="361">
        <f>'Sources and Uses Budget'!C30</f>
        <v>59946989</v>
      </c>
      <c r="C30" s="362">
        <f t="shared" si="0"/>
        <v>59946989</v>
      </c>
      <c r="D30" s="362"/>
      <c r="E30" s="361">
        <f>'Sources and Uses Budget'!S30</f>
        <v>59946989</v>
      </c>
      <c r="F30" s="362">
        <f t="shared" si="1"/>
        <v>59946989</v>
      </c>
      <c r="G30" s="362"/>
      <c r="H30" s="361">
        <f>'Sources and Uses Budget'!T30</f>
        <v>0</v>
      </c>
      <c r="I30" s="362"/>
      <c r="J30" s="362"/>
      <c r="K30" s="359"/>
    </row>
    <row r="31" spans="1:11" s="360" customFormat="1">
      <c r="A31" s="145" t="s">
        <v>601</v>
      </c>
      <c r="B31" s="361">
        <f>'Sources and Uses Budget'!C31</f>
        <v>2112000</v>
      </c>
      <c r="C31" s="362">
        <f t="shared" si="0"/>
        <v>2112000</v>
      </c>
      <c r="D31" s="362"/>
      <c r="E31" s="361">
        <f>'Sources and Uses Budget'!S31</f>
        <v>2112000</v>
      </c>
      <c r="F31" s="362">
        <f t="shared" si="1"/>
        <v>2112000</v>
      </c>
      <c r="G31" s="362"/>
      <c r="H31" s="361">
        <f>'Sources and Uses Budget'!T31</f>
        <v>0</v>
      </c>
      <c r="I31" s="362"/>
      <c r="J31" s="362"/>
      <c r="K31" s="359"/>
    </row>
    <row r="32" spans="1:11" s="360" customFormat="1">
      <c r="A32" s="145" t="s">
        <v>137</v>
      </c>
      <c r="B32" s="361">
        <f>'Sources and Uses Budget'!C32</f>
        <v>4177429</v>
      </c>
      <c r="C32" s="362">
        <f t="shared" si="0"/>
        <v>4177429</v>
      </c>
      <c r="D32" s="362"/>
      <c r="E32" s="361">
        <f>'Sources and Uses Budget'!S32</f>
        <v>4177429</v>
      </c>
      <c r="F32" s="362">
        <f t="shared" si="1"/>
        <v>4177429</v>
      </c>
      <c r="G32" s="362"/>
      <c r="H32" s="361">
        <f>'Sources and Uses Budget'!T32</f>
        <v>0</v>
      </c>
      <c r="I32" s="362"/>
      <c r="J32" s="362"/>
      <c r="K32" s="359"/>
    </row>
    <row r="33" spans="1:11" s="360" customFormat="1">
      <c r="A33" s="145" t="s">
        <v>138</v>
      </c>
      <c r="B33" s="361">
        <f>'Sources and Uses Budget'!C33</f>
        <v>4177429</v>
      </c>
      <c r="C33" s="362">
        <f t="shared" si="0"/>
        <v>4177429</v>
      </c>
      <c r="D33" s="362"/>
      <c r="E33" s="361">
        <f>'Sources and Uses Budget'!S33</f>
        <v>4177429</v>
      </c>
      <c r="F33" s="362">
        <f t="shared" si="1"/>
        <v>4177429</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2425157</v>
      </c>
      <c r="C35" s="362">
        <f>B35</f>
        <v>2425157</v>
      </c>
      <c r="D35" s="362"/>
      <c r="E35" s="361">
        <f>'Sources and Uses Budget'!S35</f>
        <v>2425157</v>
      </c>
      <c r="F35" s="362">
        <f>E35</f>
        <v>2425157</v>
      </c>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85721573</v>
      </c>
      <c r="C38" s="361">
        <f>SUM(C29:C37)</f>
        <v>85721573</v>
      </c>
      <c r="D38" s="361">
        <f>SUM(D29:D37)</f>
        <v>0</v>
      </c>
      <c r="E38" s="361">
        <f>'Sources and Uses Budget'!S38</f>
        <v>85721573</v>
      </c>
      <c r="F38" s="367">
        <f>SUM(F29:F37)</f>
        <v>85721573</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2683444</v>
      </c>
      <c r="C40" s="362">
        <f>B40</f>
        <v>2683444</v>
      </c>
      <c r="D40" s="362"/>
      <c r="E40" s="361">
        <f>'Sources and Uses Budget'!S40</f>
        <v>2683444</v>
      </c>
      <c r="F40" s="362">
        <f>E40</f>
        <v>2683444</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2683444</v>
      </c>
      <c r="C42" s="361">
        <f>SUM(C39:C41)</f>
        <v>2683444</v>
      </c>
      <c r="D42" s="361">
        <f>SUM(D39:D41)</f>
        <v>0</v>
      </c>
      <c r="E42" s="361">
        <f>'Sources and Uses Budget'!S42</f>
        <v>2683444</v>
      </c>
      <c r="F42" s="367">
        <f>SUM(F40:F41)</f>
        <v>2683444</v>
      </c>
      <c r="G42" s="367">
        <f>SUM(G40:G41)</f>
        <v>0</v>
      </c>
      <c r="H42" s="361">
        <f>'Sources and Uses Budget'!T42</f>
        <v>0</v>
      </c>
      <c r="I42" s="367">
        <f>SUM(I40:I41)</f>
        <v>0</v>
      </c>
      <c r="J42" s="367">
        <f>SUM(J40:J41)</f>
        <v>0</v>
      </c>
      <c r="K42" s="359"/>
    </row>
    <row r="43" spans="1:11" s="360" customFormat="1">
      <c r="A43" s="365" t="s">
        <v>148</v>
      </c>
      <c r="B43" s="361">
        <f>'Sources and Uses Budget'!C43</f>
        <v>640096</v>
      </c>
      <c r="C43" s="362">
        <f>B43</f>
        <v>640096</v>
      </c>
      <c r="D43" s="362"/>
      <c r="E43" s="361">
        <f>'Sources and Uses Budget'!S43</f>
        <v>640096</v>
      </c>
      <c r="F43" s="362">
        <f>E43</f>
        <v>640096</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7588810</v>
      </c>
      <c r="C45" s="362">
        <f t="shared" ref="C45:C47" si="2">B45</f>
        <v>7588810</v>
      </c>
      <c r="D45" s="362"/>
      <c r="E45" s="361">
        <f>'Sources and Uses Budget'!S45</f>
        <v>7588810</v>
      </c>
      <c r="F45" s="362">
        <f t="shared" ref="F45:F47" si="3">E45</f>
        <v>7588810</v>
      </c>
      <c r="G45" s="362"/>
      <c r="H45" s="361">
        <f>'Sources and Uses Budget'!T45</f>
        <v>0</v>
      </c>
      <c r="I45" s="362"/>
      <c r="J45" s="362"/>
      <c r="K45" s="359"/>
    </row>
    <row r="46" spans="1:11" s="360" customFormat="1">
      <c r="A46" s="364" t="s">
        <v>151</v>
      </c>
      <c r="B46" s="361">
        <f>'Sources and Uses Budget'!C46</f>
        <v>4120599</v>
      </c>
      <c r="C46" s="362">
        <f t="shared" si="2"/>
        <v>4120599</v>
      </c>
      <c r="D46" s="362"/>
      <c r="E46" s="361">
        <f>'Sources and Uses Budget'!S46</f>
        <v>4120599</v>
      </c>
      <c r="F46" s="362">
        <f t="shared" si="3"/>
        <v>4120599</v>
      </c>
      <c r="G46" s="362"/>
      <c r="H46" s="361">
        <f>'Sources and Uses Budget'!T46</f>
        <v>0</v>
      </c>
      <c r="I46" s="362"/>
      <c r="J46" s="362"/>
      <c r="K46" s="359"/>
    </row>
    <row r="47" spans="1:11" s="360" customFormat="1" ht="12" customHeight="1">
      <c r="A47" s="364" t="s">
        <v>152</v>
      </c>
      <c r="B47" s="361">
        <f>'Sources and Uses Budget'!C47</f>
        <v>57998</v>
      </c>
      <c r="C47" s="362">
        <f t="shared" si="2"/>
        <v>57998</v>
      </c>
      <c r="D47" s="362"/>
      <c r="E47" s="361">
        <f>'Sources and Uses Budget'!S47</f>
        <v>57998</v>
      </c>
      <c r="F47" s="362">
        <f t="shared" si="3"/>
        <v>57998</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140000</v>
      </c>
      <c r="C50" s="362">
        <f t="shared" ref="C50:C51" si="4">B50</f>
        <v>140000</v>
      </c>
      <c r="D50" s="362"/>
      <c r="E50" s="361">
        <f>'Sources and Uses Budget'!S50</f>
        <v>140000</v>
      </c>
      <c r="F50" s="362">
        <f>E50</f>
        <v>140000</v>
      </c>
      <c r="G50" s="362"/>
      <c r="H50" s="361">
        <f>'Sources and Uses Budget'!T50</f>
        <v>0</v>
      </c>
      <c r="I50" s="362"/>
      <c r="J50" s="362"/>
      <c r="K50" s="359"/>
    </row>
    <row r="51" spans="1:11" s="360" customFormat="1">
      <c r="A51" s="364" t="s">
        <v>154</v>
      </c>
      <c r="B51" s="361">
        <f>'Sources and Uses Budget'!C51</f>
        <v>470530</v>
      </c>
      <c r="C51" s="362">
        <f t="shared" si="4"/>
        <v>470530</v>
      </c>
      <c r="D51" s="362"/>
      <c r="E51" s="361">
        <f>'Sources and Uses Budget'!S51</f>
        <v>470530</v>
      </c>
      <c r="F51" s="362">
        <f>E51</f>
        <v>470530</v>
      </c>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Construction Inspection Fees</v>
      </c>
      <c r="B53" s="361">
        <f>'Sources and Uses Budget'!C53</f>
        <v>48000</v>
      </c>
      <c r="C53" s="362">
        <f>B53</f>
        <v>48000</v>
      </c>
      <c r="D53" s="362"/>
      <c r="E53" s="361">
        <f>'Sources and Uses Budget'!S53</f>
        <v>48000</v>
      </c>
      <c r="F53" s="362">
        <f>E53</f>
        <v>48000</v>
      </c>
      <c r="G53" s="362"/>
      <c r="H53" s="361">
        <f>'Sources and Uses Budget'!T53</f>
        <v>0</v>
      </c>
      <c r="I53" s="362"/>
      <c r="J53" s="362"/>
      <c r="K53" s="359"/>
    </row>
    <row r="54" spans="1:11" s="369" customFormat="1">
      <c r="A54" s="365" t="s">
        <v>157</v>
      </c>
      <c r="B54" s="361">
        <f>'Sources and Uses Budget'!C54</f>
        <v>12425937</v>
      </c>
      <c r="C54" s="367">
        <f>SUM(C45:C53)</f>
        <v>12425937</v>
      </c>
      <c r="D54" s="367">
        <f>SUM(D45:D53)</f>
        <v>0</v>
      </c>
      <c r="E54" s="361">
        <f>'Sources and Uses Budget'!S54</f>
        <v>12425937</v>
      </c>
      <c r="F54" s="367">
        <f>SUM(F45:F53)</f>
        <v>12425937</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2621476</v>
      </c>
      <c r="C56" s="362">
        <f t="shared" ref="C56:C57" si="5">B56</f>
        <v>2621476</v>
      </c>
      <c r="D56" s="362"/>
      <c r="E56" s="363"/>
      <c r="F56" s="363"/>
      <c r="G56" s="363"/>
      <c r="H56" s="363"/>
      <c r="I56" s="363"/>
      <c r="J56" s="363"/>
      <c r="K56" s="359"/>
    </row>
    <row r="57" spans="1:11" s="360" customFormat="1" ht="12" customHeight="1">
      <c r="A57" s="364" t="s">
        <v>152</v>
      </c>
      <c r="B57" s="361">
        <f>'Sources and Uses Budget'!C57</f>
        <v>311749</v>
      </c>
      <c r="C57" s="362">
        <f t="shared" si="5"/>
        <v>311749</v>
      </c>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Interest Prior to Conversion</v>
      </c>
      <c r="B61" s="361">
        <f>'Sources and Uses Budget'!C61</f>
        <v>5918007</v>
      </c>
      <c r="C61" s="362">
        <f>B61</f>
        <v>5918007</v>
      </c>
      <c r="D61" s="362"/>
      <c r="E61" s="363"/>
      <c r="F61" s="363"/>
      <c r="G61" s="363"/>
      <c r="H61" s="363"/>
      <c r="I61" s="363"/>
      <c r="J61" s="363"/>
      <c r="K61" s="359"/>
    </row>
    <row r="62" spans="1:11" s="360" customFormat="1" ht="13.7" customHeight="1">
      <c r="A62" s="365" t="s">
        <v>301</v>
      </c>
      <c r="B62" s="361">
        <f>'Sources and Uses Budget'!C62</f>
        <v>8851232</v>
      </c>
      <c r="C62" s="361">
        <f>SUM(C56:C61)</f>
        <v>8851232</v>
      </c>
      <c r="D62" s="361">
        <f>SUM(D56:D61)</f>
        <v>0</v>
      </c>
      <c r="E62" s="363"/>
      <c r="F62" s="363"/>
      <c r="G62" s="363"/>
      <c r="H62" s="363"/>
      <c r="I62" s="363"/>
      <c r="J62" s="363"/>
      <c r="K62" s="359"/>
    </row>
    <row r="63" spans="1:11" s="360" customFormat="1">
      <c r="A63" s="370" t="s">
        <v>302</v>
      </c>
      <c r="B63" s="361">
        <f>'Sources and Uses Budget'!C63</f>
        <v>111386434</v>
      </c>
      <c r="C63" s="361">
        <f>SUM(C8+C11+C13+C14+C15+C26+C27+C38+C42+C43+C54+C62)</f>
        <v>111386434</v>
      </c>
      <c r="D63" s="361">
        <f>SUM(D8+D11+D13+D14+D15+D26+D27+D38+D42+D43+D54+D62)</f>
        <v>0</v>
      </c>
      <c r="E63" s="361">
        <f>'Sources and Uses Budget'!S63</f>
        <v>102535201</v>
      </c>
      <c r="F63" s="361">
        <f>SUM(F10+F13+F14+F15+F26+F27+F38+F42+F43+F54)</f>
        <v>102535201</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100000</v>
      </c>
      <c r="C70" s="361">
        <f>SUM(C64:C69)</f>
        <v>100000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1579477</v>
      </c>
      <c r="C75" s="362">
        <f>B75</f>
        <v>1579477</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1579477</v>
      </c>
      <c r="C77" s="361">
        <f>SUM(C72:C76)</f>
        <v>1579477</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6266556</v>
      </c>
      <c r="C79" s="362">
        <f t="shared" ref="C79:C80" si="6">B79</f>
        <v>6266556</v>
      </c>
      <c r="D79" s="362"/>
      <c r="E79" s="361">
        <f>'Sources and Uses Budget'!S79</f>
        <v>6266556</v>
      </c>
      <c r="F79" s="362">
        <f t="shared" ref="F79:F80" si="7">E79</f>
        <v>6266556</v>
      </c>
      <c r="G79" s="362"/>
      <c r="H79" s="361">
        <f>'Sources and Uses Budget'!T79</f>
        <v>0</v>
      </c>
      <c r="I79" s="362"/>
      <c r="J79" s="362"/>
      <c r="K79" s="359"/>
    </row>
    <row r="80" spans="1:11" s="360" customFormat="1">
      <c r="A80" s="364" t="s">
        <v>58</v>
      </c>
      <c r="B80" s="361">
        <f>'Sources and Uses Budget'!C80</f>
        <v>1376164</v>
      </c>
      <c r="C80" s="362">
        <f t="shared" si="6"/>
        <v>1376164</v>
      </c>
      <c r="D80" s="362"/>
      <c r="E80" s="361">
        <f>'Sources and Uses Budget'!S80</f>
        <v>1376164</v>
      </c>
      <c r="F80" s="362">
        <f t="shared" si="7"/>
        <v>1376164</v>
      </c>
      <c r="G80" s="362"/>
      <c r="H80" s="361">
        <f>'Sources and Uses Budget'!T80</f>
        <v>0</v>
      </c>
      <c r="I80" s="362"/>
      <c r="J80" s="362"/>
      <c r="K80" s="359"/>
    </row>
    <row r="81" spans="1:11" s="360" customFormat="1">
      <c r="A81" s="365" t="s">
        <v>1210</v>
      </c>
      <c r="B81" s="361">
        <f>'Sources and Uses Budget'!C81</f>
        <v>7642720</v>
      </c>
      <c r="C81" s="361">
        <f>SUM(C79:C80)</f>
        <v>7642720</v>
      </c>
      <c r="D81" s="361">
        <f>SUM(D79:D80)</f>
        <v>0</v>
      </c>
      <c r="E81" s="361">
        <f>'Sources and Uses Budget'!S81</f>
        <v>7642720</v>
      </c>
      <c r="F81" s="361">
        <f>SUM(F79:F80)</f>
        <v>7642720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300497</v>
      </c>
      <c r="C83" s="362">
        <f>B83</f>
        <v>300497</v>
      </c>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11905951</v>
      </c>
      <c r="C85" s="362">
        <f t="shared" ref="C85:C86" si="8">B85</f>
        <v>11905951</v>
      </c>
      <c r="D85" s="362"/>
      <c r="E85" s="361">
        <f>'Sources and Uses Budget'!S85</f>
        <v>11905951</v>
      </c>
      <c r="F85" s="362">
        <f t="shared" ref="F85:F86" si="9">E85</f>
        <v>11905951</v>
      </c>
      <c r="G85" s="362"/>
      <c r="H85" s="361">
        <f>'Sources and Uses Budget'!T85</f>
        <v>0</v>
      </c>
      <c r="I85" s="362"/>
      <c r="J85" s="362"/>
      <c r="K85" s="359"/>
    </row>
    <row r="86" spans="1:11" s="360" customFormat="1">
      <c r="A86" s="145" t="s">
        <v>770</v>
      </c>
      <c r="B86" s="361">
        <f>'Sources and Uses Budget'!C86</f>
        <v>1160460</v>
      </c>
      <c r="C86" s="362">
        <f t="shared" si="8"/>
        <v>1160460</v>
      </c>
      <c r="D86" s="362"/>
      <c r="E86" s="361">
        <f>'Sources and Uses Budget'!S86</f>
        <v>1160460</v>
      </c>
      <c r="F86" s="362">
        <f t="shared" si="9"/>
        <v>1160460</v>
      </c>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203000</v>
      </c>
      <c r="C88" s="362">
        <f t="shared" ref="C88:C93" si="10">B88</f>
        <v>203000</v>
      </c>
      <c r="D88" s="362"/>
      <c r="E88" s="363"/>
      <c r="F88" s="363"/>
      <c r="G88" s="363"/>
      <c r="H88" s="363"/>
      <c r="I88" s="363"/>
      <c r="J88" s="363"/>
      <c r="K88" s="359"/>
    </row>
    <row r="89" spans="1:11" s="360" customFormat="1">
      <c r="A89" s="145" t="s">
        <v>773</v>
      </c>
      <c r="B89" s="361">
        <f>'Sources and Uses Budget'!C89</f>
        <v>649500</v>
      </c>
      <c r="C89" s="362">
        <f t="shared" si="10"/>
        <v>649500</v>
      </c>
      <c r="D89" s="362"/>
      <c r="E89" s="361">
        <f>'Sources and Uses Budget'!S89</f>
        <v>649500</v>
      </c>
      <c r="F89" s="362">
        <f t="shared" ref="F89:F93" si="11">E89</f>
        <v>649500</v>
      </c>
      <c r="G89" s="362"/>
      <c r="H89" s="361">
        <f>'Sources and Uses Budget'!T89</f>
        <v>0</v>
      </c>
      <c r="I89" s="362"/>
      <c r="J89" s="362"/>
      <c r="K89" s="359"/>
    </row>
    <row r="90" spans="1:11" s="360" customFormat="1">
      <c r="A90" s="145" t="s">
        <v>774</v>
      </c>
      <c r="B90" s="361">
        <f>'Sources and Uses Budget'!C90</f>
        <v>22300</v>
      </c>
      <c r="C90" s="362">
        <f t="shared" si="10"/>
        <v>22300</v>
      </c>
      <c r="D90" s="362"/>
      <c r="E90" s="361">
        <f>'Sources and Uses Budget'!S90</f>
        <v>22300</v>
      </c>
      <c r="F90" s="362">
        <f t="shared" si="11"/>
        <v>22300</v>
      </c>
      <c r="G90" s="362"/>
      <c r="H90" s="361">
        <f>'Sources and Uses Budget'!T90</f>
        <v>0</v>
      </c>
      <c r="I90" s="362"/>
      <c r="J90" s="362"/>
      <c r="K90" s="359"/>
    </row>
    <row r="91" spans="1:11" s="360" customFormat="1">
      <c r="A91" s="155" t="s">
        <v>372</v>
      </c>
      <c r="B91" s="361">
        <f>'Sources and Uses Budget'!C91</f>
        <v>45000</v>
      </c>
      <c r="C91" s="362">
        <f t="shared" si="10"/>
        <v>45000</v>
      </c>
      <c r="D91" s="362"/>
      <c r="E91" s="361">
        <f>'Sources and Uses Budget'!S91</f>
        <v>45000</v>
      </c>
      <c r="F91" s="362">
        <f t="shared" si="11"/>
        <v>45000</v>
      </c>
      <c r="G91" s="362"/>
      <c r="H91" s="361">
        <f>'Sources and Uses Budget'!T91</f>
        <v>0</v>
      </c>
      <c r="I91" s="362"/>
      <c r="J91" s="362"/>
      <c r="K91" s="359"/>
    </row>
    <row r="92" spans="1:11" s="360" customFormat="1">
      <c r="A92" s="508" t="s">
        <v>1212</v>
      </c>
      <c r="B92" s="361">
        <f>'Sources and Uses Budget'!C92</f>
        <v>5200</v>
      </c>
      <c r="C92" s="362">
        <f t="shared" si="10"/>
        <v>5200</v>
      </c>
      <c r="D92" s="362"/>
      <c r="E92" s="361">
        <f>'Sources and Uses Budget'!S92</f>
        <v>5200</v>
      </c>
      <c r="F92" s="362">
        <f t="shared" si="11"/>
        <v>5200</v>
      </c>
      <c r="G92" s="362"/>
      <c r="H92" s="361">
        <f>'Sources and Uses Budget'!T92</f>
        <v>0</v>
      </c>
      <c r="I92" s="362"/>
      <c r="J92" s="362"/>
      <c r="K92" s="359"/>
    </row>
    <row r="93" spans="1:11" s="360" customFormat="1">
      <c r="A93" s="364" t="str">
        <f>'Sources and Uses Budget'!$A93</f>
        <v>Other: Development Expense</v>
      </c>
      <c r="B93" s="361">
        <f>'Sources and Uses Budget'!C93</f>
        <v>275370</v>
      </c>
      <c r="C93" s="362">
        <f t="shared" si="10"/>
        <v>275370</v>
      </c>
      <c r="D93" s="362"/>
      <c r="E93" s="361">
        <f>'Sources and Uses Budget'!S93</f>
        <v>275370</v>
      </c>
      <c r="F93" s="362">
        <f t="shared" si="11"/>
        <v>275370</v>
      </c>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14567278</v>
      </c>
      <c r="C96" s="361">
        <f>SUM(C83:C95)</f>
        <v>14567278</v>
      </c>
      <c r="D96" s="361">
        <f>SUM(D83:D95)</f>
        <v>0</v>
      </c>
      <c r="E96" s="361">
        <f>'Sources and Uses Budget'!S96</f>
        <v>14063781</v>
      </c>
      <c r="F96" s="367">
        <f>SUM(F84:F87,F89:F95)</f>
        <v>14063781</v>
      </c>
      <c r="G96" s="367">
        <f>SUM(G84:G87,G89:G95)</f>
        <v>0</v>
      </c>
      <c r="H96" s="361">
        <f>'Sources and Uses Budget'!T96</f>
        <v>0</v>
      </c>
      <c r="I96" s="361">
        <f>SUM(I84:I87,I89:I95)</f>
        <v>0</v>
      </c>
      <c r="J96" s="361">
        <f>SUM(J84:J87,J89:J95)</f>
        <v>0</v>
      </c>
      <c r="K96" s="359"/>
    </row>
    <row r="97" spans="1:11" s="360" customFormat="1">
      <c r="A97" s="365" t="s">
        <v>1030</v>
      </c>
      <c r="B97" s="361">
        <f>'Sources and Uses Budget'!C97</f>
        <v>135275909</v>
      </c>
      <c r="C97" s="361">
        <f>SUM(C63+C70+C77+C81+C96)</f>
        <v>135275909</v>
      </c>
      <c r="D97" s="361">
        <f>SUM(D63+D70+D77+D81+D96)</f>
        <v>0</v>
      </c>
      <c r="E97" s="361">
        <f>'Sources and Uses Budget'!S97</f>
        <v>124241702</v>
      </c>
      <c r="F97" s="367">
        <f>SUM(+F63+F70+F81+F96)</f>
        <v>124241702</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18636255</v>
      </c>
      <c r="C99" s="362">
        <f>B99</f>
        <v>18636255</v>
      </c>
      <c r="D99" s="362"/>
      <c r="E99" s="361">
        <f>'Sources and Uses Budget'!S99</f>
        <v>18636255</v>
      </c>
      <c r="F99" s="362">
        <f>E99</f>
        <v>18636255</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18636255</v>
      </c>
      <c r="C104" s="361">
        <f>SUM(C99:C103)</f>
        <v>18636255</v>
      </c>
      <c r="D104" s="361">
        <f>SUM(D99:D103)</f>
        <v>0</v>
      </c>
      <c r="E104" s="361">
        <f>'Sources and Uses Budget'!S104</f>
        <v>18636255</v>
      </c>
      <c r="F104" s="367">
        <f>SUM(F99:F103)</f>
        <v>18636255</v>
      </c>
      <c r="G104" s="367">
        <f>SUM(G99:G103)</f>
        <v>0</v>
      </c>
      <c r="H104" s="361">
        <f>'Sources and Uses Budget'!T104</f>
        <v>0</v>
      </c>
      <c r="I104" s="367">
        <f>SUM(I99:I103)</f>
        <v>0</v>
      </c>
      <c r="J104" s="367">
        <f>SUM(J99:J103)</f>
        <v>0</v>
      </c>
      <c r="K104" s="359"/>
    </row>
    <row r="105" spans="1:11" s="360" customFormat="1">
      <c r="A105" s="365" t="s">
        <v>1031</v>
      </c>
      <c r="B105" s="361">
        <f>'Sources and Uses Budget'!C105</f>
        <v>153912164</v>
      </c>
      <c r="C105" s="367">
        <f>SUM(C97+C104)</f>
        <v>153912164</v>
      </c>
      <c r="D105" s="367">
        <f>SUM(D97+D104)</f>
        <v>0</v>
      </c>
      <c r="E105" s="361">
        <f>'Sources and Uses Budget'!S105</f>
        <v>142877957</v>
      </c>
      <c r="F105" s="367">
        <f>F97+F104</f>
        <v>142877957</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142877957</v>
      </c>
      <c r="F107" s="367">
        <f>F105+F106</f>
        <v>142877957</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2" t="s">
        <v>2457</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2456</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4" t="str">
        <f>IF(Application!H18="","",Application!H18)</f>
        <v xml:space="preserve">USA University Avenue </v>
      </c>
      <c r="M4" s="1875"/>
      <c r="N4" s="1875"/>
      <c r="O4" s="1875"/>
      <c r="P4" s="1875"/>
      <c r="Q4" s="1875"/>
      <c r="R4" s="1875"/>
      <c r="S4" s="1875"/>
      <c r="T4" s="1875"/>
      <c r="U4" s="1875"/>
      <c r="V4" s="1875"/>
      <c r="W4" s="1875"/>
      <c r="X4" s="1875"/>
      <c r="Y4" s="1875"/>
      <c r="Z4" s="1875"/>
      <c r="AA4" s="1875"/>
      <c r="AB4" s="1875"/>
      <c r="AC4" s="1876"/>
      <c r="AD4" s="1190"/>
      <c r="AE4" s="1190"/>
      <c r="AF4" s="1888" t="s">
        <v>2455</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2454</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4" t="str">
        <f>IF(Application!H16="","",Application!H16)</f>
        <v>WJU Holding 719, L.P.</v>
      </c>
      <c r="M6" s="1875"/>
      <c r="N6" s="1875"/>
      <c r="O6" s="1875"/>
      <c r="P6" s="1875"/>
      <c r="Q6" s="1875"/>
      <c r="R6" s="1875"/>
      <c r="S6" s="1875"/>
      <c r="T6" s="1875"/>
      <c r="U6" s="1875"/>
      <c r="V6" s="1875"/>
      <c r="W6" s="1875"/>
      <c r="X6" s="1875"/>
      <c r="Y6" s="1875"/>
      <c r="Z6" s="1875"/>
      <c r="AA6" s="1875"/>
      <c r="AB6" s="1875"/>
      <c r="AC6" s="1876"/>
      <c r="AD6" s="1190"/>
      <c r="AE6" s="1190"/>
      <c r="AF6" s="1877" t="s">
        <v>2452</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2451</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2449</v>
      </c>
      <c r="AG8" s="1877"/>
      <c r="AH8" s="1877"/>
      <c r="AI8" s="1877"/>
      <c r="AJ8" s="1877"/>
      <c r="AK8" s="1877"/>
      <c r="AL8" s="1877"/>
      <c r="AM8" s="1877"/>
      <c r="AN8" s="1877"/>
      <c r="AO8" s="1877"/>
      <c r="AP8" s="1878" t="s">
        <v>2099</v>
      </c>
      <c r="AQ8" s="1878"/>
      <c r="AR8" s="1878"/>
      <c r="AS8" s="1878"/>
      <c r="AT8" s="1878"/>
      <c r="AU8" s="1878"/>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2448</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3">
        <f>Application!AO627</f>
        <v>41490000</v>
      </c>
      <c r="O10" s="1903"/>
      <c r="P10" s="1903"/>
      <c r="Q10" s="1903"/>
      <c r="R10" s="1903"/>
      <c r="S10" s="1903"/>
      <c r="T10" s="1903"/>
      <c r="U10" s="1190"/>
      <c r="V10" s="1190"/>
      <c r="W10" s="1190"/>
      <c r="X10" s="1193"/>
      <c r="Y10" s="1193"/>
      <c r="Z10" s="1193"/>
      <c r="AA10" s="1193"/>
      <c r="AB10" s="1193"/>
      <c r="AC10" s="1193"/>
      <c r="AD10" s="1193"/>
      <c r="AE10" s="1193"/>
      <c r="AF10" s="1888" t="s">
        <v>2445</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2442</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91" t="s">
        <v>2440</v>
      </c>
      <c r="C13" s="1892"/>
      <c r="D13" s="1892"/>
      <c r="E13" s="1892"/>
      <c r="F13" s="1892"/>
      <c r="G13" s="1892"/>
      <c r="H13" s="1892"/>
      <c r="I13" s="1892"/>
      <c r="J13" s="1892"/>
      <c r="K13" s="1892"/>
      <c r="L13" s="1892"/>
      <c r="M13" s="1892"/>
      <c r="N13" s="1892"/>
      <c r="O13" s="1892"/>
      <c r="P13" s="1893"/>
      <c r="Q13" s="1894" t="s">
        <v>670</v>
      </c>
      <c r="R13" s="1895"/>
      <c r="S13" s="1895"/>
      <c r="T13" s="1896"/>
      <c r="U13" s="1193"/>
      <c r="V13" s="1190"/>
      <c r="W13" s="1190"/>
      <c r="X13" s="1190"/>
      <c r="Y13" s="1190"/>
      <c r="Z13" s="1190"/>
      <c r="AA13" s="1897" t="s">
        <v>2439</v>
      </c>
      <c r="AB13" s="1897"/>
      <c r="AC13" s="1897"/>
      <c r="AD13" s="1897"/>
      <c r="AE13" s="1897"/>
      <c r="AF13" s="1897"/>
      <c r="AG13" s="1897"/>
      <c r="AH13" s="1897"/>
      <c r="AI13" s="1897"/>
      <c r="AJ13" s="1897"/>
      <c r="AK13" s="1897"/>
      <c r="AL13" s="1897"/>
      <c r="AM13" s="1897"/>
      <c r="AN13" s="1897"/>
      <c r="AO13" s="1898">
        <f>Application!W473</f>
        <v>50</v>
      </c>
      <c r="AP13" s="1899"/>
      <c r="AQ13" s="1899"/>
      <c r="AR13" s="1899"/>
      <c r="AS13" s="1899"/>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2437</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thickBot="1">
      <c r="A15" s="1190"/>
      <c r="B15" s="1904" t="s">
        <v>2436</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2435</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9" t="s">
        <v>2434</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2433</v>
      </c>
      <c r="C18" s="1913"/>
      <c r="D18" s="1913"/>
      <c r="E18" s="1913"/>
      <c r="F18" s="1913"/>
      <c r="G18" s="1913"/>
      <c r="H18" s="1913"/>
      <c r="I18" s="1914"/>
      <c r="J18" s="1915" t="s">
        <v>1587</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2432</v>
      </c>
      <c r="AU18" s="1916"/>
      <c r="AV18" s="1916"/>
      <c r="AW18" s="1916"/>
      <c r="AX18" s="1916"/>
      <c r="AY18" s="1918"/>
      <c r="AZ18" s="1190"/>
      <c r="BA18" s="1190"/>
      <c r="BB18" s="1190"/>
      <c r="BC18" s="1190"/>
      <c r="BD18" s="1190"/>
      <c r="BE18" s="1194"/>
    </row>
    <row r="19" spans="1:58" ht="15">
      <c r="A19" s="1190"/>
      <c r="B19" s="1919">
        <v>0.3</v>
      </c>
      <c r="C19" s="1920"/>
      <c r="D19" s="1920"/>
      <c r="E19" s="1920"/>
      <c r="F19" s="1920"/>
      <c r="G19" s="1920"/>
      <c r="H19" s="1920"/>
      <c r="I19" s="1921"/>
      <c r="J19" s="1922">
        <f t="shared" ref="J19:J24" si="0">SUM(P19:AS19)</f>
        <v>34</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7</v>
      </c>
      <c r="W19" s="1923"/>
      <c r="X19" s="1923"/>
      <c r="Y19" s="1923"/>
      <c r="Z19" s="1923"/>
      <c r="AA19" s="1924"/>
      <c r="AB19" s="1922" cm="1">
        <f t="array" ref="AB19">SUMPRODUCT((Application!$B$714:$B$738 = 'CalHFA Addendum'!AB$18)*(Application!$AC$714:$AC$738 = 'CalHFA Addendum'!$B19),Application!$G$714:$G$738)</f>
        <v>19</v>
      </c>
      <c r="AC19" s="1923"/>
      <c r="AD19" s="1923"/>
      <c r="AE19" s="1923"/>
      <c r="AF19" s="1923"/>
      <c r="AG19" s="1924"/>
      <c r="AH19" s="1922" cm="1">
        <f t="array" ref="AH19">SUMPRODUCT((Application!$B$714:$B$738 = 'CalHFA Addendum'!AH$18)*(Application!$AC$714:$AC$738 = 'CalHFA Addendum'!$B19),Application!$G$714:$G$738)</f>
        <v>8</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0.10493827160493827</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5">
      <c r="A21" s="1190"/>
      <c r="B21" s="1919">
        <v>0.5</v>
      </c>
      <c r="C21" s="1920"/>
      <c r="D21" s="1920"/>
      <c r="E21" s="1920"/>
      <c r="F21" s="1920"/>
      <c r="G21" s="1920"/>
      <c r="H21" s="1920"/>
      <c r="I21" s="1921"/>
      <c r="J21" s="1922">
        <f t="shared" si="0"/>
        <v>57</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16</v>
      </c>
      <c r="W21" s="1923"/>
      <c r="X21" s="1923"/>
      <c r="Y21" s="1923"/>
      <c r="Z21" s="1923"/>
      <c r="AA21" s="1924"/>
      <c r="AB21" s="1922" cm="1">
        <f t="array" ref="AB21">SUMPRODUCT((Application!$B$714:$B$738 = 'CalHFA Addendum'!AB$18)*(Application!$AC$714:$AC$738 = 'CalHFA Addendum'!$B21),Application!$G$714:$G$738)</f>
        <v>33</v>
      </c>
      <c r="AC21" s="1923"/>
      <c r="AD21" s="1923"/>
      <c r="AE21" s="1923"/>
      <c r="AF21" s="1923"/>
      <c r="AG21" s="1924"/>
      <c r="AH21" s="1922" cm="1">
        <f t="array" ref="AH21">SUMPRODUCT((Application!$B$714:$B$738 = 'CalHFA Addendum'!AH$18)*(Application!$AC$714:$AC$738 = 'CalHFA Addendum'!$B21),Application!$G$714:$G$738)</f>
        <v>8</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0.17592592592592593</v>
      </c>
      <c r="AU21" s="1926"/>
      <c r="AV21" s="1926"/>
      <c r="AW21" s="1926"/>
      <c r="AX21" s="1926"/>
      <c r="AY21" s="1927"/>
      <c r="AZ21" s="1190"/>
      <c r="BA21" s="1190"/>
      <c r="BB21" s="1190"/>
      <c r="BC21" s="1190"/>
      <c r="BD21" s="1190"/>
      <c r="BE21" s="1194"/>
    </row>
    <row r="22" spans="1:58" ht="15">
      <c r="A22" s="1190"/>
      <c r="B22" s="1919">
        <v>0.6</v>
      </c>
      <c r="C22" s="1920"/>
      <c r="D22" s="1920"/>
      <c r="E22" s="1920"/>
      <c r="F22" s="1920"/>
      <c r="G22" s="1920"/>
      <c r="H22" s="1920"/>
      <c r="I22" s="1921"/>
      <c r="J22" s="1922">
        <f t="shared" si="0"/>
        <v>71</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27</v>
      </c>
      <c r="W22" s="1923"/>
      <c r="X22" s="1923"/>
      <c r="Y22" s="1923"/>
      <c r="Z22" s="1923"/>
      <c r="AA22" s="1924"/>
      <c r="AB22" s="1922" cm="1">
        <f t="array" ref="AB22">SUMPRODUCT((Application!$B$714:$B$738 = 'CalHFA Addendum'!AB$18)*(Application!$AC$714:$AC$738 = 'CalHFA Addendum'!$B22),Application!$G$714:$G$738)</f>
        <v>36</v>
      </c>
      <c r="AC22" s="1923"/>
      <c r="AD22" s="1923"/>
      <c r="AE22" s="1923"/>
      <c r="AF22" s="1923"/>
      <c r="AG22" s="1924"/>
      <c r="AH22" s="1922" cm="1">
        <f t="array" ref="AH22">SUMPRODUCT((Application!$B$714:$B$738 = 'CalHFA Addendum'!AH$18)*(Application!$AC$714:$AC$738 = 'CalHFA Addendum'!$B22),Application!$G$714:$G$738)</f>
        <v>8</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0.2191358024691358</v>
      </c>
      <c r="AU22" s="1926"/>
      <c r="AV22" s="1926"/>
      <c r="AW22" s="1926"/>
      <c r="AX22" s="1926"/>
      <c r="AY22" s="1927"/>
      <c r="AZ22" s="1190"/>
      <c r="BA22" s="1190"/>
      <c r="BB22" s="1190"/>
      <c r="BC22" s="1190"/>
      <c r="BD22" s="1190"/>
      <c r="BE22" s="1194"/>
    </row>
    <row r="23" spans="1:58" ht="15">
      <c r="A23" s="1190"/>
      <c r="B23" s="1919">
        <v>0.7</v>
      </c>
      <c r="C23" s="1920"/>
      <c r="D23" s="1920"/>
      <c r="E23" s="1920"/>
      <c r="F23" s="1920"/>
      <c r="G23" s="1920"/>
      <c r="H23" s="1920"/>
      <c r="I23" s="1921"/>
      <c r="J23" s="1922">
        <f t="shared" si="0"/>
        <v>159</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27</v>
      </c>
      <c r="W23" s="1923"/>
      <c r="X23" s="1923"/>
      <c r="Y23" s="1923"/>
      <c r="Z23" s="1923"/>
      <c r="AA23" s="1924"/>
      <c r="AB23" s="1922" cm="1">
        <f t="array" ref="AB23">SUMPRODUCT((Application!$B$714:$B$738 = 'CalHFA Addendum'!AB$18)*(Application!$AC$714:$AC$738 = 'CalHFA Addendum'!$B23),Application!$G$714:$G$738)</f>
        <v>75</v>
      </c>
      <c r="AC23" s="1923"/>
      <c r="AD23" s="1923"/>
      <c r="AE23" s="1923"/>
      <c r="AF23" s="1923"/>
      <c r="AG23" s="1924"/>
      <c r="AH23" s="1922" cm="1">
        <f t="array" ref="AH23">SUMPRODUCT((Application!$B$714:$B$738 = 'CalHFA Addendum'!AH$18)*(Application!$AC$714:$AC$738 = 'CalHFA Addendum'!$B23),Application!$G$714:$G$738)</f>
        <v>57</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0.49074074074074076</v>
      </c>
      <c r="AU23" s="1926"/>
      <c r="AV23" s="1926"/>
      <c r="AW23" s="1926"/>
      <c r="AX23" s="1926"/>
      <c r="AY23" s="1927"/>
      <c r="AZ23" s="1190"/>
      <c r="BA23" s="1190"/>
      <c r="BB23" s="1190"/>
      <c r="BC23" s="1190"/>
      <c r="BD23" s="1190"/>
      <c r="BE23" s="1194"/>
    </row>
    <row r="24" spans="1:58" ht="1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thickBot="1">
      <c r="A28" s="1190"/>
      <c r="B28" s="1931" t="s">
        <v>2431</v>
      </c>
      <c r="C28" s="1932"/>
      <c r="D28" s="1932"/>
      <c r="E28" s="1932"/>
      <c r="F28" s="1932"/>
      <c r="G28" s="1932"/>
      <c r="H28" s="1932"/>
      <c r="I28" s="1933"/>
      <c r="J28" s="1934">
        <f>SUM(P28:AS28)</f>
        <v>3</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3</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9.2592592592592587E-3</v>
      </c>
      <c r="AU28" s="1938"/>
      <c r="AV28" s="1938"/>
      <c r="AW28" s="1938"/>
      <c r="AX28" s="1938"/>
      <c r="AY28" s="1939"/>
      <c r="AZ28" s="1190"/>
      <c r="BA28" s="1190"/>
      <c r="BB28" s="1190"/>
      <c r="BC28" s="1190"/>
      <c r="BD28" s="1190"/>
      <c r="BE28" s="1194"/>
    </row>
    <row r="29" spans="1:58" thickBot="1">
      <c r="A29" s="1190"/>
      <c r="B29" s="1968" t="s">
        <v>1587</v>
      </c>
      <c r="C29" s="1941"/>
      <c r="D29" s="1941"/>
      <c r="E29" s="1941"/>
      <c r="F29" s="1941"/>
      <c r="G29" s="1941"/>
      <c r="H29" s="1941"/>
      <c r="I29" s="1942"/>
      <c r="J29" s="1940">
        <f>SUM(J19:O28)</f>
        <v>324</v>
      </c>
      <c r="K29" s="1941"/>
      <c r="L29" s="1941"/>
      <c r="M29" s="1941"/>
      <c r="N29" s="1941"/>
      <c r="O29" s="1942"/>
      <c r="P29" s="1940">
        <f>SUM(P19:U28)</f>
        <v>0</v>
      </c>
      <c r="Q29" s="1941"/>
      <c r="R29" s="1941"/>
      <c r="S29" s="1941"/>
      <c r="T29" s="1941"/>
      <c r="U29" s="1942"/>
      <c r="V29" s="1940">
        <f>SUM(V19:AA28)</f>
        <v>77</v>
      </c>
      <c r="W29" s="1941"/>
      <c r="X29" s="1941"/>
      <c r="Y29" s="1941"/>
      <c r="Z29" s="1941"/>
      <c r="AA29" s="1942"/>
      <c r="AB29" s="1940">
        <f>SUM(AB19:AG28)</f>
        <v>166</v>
      </c>
      <c r="AC29" s="1941"/>
      <c r="AD29" s="1941"/>
      <c r="AE29" s="1941"/>
      <c r="AF29" s="1941"/>
      <c r="AG29" s="1942"/>
      <c r="AH29" s="1940">
        <f>SUM(AH19:AM28)</f>
        <v>81</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6" t="s">
        <v>2430</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thickBot="1">
      <c r="A32" s="1190"/>
      <c r="B32" s="1949" t="s">
        <v>2429</v>
      </c>
      <c r="C32" s="1950"/>
      <c r="D32" s="1950"/>
      <c r="E32" s="1950"/>
      <c r="F32" s="1950"/>
      <c r="G32" s="1950"/>
      <c r="H32" s="1950"/>
      <c r="I32" s="1950"/>
      <c r="J32" s="1953" t="s">
        <v>2428</v>
      </c>
      <c r="K32" s="1954"/>
      <c r="L32" s="1954"/>
      <c r="M32" s="1954"/>
      <c r="N32" s="1953" t="s">
        <v>2427</v>
      </c>
      <c r="O32" s="1954"/>
      <c r="P32" s="1954"/>
      <c r="Q32" s="1956"/>
      <c r="R32" s="1958" t="s">
        <v>2426</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2425</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2424</v>
      </c>
      <c r="AT35" s="1970"/>
      <c r="AU35" s="1970"/>
      <c r="AV35" s="1970"/>
      <c r="AW35" s="1970"/>
      <c r="AX35" s="1978"/>
      <c r="AY35" s="1969" t="s">
        <v>2423</v>
      </c>
      <c r="AZ35" s="1970"/>
      <c r="BA35" s="1970"/>
      <c r="BB35" s="1970"/>
      <c r="BC35" s="1970"/>
      <c r="BD35" s="1971"/>
      <c r="BE35" s="1194"/>
    </row>
    <row r="36" spans="1:58" ht="15.75" customHeight="1">
      <c r="A36" s="1190"/>
      <c r="B36" s="1988" t="s">
        <v>2422</v>
      </c>
      <c r="C36" s="1989"/>
      <c r="D36" s="1989"/>
      <c r="E36" s="1989"/>
      <c r="F36" s="1989"/>
      <c r="G36" s="1989"/>
      <c r="H36" s="1989"/>
      <c r="I36" s="1989"/>
      <c r="J36" s="1990" t="s">
        <v>2421</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2420</v>
      </c>
      <c r="C37" s="1989"/>
      <c r="D37" s="1989"/>
      <c r="E37" s="1989"/>
      <c r="F37" s="1989"/>
      <c r="G37" s="1989"/>
      <c r="H37" s="1989"/>
      <c r="I37" s="1989"/>
      <c r="J37" s="1990" t="s">
        <v>2419</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2418</v>
      </c>
      <c r="C38" s="1989"/>
      <c r="D38" s="1989"/>
      <c r="E38" s="1989"/>
      <c r="F38" s="1989"/>
      <c r="G38" s="1989"/>
      <c r="H38" s="1989"/>
      <c r="I38" s="1989"/>
      <c r="J38" s="1990" t="s">
        <v>2417</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2416</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2416</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2415</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2415</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2414</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2413</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2412</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2336</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2409</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2402</v>
      </c>
      <c r="C51" s="2008"/>
      <c r="D51" s="2008"/>
      <c r="E51" s="2008"/>
      <c r="F51" s="2008"/>
      <c r="G51" s="2008"/>
      <c r="H51" s="2008"/>
      <c r="I51" s="2008"/>
      <c r="J51" s="2008" t="s">
        <v>2408</v>
      </c>
      <c r="K51" s="2008"/>
      <c r="L51" s="2008"/>
      <c r="M51" s="2008"/>
      <c r="N51" s="2008"/>
      <c r="O51" s="2008"/>
      <c r="P51" s="2008"/>
      <c r="Q51" s="2008"/>
      <c r="R51" s="2009" t="s">
        <v>2407</v>
      </c>
      <c r="S51" s="2009"/>
      <c r="T51" s="2009"/>
      <c r="U51" s="2009"/>
      <c r="V51" s="2009"/>
      <c r="W51" s="2009"/>
      <c r="X51" s="2009"/>
      <c r="Y51" s="2009"/>
      <c r="Z51" s="2009" t="s">
        <v>2406</v>
      </c>
      <c r="AA51" s="2009"/>
      <c r="AB51" s="2009"/>
      <c r="AC51" s="2009"/>
      <c r="AD51" s="2009"/>
      <c r="AE51" s="2009"/>
      <c r="AF51" s="2009"/>
      <c r="AG51" s="2009"/>
      <c r="AH51" s="2009" t="s">
        <v>2405</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2404</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2403</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1587</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2402</v>
      </c>
      <c r="C59" s="2017"/>
      <c r="D59" s="2017"/>
      <c r="E59" s="2017"/>
      <c r="F59" s="2017"/>
      <c r="G59" s="2017"/>
      <c r="H59" s="2017"/>
      <c r="I59" s="2018"/>
      <c r="J59" s="1910" t="s">
        <v>2401</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2399</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2398</v>
      </c>
      <c r="AD68" s="2054"/>
      <c r="AE68" s="2054"/>
      <c r="AF68" s="2054"/>
      <c r="AG68" s="2054"/>
      <c r="AH68" s="2054"/>
      <c r="AI68" s="2054"/>
      <c r="AJ68" s="2054"/>
      <c r="AK68" s="2054"/>
      <c r="AL68" s="2054"/>
      <c r="AM68" s="2054"/>
      <c r="AN68" s="2054"/>
      <c r="AO68" s="2054"/>
      <c r="AP68" s="2054"/>
      <c r="AQ68" s="2054"/>
      <c r="AR68" s="2054"/>
      <c r="AS68" s="2054"/>
      <c r="AT68" s="2054"/>
      <c r="AU68" s="2054"/>
      <c r="AV68" s="2031" t="s">
        <v>670</v>
      </c>
      <c r="AW68" s="2032"/>
      <c r="AX68" s="2032"/>
      <c r="AY68" s="2032"/>
      <c r="AZ68" s="2032"/>
      <c r="BA68" s="2032"/>
      <c r="BB68" s="2032"/>
      <c r="BC68" s="2033"/>
      <c r="BD68" s="1190"/>
      <c r="BE68" s="1194"/>
      <c r="BM68" s="1199" t="s">
        <v>2397</v>
      </c>
    </row>
    <row r="69" spans="1:94" ht="15.75" customHeight="1" thickTop="1" thickBot="1">
      <c r="A69" s="1190"/>
      <c r="B69" s="2034" t="s">
        <v>2396</v>
      </c>
      <c r="C69" s="2035"/>
      <c r="D69" s="2035"/>
      <c r="E69" s="2035"/>
      <c r="F69" s="2035"/>
      <c r="G69" s="2035"/>
      <c r="H69" s="2035"/>
      <c r="I69" s="2035"/>
      <c r="J69" s="2035"/>
      <c r="K69" s="2035"/>
      <c r="L69" s="2035"/>
      <c r="M69" s="2035"/>
      <c r="N69" s="2035"/>
      <c r="O69" s="2036" t="s">
        <v>2395</v>
      </c>
      <c r="P69" s="2037"/>
      <c r="Q69" s="2037"/>
      <c r="R69" s="2037"/>
      <c r="S69" s="2037"/>
      <c r="T69" s="2037"/>
      <c r="U69" s="2037"/>
      <c r="V69" s="2037"/>
      <c r="W69" s="2037"/>
      <c r="X69" s="2037"/>
      <c r="Y69" s="2037"/>
      <c r="Z69" s="2037"/>
      <c r="AA69" s="2038"/>
      <c r="AB69" s="1190"/>
      <c r="AC69" s="2039" t="s">
        <v>2394</v>
      </c>
      <c r="AD69" s="2040"/>
      <c r="AE69" s="2040"/>
      <c r="AF69" s="2040"/>
      <c r="AG69" s="2040"/>
      <c r="AH69" s="2040"/>
      <c r="AI69" s="2040"/>
      <c r="AJ69" s="2040"/>
      <c r="AK69" s="2040"/>
      <c r="AL69" s="2040"/>
      <c r="AM69" s="2040"/>
      <c r="AN69" s="2040"/>
      <c r="AO69" s="2040"/>
      <c r="AP69" s="2040"/>
      <c r="AQ69" s="2040"/>
      <c r="AR69" s="2040"/>
      <c r="AS69" s="2040"/>
      <c r="AT69" s="2040"/>
      <c r="AU69" s="2040"/>
      <c r="AV69" s="2031" t="s">
        <v>670</v>
      </c>
      <c r="AW69" s="2032"/>
      <c r="AX69" s="2032"/>
      <c r="AY69" s="2032"/>
      <c r="AZ69" s="2032"/>
      <c r="BA69" s="2032"/>
      <c r="BB69" s="2032"/>
      <c r="BC69" s="2033"/>
      <c r="BD69" s="1190"/>
      <c r="BE69" s="1194"/>
      <c r="BM69" s="1200" t="s">
        <v>546</v>
      </c>
    </row>
    <row r="70" spans="1:94" ht="15.75" customHeight="1">
      <c r="A70" s="1190"/>
      <c r="B70" s="1988" t="s">
        <v>2393</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2392</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670</v>
      </c>
    </row>
    <row r="71" spans="1:94" ht="15.75" customHeight="1" thickBot="1">
      <c r="A71" s="1190"/>
      <c r="B71" s="1988" t="s">
        <v>2391</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2390</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2389</v>
      </c>
    </row>
    <row r="72" spans="1:94" ht="15.75" customHeight="1">
      <c r="A72" s="1190"/>
      <c r="B72" s="1988" t="s">
        <v>2388</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2387</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2386</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2331</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2384</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2383</v>
      </c>
      <c r="C81" s="2064"/>
      <c r="D81" s="2064"/>
      <c r="E81" s="2064"/>
      <c r="F81" s="2064"/>
      <c r="G81" s="2064"/>
      <c r="H81" s="2064"/>
      <c r="I81" s="2064"/>
      <c r="J81" s="2064"/>
      <c r="K81" s="2064"/>
      <c r="L81" s="2064"/>
      <c r="M81" s="2064"/>
      <c r="N81" s="2064"/>
      <c r="O81" s="2064"/>
      <c r="P81" s="2064"/>
      <c r="Q81" s="2064"/>
      <c r="R81" s="2065" t="s">
        <v>2189</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2382</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2381</v>
      </c>
      <c r="AK83" s="2087"/>
      <c r="AL83" s="2087"/>
      <c r="AM83" s="2087"/>
      <c r="AN83" s="2087"/>
      <c r="AO83" s="2087"/>
      <c r="AP83" s="2087"/>
      <c r="AQ83" s="2087"/>
      <c r="AR83" s="2087"/>
      <c r="AS83" s="2087"/>
      <c r="AT83" s="2087"/>
      <c r="AU83" s="2087"/>
      <c r="AV83" s="2087"/>
      <c r="AW83" s="2087"/>
      <c r="AX83" s="2087"/>
      <c r="AY83" s="2090" t="s">
        <v>546</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2371</v>
      </c>
      <c r="J84" s="2008"/>
      <c r="K84" s="2008"/>
      <c r="L84" s="2008"/>
      <c r="M84" s="2008"/>
      <c r="N84" s="2008"/>
      <c r="O84" s="2008" t="s">
        <v>2347</v>
      </c>
      <c r="P84" s="2008"/>
      <c r="Q84" s="2008"/>
      <c r="R84" s="2008"/>
      <c r="S84" s="2008"/>
      <c r="T84" s="2008"/>
      <c r="U84" s="2008"/>
      <c r="V84" s="2094" t="s">
        <v>2346</v>
      </c>
      <c r="W84" s="2094"/>
      <c r="X84" s="2094"/>
      <c r="Y84" s="2094"/>
      <c r="Z84" s="2094"/>
      <c r="AA84" s="2094"/>
      <c r="AB84" s="2095" t="s">
        <v>2370</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2369</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2368</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2375</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2367</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2379</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2378</v>
      </c>
      <c r="C94" s="2064"/>
      <c r="D94" s="2064"/>
      <c r="E94" s="2064"/>
      <c r="F94" s="2064"/>
      <c r="G94" s="2064"/>
      <c r="H94" s="2064"/>
      <c r="I94" s="2064"/>
      <c r="J94" s="2064"/>
      <c r="K94" s="2064"/>
      <c r="L94" s="2064"/>
      <c r="M94" s="2064"/>
      <c r="N94" s="2064"/>
      <c r="O94" s="2064"/>
      <c r="P94" s="2064"/>
      <c r="Q94" s="2098"/>
      <c r="R94" s="2065" t="s">
        <v>2189</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2377</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2376</v>
      </c>
      <c r="AK96" s="2087"/>
      <c r="AL96" s="2087"/>
      <c r="AM96" s="2087"/>
      <c r="AN96" s="2087"/>
      <c r="AO96" s="2087"/>
      <c r="AP96" s="2087"/>
      <c r="AQ96" s="2087"/>
      <c r="AR96" s="2087"/>
      <c r="AS96" s="2087"/>
      <c r="AT96" s="2087"/>
      <c r="AU96" s="2087"/>
      <c r="AV96" s="2087"/>
      <c r="AW96" s="2087"/>
      <c r="AX96" s="2087"/>
      <c r="AY96" s="2090" t="s">
        <v>546</v>
      </c>
      <c r="AZ96" s="2090"/>
      <c r="BA96" s="2090"/>
      <c r="BB96" s="2091"/>
      <c r="BC96" s="1190"/>
      <c r="BD96" s="1190"/>
      <c r="BE96" s="1194"/>
      <c r="BQ96" s="1256" t="str">
        <f>Application!M243&amp;IF(TRIM(Application!AA249)&lt;&gt;""," ("&amp;Application!AA249&amp;")","")</f>
        <v>USA Rocklin WJU 719, Inc. (USA Properties Fund, Inc.)</v>
      </c>
      <c r="BR96" s="1259">
        <f>Application!AH246</f>
        <v>8.9999999999999993E-3</v>
      </c>
      <c r="CM96" s="1188"/>
      <c r="CN96" s="1188"/>
      <c r="CO96" s="1188"/>
      <c r="CP96" s="1188"/>
    </row>
    <row r="97" spans="1:94" ht="15.75" customHeight="1">
      <c r="A97" s="1190"/>
      <c r="B97" s="2007"/>
      <c r="C97" s="2008"/>
      <c r="D97" s="2008"/>
      <c r="E97" s="2008"/>
      <c r="F97" s="2008"/>
      <c r="G97" s="2008"/>
      <c r="H97" s="2008"/>
      <c r="I97" s="2008" t="s">
        <v>2371</v>
      </c>
      <c r="J97" s="2008"/>
      <c r="K97" s="2008"/>
      <c r="L97" s="2008"/>
      <c r="M97" s="2008"/>
      <c r="N97" s="2008"/>
      <c r="O97" s="2008" t="s">
        <v>2347</v>
      </c>
      <c r="P97" s="2008"/>
      <c r="Q97" s="2008"/>
      <c r="R97" s="2008"/>
      <c r="S97" s="2008"/>
      <c r="T97" s="2008"/>
      <c r="U97" s="2008"/>
      <c r="V97" s="2094" t="s">
        <v>2346</v>
      </c>
      <c r="W97" s="2094"/>
      <c r="X97" s="2094"/>
      <c r="Y97" s="2094"/>
      <c r="Z97" s="2094"/>
      <c r="AA97" s="2094"/>
      <c r="AB97" s="2095" t="s">
        <v>2370</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Riverside Charitable Corporation</v>
      </c>
      <c r="BR97" s="1259">
        <f>Application!AH254</f>
        <v>1E-3</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2369</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2368</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2375</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2367</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USA Multifamily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 xml:space="preserve">Not Applicable. </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2372</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2371</v>
      </c>
      <c r="J108" s="2008"/>
      <c r="K108" s="2008"/>
      <c r="L108" s="2008"/>
      <c r="M108" s="2008"/>
      <c r="N108" s="2008"/>
      <c r="O108" s="2008" t="s">
        <v>2347</v>
      </c>
      <c r="P108" s="2008"/>
      <c r="Q108" s="2008"/>
      <c r="R108" s="2008"/>
      <c r="S108" s="2008"/>
      <c r="T108" s="2008"/>
      <c r="U108" s="2008"/>
      <c r="V108" s="2094" t="s">
        <v>2346</v>
      </c>
      <c r="W108" s="2094"/>
      <c r="X108" s="2094"/>
      <c r="Y108" s="2094"/>
      <c r="Z108" s="2094"/>
      <c r="AA108" s="2094"/>
      <c r="AB108" s="2095" t="s">
        <v>2370</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2369</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2368</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2367</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2365</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2365</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2363</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1577</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2362</v>
      </c>
      <c r="J127" s="2008"/>
      <c r="K127" s="2008"/>
      <c r="L127" s="2008"/>
      <c r="M127" s="2008"/>
      <c r="N127" s="2008"/>
      <c r="O127" s="2105" t="s">
        <v>2361</v>
      </c>
      <c r="P127" s="2105"/>
      <c r="Q127" s="2105"/>
      <c r="R127" s="2105"/>
      <c r="S127" s="2105"/>
      <c r="T127" s="2105"/>
      <c r="U127" s="2106"/>
      <c r="V127" s="1190"/>
      <c r="W127" s="1190"/>
      <c r="X127" s="2073" t="s">
        <v>2331</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2345</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2344</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2359</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2347</v>
      </c>
      <c r="J134" s="2151"/>
      <c r="K134" s="2151"/>
      <c r="L134" s="2151"/>
      <c r="M134" s="2151"/>
      <c r="N134" s="2151"/>
      <c r="O134" s="2151"/>
      <c r="P134" s="2151" t="s">
        <v>2346</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2345</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2344</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2358</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546</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2357</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2356</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546</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2355</v>
      </c>
      <c r="C142" s="2138"/>
      <c r="D142" s="2138"/>
      <c r="E142" s="2138"/>
      <c r="F142" s="2138"/>
      <c r="G142" s="2138"/>
      <c r="H142" s="2138"/>
      <c r="I142" s="2138"/>
      <c r="J142" s="2138"/>
      <c r="K142" s="2138"/>
      <c r="L142" s="2138"/>
      <c r="M142" s="2138"/>
      <c r="N142" s="2138"/>
      <c r="O142" s="2138"/>
      <c r="P142" s="2138"/>
      <c r="Q142" s="2138"/>
      <c r="R142" s="2139" t="s">
        <v>2354</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2353</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2350</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2349</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2347</v>
      </c>
      <c r="J157" s="2151"/>
      <c r="K157" s="2151"/>
      <c r="L157" s="2151"/>
      <c r="M157" s="2151"/>
      <c r="N157" s="2151"/>
      <c r="O157" s="2151"/>
      <c r="P157" s="2151" t="s">
        <v>2348</v>
      </c>
      <c r="Q157" s="2151"/>
      <c r="R157" s="2151"/>
      <c r="S157" s="2151"/>
      <c r="T157" s="2151"/>
      <c r="U157" s="2152"/>
      <c r="V157" s="1190"/>
      <c r="W157" s="1190"/>
      <c r="X157" s="2149"/>
      <c r="Y157" s="2150"/>
      <c r="Z157" s="2150"/>
      <c r="AA157" s="2150"/>
      <c r="AB157" s="2150"/>
      <c r="AC157" s="2150"/>
      <c r="AD157" s="2150"/>
      <c r="AE157" s="2151" t="s">
        <v>2347</v>
      </c>
      <c r="AF157" s="2151"/>
      <c r="AG157" s="2151"/>
      <c r="AH157" s="2151"/>
      <c r="AI157" s="2151"/>
      <c r="AJ157" s="2151"/>
      <c r="AK157" s="2151"/>
      <c r="AL157" s="2151" t="s">
        <v>2346</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2345</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2345</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2344</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2343</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2328</v>
      </c>
      <c r="D163" s="2150"/>
      <c r="E163" s="2150"/>
      <c r="F163" s="2150"/>
      <c r="G163" s="2150"/>
      <c r="H163" s="2150"/>
      <c r="I163" s="2150"/>
      <c r="J163" s="2150"/>
      <c r="K163" s="2150"/>
      <c r="L163" s="2150"/>
      <c r="M163" s="2150"/>
      <c r="N163" s="2150"/>
      <c r="O163" s="2150"/>
      <c r="P163" s="2150"/>
      <c r="Q163" s="2150" t="s">
        <v>2342</v>
      </c>
      <c r="R163" s="2150"/>
      <c r="S163" s="2150"/>
      <c r="T163" s="2095" t="s">
        <v>2341</v>
      </c>
      <c r="U163" s="2095"/>
      <c r="V163" s="2095"/>
      <c r="W163" s="2095"/>
      <c r="X163" s="2095"/>
      <c r="Y163" s="2095"/>
      <c r="Z163" s="2095"/>
      <c r="AA163" s="2095"/>
      <c r="AB163" s="2150" t="s">
        <v>2340</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2339</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2338</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2337</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2336</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2317</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2317</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2317</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2335</v>
      </c>
      <c r="D172" s="2054"/>
      <c r="E172" s="2054"/>
      <c r="F172" s="2054"/>
      <c r="G172" s="2054"/>
      <c r="H172" s="2054"/>
      <c r="I172" s="2054"/>
      <c r="J172" s="2054"/>
      <c r="K172" s="2054"/>
      <c r="L172" s="2054"/>
      <c r="M172" s="2054"/>
      <c r="N172" s="2104"/>
      <c r="O172" s="1190"/>
      <c r="P172" s="2169" t="s">
        <v>2334</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2333</v>
      </c>
      <c r="D173" s="2150"/>
      <c r="E173" s="2150"/>
      <c r="F173" s="2150"/>
      <c r="G173" s="2150"/>
      <c r="H173" s="2150"/>
      <c r="I173" s="2150" t="s">
        <v>2332</v>
      </c>
      <c r="J173" s="2150"/>
      <c r="K173" s="2150"/>
      <c r="L173" s="2150"/>
      <c r="M173" s="2150"/>
      <c r="N173" s="2158"/>
      <c r="O173" s="1190"/>
      <c r="P173" s="2073" t="s">
        <v>2331</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2330</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2328</v>
      </c>
      <c r="D184" s="2054"/>
      <c r="E184" s="2054"/>
      <c r="F184" s="2054"/>
      <c r="G184" s="2054"/>
      <c r="H184" s="2054"/>
      <c r="I184" s="2054"/>
      <c r="J184" s="2054"/>
      <c r="K184" s="2054"/>
      <c r="L184" s="2054"/>
      <c r="M184" s="2054"/>
      <c r="N184" s="2054" t="s">
        <v>2329</v>
      </c>
      <c r="O184" s="2054"/>
      <c r="P184" s="2054"/>
      <c r="Q184" s="2054"/>
      <c r="R184" s="2054"/>
      <c r="S184" s="2054"/>
      <c r="T184" s="2054"/>
      <c r="U184" s="2005" t="s">
        <v>2328</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2327</v>
      </c>
      <c r="D185" s="2178"/>
      <c r="E185" s="2178"/>
      <c r="F185" s="2178"/>
      <c r="G185" s="2178"/>
      <c r="H185" s="2178"/>
      <c r="I185" s="2178"/>
      <c r="J185" s="2178"/>
      <c r="K185" s="2178"/>
      <c r="L185" s="2178"/>
      <c r="M185" s="2178"/>
      <c r="N185" s="2179">
        <f>'Sources and Uses Budget'!B105</f>
        <v>153912164</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2326</v>
      </c>
      <c r="D186" s="2178"/>
      <c r="E186" s="2178"/>
      <c r="F186" s="2178"/>
      <c r="G186" s="2178"/>
      <c r="H186" s="2178"/>
      <c r="I186" s="2178"/>
      <c r="J186" s="2178"/>
      <c r="K186" s="2178"/>
      <c r="L186" s="2178"/>
      <c r="M186" s="2178"/>
      <c r="N186" s="2179">
        <f>N185/J29</f>
        <v>475037.54320987652</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2325</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2324</v>
      </c>
      <c r="D188" s="2178"/>
      <c r="E188" s="2178"/>
      <c r="F188" s="2178"/>
      <c r="G188" s="2178"/>
      <c r="H188" s="2178"/>
      <c r="I188" s="2178"/>
      <c r="J188" s="2178"/>
      <c r="K188" s="2178"/>
      <c r="L188" s="2178"/>
      <c r="M188" s="2178"/>
      <c r="N188" s="2195">
        <f>SUM('Sources and Uses Budget'!B85:B86)</f>
        <v>13066411</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2323</v>
      </c>
      <c r="D189" s="2178"/>
      <c r="E189" s="2178"/>
      <c r="F189" s="2178"/>
      <c r="G189" s="2178"/>
      <c r="H189" s="2178"/>
      <c r="I189" s="2178"/>
      <c r="J189" s="2178"/>
      <c r="K189" s="2178"/>
      <c r="L189" s="2178"/>
      <c r="M189" s="2178"/>
      <c r="N189" s="2195">
        <f>'Sources and Uses Budget'!B8</f>
        <v>1</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2321</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2322</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2321</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2320</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2319</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2317</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2318</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2317</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2317</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2316</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2315</v>
      </c>
      <c r="D195" s="2217"/>
      <c r="E195" s="2217"/>
      <c r="F195" s="2217"/>
      <c r="G195" s="2217"/>
      <c r="H195" s="2217"/>
      <c r="I195" s="2217"/>
      <c r="J195" s="2217"/>
      <c r="K195" s="2217"/>
      <c r="L195" s="2217"/>
      <c r="M195" s="2217"/>
      <c r="N195" s="2218">
        <f>SUM(N187:T194)</f>
        <v>13066412</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2314</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2313</v>
      </c>
      <c r="D196" s="2227"/>
      <c r="E196" s="2227"/>
      <c r="F196" s="2227"/>
      <c r="G196" s="2227"/>
      <c r="H196" s="2227"/>
      <c r="I196" s="2227"/>
      <c r="J196" s="2227"/>
      <c r="K196" s="2227"/>
      <c r="L196" s="2227"/>
      <c r="M196" s="2227"/>
      <c r="N196" s="2228">
        <f>(N185-N195)/J29</f>
        <v>434709.11111111112</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2312</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2311</v>
      </c>
      <c r="D200" s="2253"/>
      <c r="E200" s="2253"/>
      <c r="F200" s="2253"/>
      <c r="G200" s="2253"/>
      <c r="H200" s="2253"/>
      <c r="I200" s="2253"/>
      <c r="J200" s="2253"/>
      <c r="K200" s="2253"/>
      <c r="L200" s="2253"/>
      <c r="M200" s="2253"/>
      <c r="N200" s="2253"/>
      <c r="O200" s="2254" t="s">
        <v>2310</v>
      </c>
      <c r="P200" s="2254"/>
      <c r="Q200" s="2254"/>
      <c r="R200" s="2254"/>
      <c r="S200" s="2254"/>
      <c r="T200" s="2254"/>
      <c r="U200" s="2254"/>
      <c r="V200" s="2254"/>
      <c r="W200" s="2254"/>
      <c r="X200" s="2254" t="s">
        <v>2309</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2308</v>
      </c>
      <c r="D201" s="2245"/>
      <c r="E201" s="2245"/>
      <c r="F201" s="2245"/>
      <c r="G201" s="2245"/>
      <c r="H201" s="2245"/>
      <c r="I201" s="2245"/>
      <c r="J201" s="2245"/>
      <c r="K201" s="2245"/>
      <c r="L201" s="2245"/>
      <c r="M201" s="2245"/>
      <c r="N201" s="2245"/>
      <c r="O201" s="2246" t="s">
        <v>2307</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855</v>
      </c>
      <c r="D202" s="2245"/>
      <c r="E202" s="2245"/>
      <c r="F202" s="2245"/>
      <c r="G202" s="2245"/>
      <c r="H202" s="2245"/>
      <c r="I202" s="2245"/>
      <c r="J202" s="2245"/>
      <c r="K202" s="2245"/>
      <c r="L202" s="2245"/>
      <c r="M202" s="2245"/>
      <c r="N202" s="2245"/>
      <c r="O202" s="2246" t="s">
        <v>2307</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2306</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2305</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2304</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2303</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2302</v>
      </c>
      <c r="D207" s="2260"/>
      <c r="E207" s="2260"/>
      <c r="F207" s="2261"/>
      <c r="G207" s="2265" t="s">
        <v>2301</v>
      </c>
      <c r="H207" s="2260"/>
      <c r="I207" s="2260"/>
      <c r="J207" s="2260"/>
      <c r="K207" s="2260"/>
      <c r="L207" s="2260"/>
      <c r="M207" s="2260"/>
      <c r="N207" s="2260"/>
      <c r="O207" s="2261"/>
      <c r="P207" s="2267" t="s">
        <v>2300</v>
      </c>
      <c r="Q207" s="2268"/>
      <c r="R207" s="2268"/>
      <c r="S207" s="2268"/>
      <c r="T207" s="2269"/>
      <c r="U207" s="2273" t="s">
        <v>2299</v>
      </c>
      <c r="V207" s="2274"/>
      <c r="W207" s="2274"/>
      <c r="X207" s="2275"/>
      <c r="Y207" s="2273" t="s">
        <v>2298</v>
      </c>
      <c r="Z207" s="2274"/>
      <c r="AA207" s="2274"/>
      <c r="AB207" s="2275"/>
      <c r="AC207" s="2273" t="s">
        <v>2297</v>
      </c>
      <c r="AD207" s="2274"/>
      <c r="AE207" s="2274"/>
      <c r="AF207" s="2275"/>
      <c r="AG207" s="2265" t="s">
        <v>2296</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1885</v>
      </c>
      <c r="H209" s="2286"/>
      <c r="I209" s="2286"/>
      <c r="J209" s="2286"/>
      <c r="K209" s="2286"/>
      <c r="L209" s="2286"/>
      <c r="M209" s="2286"/>
      <c r="N209" s="2286"/>
      <c r="O209" s="2286"/>
      <c r="P209" s="2287"/>
      <c r="Q209" s="2290"/>
      <c r="R209" s="2290"/>
      <c r="S209" s="2290"/>
      <c r="T209" s="2290"/>
      <c r="U209" s="2288" t="s">
        <v>1885</v>
      </c>
      <c r="V209" s="2288"/>
      <c r="W209" s="2288"/>
      <c r="X209" s="2288"/>
      <c r="Y209" s="2288" t="s">
        <v>1885</v>
      </c>
      <c r="Z209" s="2288"/>
      <c r="AA209" s="2288"/>
      <c r="AB209" s="2288"/>
      <c r="AC209" s="2289" t="s">
        <v>1885</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1885</v>
      </c>
      <c r="H210" s="2286"/>
      <c r="I210" s="2286"/>
      <c r="J210" s="2286"/>
      <c r="K210" s="2286"/>
      <c r="L210" s="2286"/>
      <c r="M210" s="2286"/>
      <c r="N210" s="2286"/>
      <c r="O210" s="2286"/>
      <c r="P210" s="2287"/>
      <c r="Q210" s="2287"/>
      <c r="R210" s="2287"/>
      <c r="S210" s="2287"/>
      <c r="T210" s="2287"/>
      <c r="U210" s="2288" t="s">
        <v>1885</v>
      </c>
      <c r="V210" s="2288"/>
      <c r="W210" s="2288"/>
      <c r="X210" s="2288"/>
      <c r="Y210" s="2288" t="s">
        <v>1885</v>
      </c>
      <c r="Z210" s="2288"/>
      <c r="AA210" s="2288"/>
      <c r="AB210" s="2288"/>
      <c r="AC210" s="2289" t="s">
        <v>1885</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1885</v>
      </c>
      <c r="H211" s="2286"/>
      <c r="I211" s="2286"/>
      <c r="J211" s="2286"/>
      <c r="K211" s="2286"/>
      <c r="L211" s="2286"/>
      <c r="M211" s="2286"/>
      <c r="N211" s="2286"/>
      <c r="O211" s="2286"/>
      <c r="P211" s="2287"/>
      <c r="Q211" s="2287"/>
      <c r="R211" s="2287"/>
      <c r="S211" s="2287"/>
      <c r="T211" s="2287"/>
      <c r="U211" s="2288" t="s">
        <v>1885</v>
      </c>
      <c r="V211" s="2288"/>
      <c r="W211" s="2288"/>
      <c r="X211" s="2288"/>
      <c r="Y211" s="2288" t="s">
        <v>1885</v>
      </c>
      <c r="Z211" s="2288"/>
      <c r="AA211" s="2288"/>
      <c r="AB211" s="2288"/>
      <c r="AC211" s="2289" t="s">
        <v>1885</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1885</v>
      </c>
      <c r="H212" s="2286"/>
      <c r="I212" s="2286"/>
      <c r="J212" s="2286"/>
      <c r="K212" s="2286"/>
      <c r="L212" s="2286"/>
      <c r="M212" s="2286"/>
      <c r="N212" s="2286"/>
      <c r="O212" s="2286"/>
      <c r="P212" s="2287"/>
      <c r="Q212" s="2287"/>
      <c r="R212" s="2287"/>
      <c r="S212" s="2287"/>
      <c r="T212" s="2287"/>
      <c r="U212" s="2288" t="s">
        <v>1885</v>
      </c>
      <c r="V212" s="2288"/>
      <c r="W212" s="2288"/>
      <c r="X212" s="2288"/>
      <c r="Y212" s="2288" t="s">
        <v>1885</v>
      </c>
      <c r="Z212" s="2288"/>
      <c r="AA212" s="2288"/>
      <c r="AB212" s="2288"/>
      <c r="AC212" s="2289" t="s">
        <v>1885</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1885</v>
      </c>
      <c r="H213" s="2286"/>
      <c r="I213" s="2286"/>
      <c r="J213" s="2286"/>
      <c r="K213" s="2286"/>
      <c r="L213" s="2286"/>
      <c r="M213" s="2286"/>
      <c r="N213" s="2286"/>
      <c r="O213" s="2286"/>
      <c r="P213" s="2287"/>
      <c r="Q213" s="2287"/>
      <c r="R213" s="2287"/>
      <c r="S213" s="2287"/>
      <c r="T213" s="2287"/>
      <c r="U213" s="2288" t="s">
        <v>1885</v>
      </c>
      <c r="V213" s="2288"/>
      <c r="W213" s="2288"/>
      <c r="X213" s="2288"/>
      <c r="Y213" s="2288" t="s">
        <v>1885</v>
      </c>
      <c r="Z213" s="2288"/>
      <c r="AA213" s="2288"/>
      <c r="AB213" s="2288"/>
      <c r="AC213" s="2289" t="s">
        <v>1885</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1885</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1885</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1885</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2295</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2293</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2292</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2291</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2290</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2288</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2287</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2286</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2285</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2284</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442</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2283</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2282</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1281</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142877957</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498</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499</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500</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501</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806</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502</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50"/>
      <c r="C18" s="1808" t="s">
        <v>961</v>
      </c>
      <c r="D18" s="1808"/>
      <c r="E18" s="1808"/>
      <c r="F18" s="1808"/>
      <c r="G18" s="1808"/>
      <c r="H18" s="1808"/>
      <c r="I18" s="1808"/>
      <c r="J18" s="1808"/>
      <c r="K18" s="1808"/>
      <c r="L18" s="1808"/>
      <c r="M18" s="1808"/>
      <c r="N18" s="1808"/>
      <c r="O18" s="1808"/>
      <c r="P18" s="1808"/>
      <c r="Q18" s="1808"/>
      <c r="R18" s="1808"/>
      <c r="S18" s="1809"/>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50"/>
      <c r="C19" s="1808" t="s">
        <v>961</v>
      </c>
      <c r="D19" s="1808"/>
      <c r="E19" s="1808"/>
      <c r="F19" s="1808"/>
      <c r="G19" s="1808"/>
      <c r="H19" s="1808"/>
      <c r="I19" s="1808"/>
      <c r="J19" s="1808"/>
      <c r="K19" s="1808"/>
      <c r="L19" s="1808"/>
      <c r="M19" s="1808"/>
      <c r="N19" s="1808"/>
      <c r="O19" s="1808"/>
      <c r="P19" s="1808"/>
      <c r="Q19" s="1808"/>
      <c r="R19" s="1808"/>
      <c r="S19" s="1809"/>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1264</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30">
        <f>T11+T22</f>
        <v>142877957</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962</v>
      </c>
      <c r="C24" s="2338"/>
      <c r="D24" s="2338"/>
      <c r="E24" s="2338"/>
      <c r="F24" s="2338"/>
      <c r="G24" s="2338"/>
      <c r="H24" s="2338"/>
      <c r="I24" s="2338"/>
      <c r="J24" s="2338"/>
      <c r="K24" s="2338"/>
      <c r="L24" s="2338"/>
      <c r="M24" s="2338"/>
      <c r="N24" s="2338"/>
      <c r="O24" s="2338"/>
      <c r="P24" s="2338"/>
      <c r="Q24" s="2338"/>
      <c r="R24" s="2338"/>
      <c r="S24" s="2339"/>
      <c r="T24" s="2332">
        <f>Application!AJ1053</f>
        <v>210910910.90000001</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1265</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30">
        <f>T23*T25</f>
        <v>185741344.09999999</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2.9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30">
        <f>IF(ISERROR((T26*T27)),0,(T26*T27))</f>
        <v>185741344.09999999</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32">
        <f>T28+Y28+AD28+AI28</f>
        <v>185741344.09999999</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1267</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1266</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1155</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185741344.09999999</v>
      </c>
      <c r="Z38" s="2331"/>
      <c r="AA38" s="2331"/>
      <c r="AB38" s="2331"/>
      <c r="AC38" s="2331"/>
      <c r="AD38" s="2331">
        <f>IF(T24&gt;=(T23+Y23+AD23+AI23),AD28+AI28,0)</f>
        <v>0</v>
      </c>
      <c r="AE38" s="2331"/>
      <c r="AF38" s="2331"/>
      <c r="AG38" s="2331"/>
      <c r="AH38" s="2331"/>
    </row>
    <row r="39" spans="1:76" ht="12.95"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7429654</v>
      </c>
      <c r="Z40" s="2331"/>
      <c r="AA40" s="2331"/>
      <c r="AB40" s="2331"/>
      <c r="AC40" s="2331"/>
      <c r="AD40" s="2330">
        <f>ROUND(AD38*AD39,0)</f>
        <v>0</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7429654</v>
      </c>
      <c r="Z41" s="2333"/>
      <c r="AA41" s="2333"/>
      <c r="AB41" s="2333"/>
      <c r="AC41" s="2333"/>
      <c r="AD41" s="2333"/>
      <c r="AE41" s="2333"/>
      <c r="AF41" s="2333"/>
      <c r="AG41" s="2333"/>
      <c r="AH41" s="233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1277</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153912164</v>
      </c>
      <c r="AC47" s="2348"/>
      <c r="AD47" s="2348"/>
      <c r="AE47" s="2348"/>
      <c r="AF47" s="2349"/>
    </row>
    <row r="48" spans="1:76" ht="12.95" customHeight="1">
      <c r="D48" s="404" t="s">
        <v>21</v>
      </c>
      <c r="AB48" s="2347">
        <f>Application!AO639-MAX(IF('Sources and Uses Budget'!B15="",0,'Sources and Uses Budget'!B15),IF(Application!AG394="",0,Application!AG394))</f>
        <v>88531209</v>
      </c>
      <c r="AC48" s="2348"/>
      <c r="AD48" s="2348"/>
      <c r="AE48" s="2348"/>
      <c r="AF48" s="2349"/>
    </row>
    <row r="49" spans="1:76" ht="12.95" customHeight="1">
      <c r="D49" s="404" t="s">
        <v>91</v>
      </c>
      <c r="AB49" s="2347">
        <f>AB47-AB48</f>
        <v>65380955</v>
      </c>
      <c r="AC49" s="2348"/>
      <c r="AD49" s="2348"/>
      <c r="AE49" s="2348"/>
      <c r="AF49" s="2349"/>
    </row>
    <row r="50" spans="1:76" ht="12.95" customHeight="1">
      <c r="D50" s="404" t="s">
        <v>682</v>
      </c>
      <c r="AA50" s="415"/>
      <c r="AB50" s="2374">
        <v>0.88</v>
      </c>
      <c r="AC50" s="2375"/>
      <c r="AD50" s="2375"/>
      <c r="AE50" s="2375"/>
      <c r="AF50" s="2376"/>
    </row>
    <row r="51" spans="1:76" s="417" customFormat="1" ht="12.95" customHeight="1">
      <c r="A51" s="402"/>
      <c r="B51" s="402"/>
      <c r="C51" s="402"/>
      <c r="D51" s="402"/>
      <c r="E51" s="2377" t="s">
        <v>2612</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74296540</v>
      </c>
      <c r="AC54" s="2348"/>
      <c r="AD54" s="2348"/>
      <c r="AE54" s="2348"/>
      <c r="AF54" s="2349"/>
    </row>
    <row r="55" spans="1:76" ht="12.95" customHeight="1">
      <c r="D55" s="404" t="s">
        <v>333</v>
      </c>
      <c r="AB55" s="2347">
        <f>(AB54/10)</f>
        <v>7429654</v>
      </c>
      <c r="AC55" s="2348"/>
      <c r="AD55" s="2348"/>
      <c r="AE55" s="2348"/>
      <c r="AF55" s="2349"/>
    </row>
    <row r="56" spans="1:76" ht="12.95" customHeight="1">
      <c r="D56" s="404" t="s">
        <v>757</v>
      </c>
      <c r="AB56" s="2347">
        <f>ROUND((IF((Y41&lt;AB55),Y41,AB55)),0)</f>
        <v>7429654</v>
      </c>
      <c r="AC56" s="2348"/>
      <c r="AD56" s="2348"/>
      <c r="AE56" s="2348"/>
      <c r="AF56" s="2349"/>
    </row>
    <row r="57" spans="1:76" ht="12.95" customHeight="1">
      <c r="D57" s="404" t="s">
        <v>756</v>
      </c>
      <c r="AB57" s="2347">
        <f>ROUND((10*AB56*AB50),0)</f>
        <v>65380955</v>
      </c>
      <c r="AC57" s="2348"/>
      <c r="AD57" s="2348"/>
      <c r="AE57" s="2348"/>
      <c r="AF57" s="2349"/>
    </row>
    <row r="58" spans="1:76" ht="12.95" customHeight="1">
      <c r="D58" s="404"/>
      <c r="AB58" s="423"/>
      <c r="AC58" s="423"/>
      <c r="AD58" s="423"/>
      <c r="AE58" s="423"/>
      <c r="AF58" s="423"/>
    </row>
    <row r="59" spans="1:76" ht="12.95" customHeight="1">
      <c r="D59" s="404" t="s">
        <v>755</v>
      </c>
      <c r="AB59" s="2370">
        <f>AB49-AB57</f>
        <v>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590</v>
      </c>
      <c r="C63" s="205" t="s">
        <v>1249</v>
      </c>
      <c r="Y63" s="2371" t="s">
        <v>985</v>
      </c>
      <c r="Z63" s="2371"/>
      <c r="AA63" s="2371"/>
      <c r="AB63" s="2371"/>
      <c r="AC63" s="2371"/>
      <c r="AD63" s="2371" t="s">
        <v>369</v>
      </c>
      <c r="AE63" s="2371"/>
      <c r="AF63" s="2371"/>
      <c r="AG63" s="2371"/>
      <c r="AH63" s="2371"/>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0</v>
      </c>
      <c r="Z64" s="2372"/>
      <c r="AA64" s="2372"/>
      <c r="AB64" s="2372"/>
      <c r="AC64" s="2373"/>
      <c r="AD64" s="2332">
        <f>IF(AND(OR(Application!D211="At-Risk",Application!D211="At-Risk and Special Needs"),Application!M358="yes"),AD28+AI28,0)</f>
        <v>0</v>
      </c>
      <c r="AE64" s="2372"/>
      <c r="AF64" s="2372"/>
      <c r="AG64" s="2372"/>
      <c r="AH64" s="2373"/>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v>
      </c>
      <c r="Z67" s="2385"/>
      <c r="AA67" s="2385"/>
      <c r="AB67" s="2385"/>
      <c r="AC67" s="2385"/>
      <c r="AD67" s="2385">
        <f>IF(Application!Z205="15% set-aside with qualifying low value rehab", 0.95,IF(OR(Application!D211="At-Risk",'Points System'!B13="Yes"),0.13,0))</f>
        <v>0</v>
      </c>
      <c r="AE67" s="2385"/>
      <c r="AF67" s="2385"/>
      <c r="AG67" s="2385"/>
      <c r="AH67" s="2385"/>
    </row>
    <row r="68" spans="1:36" ht="12.95" customHeight="1">
      <c r="C68" s="404"/>
      <c r="D68" s="205" t="s">
        <v>2225</v>
      </c>
      <c r="Y68" s="2331">
        <f>ROUND(Y64*Y67,0)</f>
        <v>0</v>
      </c>
      <c r="Z68" s="2386"/>
      <c r="AA68" s="2386"/>
      <c r="AB68" s="2386"/>
      <c r="AC68" s="2386"/>
      <c r="AD68" s="2331">
        <f>ROUND(AD64*AD67,0)</f>
        <v>0</v>
      </c>
      <c r="AE68" s="2386"/>
      <c r="AF68" s="2386"/>
      <c r="AG68" s="2386"/>
      <c r="AH68" s="2386"/>
    </row>
    <row r="69" spans="1:36" ht="12.95" customHeight="1">
      <c r="C69" s="404"/>
      <c r="D69" s="205" t="s">
        <v>2226</v>
      </c>
      <c r="Y69" s="2331">
        <f>IF(OR(Application!Z205="State Farmworker Credit",Application!Z205="$500M (Farmworker Housing)"),Y68+AD68,MIN(Y68+AD68,200000*(Application!G753+Application!O777)))</f>
        <v>0</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4"/>
      <c r="AC72" s="2375"/>
      <c r="AD72" s="2375"/>
      <c r="AE72" s="2375"/>
      <c r="AF72" s="2376"/>
    </row>
    <row r="73" spans="1:36" ht="12.95" customHeight="1">
      <c r="A73" s="404"/>
      <c r="C73" s="404"/>
      <c r="D73" s="404"/>
      <c r="E73" s="2387" t="s">
        <v>1252</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0">
        <f>ROUND(IF(ISERROR((AB59/AB72)),0,(AB59/AB72)),0)</f>
        <v>0</v>
      </c>
      <c r="AC77" s="2380"/>
      <c r="AD77" s="2380"/>
      <c r="AE77" s="2380"/>
      <c r="AF77" s="2380"/>
    </row>
    <row r="78" spans="1:36" ht="12.95" customHeight="1">
      <c r="C78" s="404"/>
      <c r="D78" s="205" t="s">
        <v>1254</v>
      </c>
      <c r="AB78" s="2381">
        <f>ROUNDUP(MIN(Y69,AB77),0)</f>
        <v>0</v>
      </c>
      <c r="AC78" s="2382"/>
      <c r="AD78" s="2382"/>
      <c r="AE78" s="2382"/>
      <c r="AF78" s="2383"/>
    </row>
    <row r="79" spans="1:36" ht="12.95" customHeight="1">
      <c r="C79" s="404"/>
      <c r="D79" s="205" t="s">
        <v>1255</v>
      </c>
      <c r="AB79" s="2384">
        <f>AB78*AB72</f>
        <v>0</v>
      </c>
      <c r="AC79" s="2384"/>
      <c r="AD79" s="2384"/>
      <c r="AE79" s="2384"/>
      <c r="AF79" s="2384"/>
    </row>
    <row r="80" spans="1:36" ht="12.95" customHeight="1">
      <c r="C80" s="404"/>
      <c r="D80" s="404"/>
      <c r="AB80" s="425"/>
      <c r="AC80" s="425"/>
      <c r="AD80" s="425"/>
      <c r="AE80" s="425"/>
      <c r="AF80" s="425"/>
    </row>
    <row r="81" spans="1:78" ht="12.95" customHeight="1">
      <c r="D81" s="404" t="s">
        <v>755</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customHeight="1">
      <c r="A86" s="404"/>
      <c r="C86" s="205"/>
    </row>
    <row r="87" spans="1:78" ht="12.95" customHeight="1">
      <c r="D87" s="205"/>
      <c r="AB87" s="2336"/>
      <c r="AC87" s="2336"/>
      <c r="AD87" s="2336"/>
      <c r="AE87" s="2336"/>
      <c r="AF87" s="2336"/>
    </row>
    <row r="88" spans="1:78" ht="12.95"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6" workbookViewId="0">
      <selection activeCell="T128" sqref="T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8" t="s">
        <v>1301</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1306</v>
      </c>
      <c r="AF7" s="2459"/>
      <c r="AG7" s="2459"/>
      <c r="AH7" s="2459"/>
      <c r="AI7" s="2459"/>
      <c r="AJ7" s="2459"/>
      <c r="AK7" s="2459"/>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592</v>
      </c>
      <c r="C13" s="261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592</v>
      </c>
      <c r="C16" s="2612"/>
      <c r="D16" s="547"/>
      <c r="E16" s="2604" t="s">
        <v>1308</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592</v>
      </c>
      <c r="C22" s="2612"/>
      <c r="D22" s="547"/>
      <c r="E22" s="2622" t="s">
        <v>1311</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592</v>
      </c>
      <c r="C25" s="2612"/>
      <c r="D25" s="547"/>
      <c r="E25" s="2539" t="s">
        <v>2034</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592</v>
      </c>
      <c r="C28" s="2612"/>
      <c r="D28" s="547"/>
      <c r="E28" s="2641" t="s">
        <v>2249</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2" t="s">
        <v>592</v>
      </c>
      <c r="C33" s="2612"/>
      <c r="D33" s="547"/>
      <c r="E33" s="2622" t="s">
        <v>2251</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592</v>
      </c>
      <c r="C36" s="2612"/>
      <c r="D36" s="547"/>
      <c r="E36" s="2539" t="s">
        <v>2252</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592</v>
      </c>
      <c r="C40" s="2612"/>
      <c r="D40" s="547"/>
      <c r="E40" s="2539" t="s">
        <v>2250</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592</v>
      </c>
      <c r="C45" s="2612"/>
      <c r="D45" s="1142"/>
      <c r="E45" s="2539" t="s">
        <v>2009</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592</v>
      </c>
      <c r="C52" s="2612"/>
      <c r="D52" s="540"/>
      <c r="E52" s="2539" t="s">
        <v>2014</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592</v>
      </c>
      <c r="C56" s="2612"/>
      <c r="D56" s="540"/>
      <c r="E56" s="2638" t="s">
        <v>2015</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592</v>
      </c>
      <c r="C58" s="2612"/>
      <c r="D58" s="540"/>
      <c r="E58" s="2539" t="s">
        <v>2016</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1315</v>
      </c>
      <c r="AF65" s="2459"/>
      <c r="AG65" s="2459"/>
      <c r="AH65" s="2459"/>
      <c r="AI65" s="2459"/>
      <c r="AJ65" s="2459"/>
      <c r="AK65" s="2459"/>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546</v>
      </c>
      <c r="C68" s="2612"/>
      <c r="D68" s="547" t="s">
        <v>1316</v>
      </c>
      <c r="E68" s="2604" t="s">
        <v>2017</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10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1317</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592</v>
      </c>
      <c r="C74" s="261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592</v>
      </c>
      <c r="F75" s="261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592</v>
      </c>
      <c r="F76" s="263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592</v>
      </c>
      <c r="F77" s="263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592</v>
      </c>
      <c r="F79" s="261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592</v>
      </c>
      <c r="C81" s="2612"/>
      <c r="D81" s="547" t="s">
        <v>1321</v>
      </c>
      <c r="E81" s="2539" t="s">
        <v>1741</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1306</v>
      </c>
      <c r="AF87" s="2459"/>
      <c r="AG87" s="2459"/>
      <c r="AH87" s="2459"/>
      <c r="AI87" s="2459"/>
      <c r="AJ87" s="2459"/>
      <c r="AK87" s="2459"/>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592</v>
      </c>
      <c r="C90" s="2612"/>
      <c r="D90" s="547" t="s">
        <v>1316</v>
      </c>
      <c r="E90" s="2604" t="s">
        <v>1326</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0.60000000000000009</v>
      </c>
      <c r="F93" s="2601"/>
      <c r="G93" s="2601"/>
      <c r="H93" s="2601"/>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0</v>
      </c>
      <c r="F94" s="2406"/>
      <c r="G94" s="2406"/>
      <c r="H94" s="2406"/>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0</v>
      </c>
      <c r="F95" s="2617"/>
      <c r="G95" s="2617"/>
      <c r="H95" s="2617"/>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546</v>
      </c>
      <c r="C98" s="2612"/>
      <c r="D98" s="547" t="s">
        <v>1318</v>
      </c>
      <c r="E98" s="2604" t="s">
        <v>1726</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0.60000000000000009</v>
      </c>
      <c r="F103" s="2601"/>
      <c r="G103" s="2601"/>
      <c r="H103" s="2601"/>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0.1059190031152648</v>
      </c>
      <c r="F104" s="2601"/>
      <c r="G104" s="2601"/>
      <c r="H104" s="2601"/>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0.17757009345794392</v>
      </c>
      <c r="F105" s="2601"/>
      <c r="G105" s="2601"/>
      <c r="H105" s="2601"/>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1315</v>
      </c>
      <c r="AF112" s="2459"/>
      <c r="AG112" s="2459"/>
      <c r="AH112" s="2459"/>
      <c r="AI112" s="2459"/>
      <c r="AJ112" s="2459"/>
      <c r="AK112" s="2459"/>
      <c r="AL112" s="540"/>
      <c r="AM112" s="540"/>
      <c r="AN112" s="535"/>
      <c r="AO112" s="536" t="str">
        <f>Application!B718</f>
        <v>1 Bedroom</v>
      </c>
      <c r="AQ112" s="536">
        <f>Application!O718</f>
        <v>711</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711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1194</v>
      </c>
    </row>
    <row r="115" spans="1:52" s="536" customFormat="1" ht="12.75" customHeight="1">
      <c r="A115" s="540"/>
      <c r="B115" s="2612" t="s">
        <v>592</v>
      </c>
      <c r="C115" s="2612"/>
      <c r="D115" s="547" t="s">
        <v>1316</v>
      </c>
      <c r="E115" s="2604" t="s">
        <v>1858</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1435</v>
      </c>
      <c r="AU115" s="536" t="s">
        <v>1841</v>
      </c>
      <c r="AV115" s="595" t="s">
        <v>1842</v>
      </c>
      <c r="AW115" s="536" t="s">
        <v>1843</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1 Bedroom</v>
      </c>
      <c r="AQ116" s="536">
        <f>Application!O722</f>
        <v>1676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856</v>
      </c>
      <c r="AU117" s="856" t="str">
        <f>J124</f>
        <v>1-bedroom</v>
      </c>
      <c r="AV117" s="536">
        <f t="array" ref="AV117">SUM(IF(Application!B718:F752="1 Bedroom",Application!G718:J752))</f>
        <v>77</v>
      </c>
      <c r="AW117" s="1011">
        <f>AV117/AV122</f>
        <v>0.23987538940809969</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2 Bedrooms</v>
      </c>
      <c r="AQ118" s="536">
        <f>Application!O724</f>
        <v>856</v>
      </c>
      <c r="AU118" s="856" t="str">
        <f>O124</f>
        <v>2-bedroom</v>
      </c>
      <c r="AV118" s="536">
        <f t="array" ref="AV118">SUM(IF(Application!B718:F752="2 Bedrooms",Application!G718:J752))</f>
        <v>163</v>
      </c>
      <c r="AW118" s="1011">
        <f>AV118/AV122</f>
        <v>0.50778816199376942</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2 Bedrooms</v>
      </c>
      <c r="AQ119" s="536">
        <f>Application!O725</f>
        <v>1435</v>
      </c>
      <c r="AU119" s="856" t="str">
        <f>T124</f>
        <v>3-bedroom</v>
      </c>
      <c r="AV119" s="536">
        <f t="array" ref="AV119">SUM(IF(Application!B718:F752="3 Bedrooms",Application!G718:J752))</f>
        <v>81</v>
      </c>
      <c r="AW119" s="1011">
        <f>AV119/AV122</f>
        <v>0.25233644859813081</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2 Bedrooms</v>
      </c>
      <c r="AQ120" s="536">
        <f>Application!O726</f>
        <v>1725</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2 Bedrooms</v>
      </c>
      <c r="AQ121" s="536">
        <f>Application!O727</f>
        <v>2014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3 Bedrooms</v>
      </c>
      <c r="AQ122" s="536">
        <f>Application!O728</f>
        <v>991</v>
      </c>
      <c r="AV122" s="536">
        <f>SUM(AV116:AV121)</f>
        <v>321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991</v>
      </c>
    </row>
    <row r="124" spans="1:52" s="536" customFormat="1" ht="12.75" customHeight="1">
      <c r="A124" s="540"/>
      <c r="B124" s="539"/>
      <c r="C124" s="540"/>
      <c r="D124" s="540"/>
      <c r="E124" s="2600" t="s">
        <v>1589</v>
      </c>
      <c r="F124" s="2601"/>
      <c r="G124" s="2601"/>
      <c r="H124" s="2601"/>
      <c r="I124" s="577"/>
      <c r="J124" s="2601" t="s">
        <v>1632</v>
      </c>
      <c r="K124" s="2601"/>
      <c r="L124" s="2601"/>
      <c r="M124" s="2601"/>
      <c r="N124" s="577"/>
      <c r="O124" s="2601" t="s">
        <v>1633</v>
      </c>
      <c r="P124" s="2601"/>
      <c r="Q124" s="2601"/>
      <c r="R124" s="2601"/>
      <c r="S124" s="577"/>
      <c r="T124" s="2601" t="s">
        <v>1335</v>
      </c>
      <c r="U124" s="2601"/>
      <c r="V124" s="2601"/>
      <c r="W124" s="2601"/>
      <c r="X124" s="577"/>
      <c r="Y124" s="2601" t="s">
        <v>1634</v>
      </c>
      <c r="Z124" s="2601"/>
      <c r="AA124" s="2601"/>
      <c r="AB124" s="2601"/>
      <c r="AC124" s="577"/>
      <c r="AD124" s="2601" t="s">
        <v>1635</v>
      </c>
      <c r="AE124" s="2601"/>
      <c r="AF124" s="2601"/>
      <c r="AG124" s="2601"/>
      <c r="AH124" s="577"/>
      <c r="AI124" s="577"/>
      <c r="AJ124" s="579"/>
      <c r="AK124" s="540"/>
      <c r="AL124" s="540"/>
      <c r="AM124" s="540"/>
      <c r="AN124" s="535"/>
      <c r="AO124" s="536" t="str">
        <f>Application!B730</f>
        <v>3 Bedrooms</v>
      </c>
      <c r="AQ124" s="536">
        <f>Application!O730</f>
        <v>1659</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1994</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2328</v>
      </c>
    </row>
    <row r="127" spans="1:52" s="536" customFormat="1" ht="12.75" customHeight="1">
      <c r="A127" s="540"/>
      <c r="B127" s="539"/>
      <c r="C127" s="540"/>
      <c r="D127" s="540"/>
      <c r="E127" s="2602"/>
      <c r="F127" s="2603"/>
      <c r="G127" s="2603"/>
      <c r="H127" s="2603"/>
      <c r="I127" s="864"/>
      <c r="J127" s="2603">
        <v>2252</v>
      </c>
      <c r="K127" s="2603"/>
      <c r="L127" s="2603"/>
      <c r="M127" s="2603"/>
      <c r="N127" s="864"/>
      <c r="O127" s="2603">
        <v>2549</v>
      </c>
      <c r="P127" s="2603"/>
      <c r="Q127" s="2603"/>
      <c r="R127" s="2603"/>
      <c r="S127" s="864"/>
      <c r="T127" s="2603">
        <v>2702</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1403.6103896103896</v>
      </c>
      <c r="K130" s="2611"/>
      <c r="L130" s="2611"/>
      <c r="M130" s="2611"/>
      <c r="N130" s="864"/>
      <c r="O130" s="2611">
        <f>Application!EH670</f>
        <v>1697.9693251533743</v>
      </c>
      <c r="P130" s="2611"/>
      <c r="Q130" s="2611"/>
      <c r="R130" s="2611"/>
      <c r="S130" s="868"/>
      <c r="T130" s="2611">
        <f>Application!EM670</f>
        <v>2096.8888888888887</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0.37672718045719822</v>
      </c>
      <c r="K133" s="2406"/>
      <c r="L133" s="2406"/>
      <c r="M133" s="2407"/>
      <c r="N133" s="577"/>
      <c r="O133" s="2405">
        <f>(O127-O130)/O127</f>
        <v>0.33386844835097124</v>
      </c>
      <c r="P133" s="2406"/>
      <c r="Q133" s="2406"/>
      <c r="R133" s="2407"/>
      <c r="S133" s="577"/>
      <c r="T133" s="2405">
        <f>(T127-T130)/T127</f>
        <v>0.22394933793897531</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6.6380040171975907E-2</v>
      </c>
      <c r="K136" s="2614"/>
      <c r="L136" s="2614"/>
      <c r="M136" s="2615"/>
      <c r="N136" s="577"/>
      <c r="O136" s="2613">
        <f>IF(((O133-0.1)*AW118)&gt;0,((O133-0.1)*AW118),0)</f>
        <v>0.11875562953647448</v>
      </c>
      <c r="P136" s="2614"/>
      <c r="Q136" s="2614"/>
      <c r="R136" s="2615"/>
      <c r="S136" s="577"/>
      <c r="T136" s="2613">
        <f>IF(((T133-0.1)*AW119)&gt;0,((T133-0.1)*AW119),0)</f>
        <v>3.1276935741610591E-2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0.21</v>
      </c>
      <c r="F138" s="2406"/>
      <c r="G138" s="2406"/>
      <c r="H138" s="2407"/>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59" t="s">
        <v>1315</v>
      </c>
      <c r="AF146" s="2459"/>
      <c r="AG146" s="2459"/>
      <c r="AH146" s="2459"/>
      <c r="AI146" s="2459"/>
      <c r="AJ146" s="2459"/>
      <c r="AK146" s="245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1339</v>
      </c>
      <c r="AG148" s="2519"/>
      <c r="AH148" s="2519"/>
      <c r="AI148" s="2519"/>
      <c r="AJ148" s="2519"/>
      <c r="AK148" s="2519"/>
      <c r="AL148" s="251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2631</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0" t="s">
        <v>1342</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1" t="s">
        <v>592</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0" t="s">
        <v>1344</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2476</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2477</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2475</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592</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1353</v>
      </c>
      <c r="AG168" s="2519"/>
      <c r="AH168" s="2519"/>
      <c r="AI168" s="2519"/>
      <c r="AJ168" s="2519"/>
      <c r="AK168" s="2519"/>
      <c r="AL168" s="251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1351</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592</v>
      </c>
      <c r="AG172" s="239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0" t="s">
        <v>1344</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1" t="str">
        <f>Application!AA335</f>
        <v>USA Multifamily Management, Inc.</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1315</v>
      </c>
      <c r="AF186" s="2459"/>
      <c r="AG186" s="2459"/>
      <c r="AH186" s="2459"/>
      <c r="AI186" s="2459"/>
      <c r="AJ186" s="2459"/>
      <c r="AK186" s="2459"/>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8" t="s">
        <v>1042</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1364</v>
      </c>
      <c r="AG188" s="2519"/>
      <c r="AH188" s="2519"/>
      <c r="AI188" s="2519"/>
      <c r="AJ188" s="2519"/>
      <c r="AK188" s="2519"/>
      <c r="AL188" s="2519"/>
      <c r="AN188" s="597"/>
      <c r="AP188" s="550" t="s">
        <v>1044</v>
      </c>
      <c r="AQ188" s="550">
        <v>10</v>
      </c>
    </row>
    <row r="189" spans="1:73" s="550" customFormat="1" ht="12.75" customHeight="1">
      <c r="A189" s="536"/>
      <c r="B189" s="2390" t="s">
        <v>1727</v>
      </c>
      <c r="C189" s="2390"/>
      <c r="D189" s="2390"/>
      <c r="E189" s="2390"/>
      <c r="F189" s="2390"/>
      <c r="G189" s="2390"/>
      <c r="H189" s="2390"/>
      <c r="I189" s="2390"/>
      <c r="J189" s="2390"/>
      <c r="K189" s="2390"/>
      <c r="L189" s="2390"/>
      <c r="M189" s="2390"/>
      <c r="N189" s="2390"/>
      <c r="O189" s="2390"/>
      <c r="P189" s="2390"/>
      <c r="Q189" s="2390"/>
      <c r="R189" s="2390"/>
      <c r="S189" s="2390"/>
      <c r="T189" s="2589" t="s">
        <v>592</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6">
        <f>IF(AK84&gt;0,VLOOKUP($B$188,AP185:AQ191,2,FALSE),0)</f>
        <v>10</v>
      </c>
      <c r="AL191" s="2427"/>
      <c r="AM191" s="2428"/>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1373</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2723</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4500000</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1628</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1664485.7342857162</v>
      </c>
      <c r="AE209" s="2570"/>
      <c r="AF209" s="2570"/>
      <c r="AG209" s="2570"/>
      <c r="AH209" s="2570"/>
      <c r="AI209" s="2570"/>
      <c r="AJ209" s="2570"/>
      <c r="AK209" s="610"/>
    </row>
    <row r="210" spans="1:37">
      <c r="A210" s="605"/>
      <c r="B210" s="2444" t="s">
        <v>1591</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6">
        <f>SUM(AD199:AJ209)-AD210</f>
        <v>6164485.734285716</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1608</v>
      </c>
      <c r="J222" s="2595"/>
      <c r="K222" s="2595"/>
      <c r="L222" s="536"/>
      <c r="M222" s="536"/>
      <c r="N222" s="536"/>
      <c r="O222" s="536"/>
      <c r="P222" s="536"/>
      <c r="Q222" s="536"/>
      <c r="R222" s="536"/>
      <c r="S222" s="536"/>
      <c r="T222" s="2410" t="s">
        <v>1602</v>
      </c>
      <c r="U222" s="2410"/>
      <c r="V222" s="2410"/>
      <c r="W222" s="2410"/>
      <c r="X222" s="2410"/>
      <c r="Y222" s="2410"/>
      <c r="Z222" s="849"/>
      <c r="AA222" s="489"/>
      <c r="AB222" s="2592" t="s">
        <v>1603</v>
      </c>
      <c r="AC222" s="2592"/>
      <c r="AD222" s="2592"/>
      <c r="AE222" s="2592"/>
      <c r="AF222" s="2592"/>
      <c r="AG222" s="2592"/>
      <c r="AH222" s="827"/>
      <c r="AI222" s="827"/>
      <c r="AJ222" s="827"/>
      <c r="AK222" s="610"/>
    </row>
    <row r="223" spans="1:37">
      <c r="A223" s="605"/>
      <c r="B223" s="2593" t="s">
        <v>1588</v>
      </c>
      <c r="C223" s="2593"/>
      <c r="D223" s="2593"/>
      <c r="E223" s="2593"/>
      <c r="F223" s="2593"/>
      <c r="G223" s="2593"/>
      <c r="I223" s="2594" t="s">
        <v>1609</v>
      </c>
      <c r="J223" s="2594"/>
      <c r="K223" s="2594"/>
      <c r="L223" s="1008"/>
      <c r="N223" s="2445" t="s">
        <v>1604</v>
      </c>
      <c r="O223" s="2445"/>
      <c r="P223" s="2445"/>
      <c r="Q223" s="2445"/>
      <c r="R223" s="2445"/>
      <c r="T223" s="2445" t="s">
        <v>1605</v>
      </c>
      <c r="U223" s="2445"/>
      <c r="V223" s="2445"/>
      <c r="W223" s="2445"/>
      <c r="X223" s="2445"/>
      <c r="Y223" s="2445"/>
      <c r="Z223" s="850"/>
      <c r="AA223" s="489"/>
      <c r="AB223" s="2460" t="s">
        <v>1606</v>
      </c>
      <c r="AC223" s="2460"/>
      <c r="AD223" s="2460"/>
      <c r="AE223" s="2460"/>
      <c r="AF223" s="2460"/>
      <c r="AG223" s="2460"/>
      <c r="AH223" s="827"/>
      <c r="AI223" s="827"/>
      <c r="AJ223" s="827"/>
      <c r="AK223" s="610"/>
    </row>
    <row r="224" spans="1:37">
      <c r="A224" s="605"/>
      <c r="B224" s="2461" t="s">
        <v>2724</v>
      </c>
      <c r="C224" s="2461"/>
      <c r="D224" s="2461"/>
      <c r="E224" s="2461"/>
      <c r="F224" s="2461"/>
      <c r="G224" s="2461"/>
      <c r="H224" s="852"/>
      <c r="I224" s="2414">
        <v>2</v>
      </c>
      <c r="J224" s="2414"/>
      <c r="K224" s="2414"/>
      <c r="L224" s="1008"/>
      <c r="N224" s="2412">
        <v>965</v>
      </c>
      <c r="O224" s="2412"/>
      <c r="P224" s="2412"/>
      <c r="Q224" s="2412"/>
      <c r="R224" s="2412"/>
      <c r="T224" s="2411">
        <v>2340</v>
      </c>
      <c r="U224" s="2411"/>
      <c r="V224" s="2411"/>
      <c r="W224" s="2411"/>
      <c r="X224" s="2411"/>
      <c r="Y224" s="2411"/>
      <c r="Z224" s="851"/>
      <c r="AA224" s="851"/>
      <c r="AB224" s="2409">
        <f t="shared" ref="AB224:AB233" si="0">MAX(($T224-$N224)*$I224*12,0)</f>
        <v>33000</v>
      </c>
      <c r="AC224" s="2409"/>
      <c r="AD224" s="2409"/>
      <c r="AE224" s="2409"/>
      <c r="AF224" s="2409"/>
      <c r="AG224" s="2409"/>
      <c r="AH224" s="827"/>
      <c r="AI224" s="827"/>
      <c r="AJ224" s="827"/>
      <c r="AK224" s="610"/>
    </row>
    <row r="225" spans="1:37">
      <c r="A225" s="605"/>
      <c r="B225" s="2461" t="s">
        <v>2725</v>
      </c>
      <c r="C225" s="2461"/>
      <c r="D225" s="2461"/>
      <c r="E225" s="2461"/>
      <c r="F225" s="2461"/>
      <c r="G225" s="2461"/>
      <c r="I225" s="2414">
        <v>4</v>
      </c>
      <c r="J225" s="2414"/>
      <c r="K225" s="2414"/>
      <c r="L225" s="1008"/>
      <c r="N225" s="2412">
        <v>1158</v>
      </c>
      <c r="O225" s="2412"/>
      <c r="P225" s="2412"/>
      <c r="Q225" s="2412"/>
      <c r="R225" s="2412"/>
      <c r="T225" s="2411">
        <v>2900</v>
      </c>
      <c r="U225" s="2411"/>
      <c r="V225" s="2411"/>
      <c r="W225" s="2411"/>
      <c r="X225" s="2411"/>
      <c r="Y225" s="2411"/>
      <c r="Z225" s="851"/>
      <c r="AA225" s="851"/>
      <c r="AB225" s="2409">
        <f t="shared" si="0"/>
        <v>83616</v>
      </c>
      <c r="AC225" s="2409"/>
      <c r="AD225" s="2409"/>
      <c r="AE225" s="2409"/>
      <c r="AF225" s="2409"/>
      <c r="AG225" s="2409"/>
      <c r="AH225" s="827"/>
      <c r="AI225" s="827"/>
      <c r="AJ225" s="827"/>
      <c r="AK225" s="610"/>
    </row>
    <row r="226" spans="1:37">
      <c r="A226" s="605"/>
      <c r="B226" s="2461" t="s">
        <v>2726</v>
      </c>
      <c r="C226" s="2461"/>
      <c r="D226" s="2461"/>
      <c r="E226" s="2461"/>
      <c r="F226" s="2461"/>
      <c r="G226" s="2461"/>
      <c r="I226" s="2414">
        <v>2</v>
      </c>
      <c r="J226" s="2414"/>
      <c r="K226" s="2414"/>
      <c r="L226" s="1008"/>
      <c r="N226" s="2412">
        <v>1337</v>
      </c>
      <c r="O226" s="2412"/>
      <c r="P226" s="2412"/>
      <c r="Q226" s="2412"/>
      <c r="R226" s="2412"/>
      <c r="T226" s="2411">
        <v>3930</v>
      </c>
      <c r="U226" s="2411"/>
      <c r="V226" s="2411"/>
      <c r="W226" s="2411"/>
      <c r="X226" s="2411"/>
      <c r="Y226" s="2411"/>
      <c r="Z226" s="851"/>
      <c r="AA226" s="851"/>
      <c r="AB226" s="2409">
        <f t="shared" si="0"/>
        <v>62232</v>
      </c>
      <c r="AC226" s="2409"/>
      <c r="AD226" s="2409"/>
      <c r="AE226" s="2409"/>
      <c r="AF226" s="2409"/>
      <c r="AG226" s="2409"/>
      <c r="AH226" s="827"/>
      <c r="AI226" s="827"/>
      <c r="AJ226" s="827"/>
      <c r="AK226" s="610"/>
    </row>
    <row r="227" spans="1:37">
      <c r="A227" s="605"/>
      <c r="B227" s="2461" t="s">
        <v>1185</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1185</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1185</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1185</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1185</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1185</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1185</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09">
        <f>SUM(AB224:AB233)</f>
        <v>178848</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178848</v>
      </c>
      <c r="AC250" s="2409"/>
      <c r="AD250" s="2409"/>
      <c r="AE250" s="2409"/>
      <c r="AF250" s="2409"/>
      <c r="AG250" s="240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169905.6</v>
      </c>
      <c r="AC252" s="2581"/>
      <c r="AD252" s="2581"/>
      <c r="AE252" s="2581"/>
      <c r="AF252" s="2581"/>
      <c r="AG252" s="258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147744.00000000003</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1664485.7342857162</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6164485.734285716</v>
      </c>
      <c r="AH268" s="2423"/>
      <c r="AI268" s="2423"/>
      <c r="AJ268" s="2423"/>
      <c r="AK268" s="2423"/>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153912164</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0.08</v>
      </c>
      <c r="AH270" s="2569"/>
      <c r="AI270" s="2569"/>
      <c r="AJ270" s="2569"/>
      <c r="AK270" s="256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8">
        <f>IFERROR(IF(AG270=0,0,IF((AG270*100)&gt;8,8,(AG270*100))),0)</f>
        <v>8</v>
      </c>
      <c r="AL273" s="2558"/>
      <c r="AM273" s="255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0" t="s">
        <v>546</v>
      </c>
      <c r="D278" s="2440"/>
      <c r="E278" s="547"/>
      <c r="F278" s="2392" t="s">
        <v>2025</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1364</v>
      </c>
      <c r="AH278" s="2567"/>
      <c r="AI278" s="2567"/>
      <c r="AJ278" s="2567"/>
      <c r="AK278" s="550"/>
      <c r="AL278" s="550"/>
      <c r="AM278" s="550"/>
      <c r="AO278" s="550"/>
    </row>
    <row r="279" spans="1:52" ht="13.7"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8">
        <f>IF($C$278="yes",10,0)</f>
        <v>10</v>
      </c>
      <c r="AL285" s="2558"/>
      <c r="AM285" s="255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2" t="s">
        <v>1383</v>
      </c>
      <c r="B292" s="1632"/>
      <c r="C292" s="2391" t="s">
        <v>546</v>
      </c>
      <c r="D292" s="2440"/>
      <c r="E292" s="547"/>
      <c r="F292" s="2560" t="s">
        <v>1384</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2018</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8" t="s">
        <v>2026</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1385</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1386</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2" t="s">
        <v>1387</v>
      </c>
      <c r="B302" s="1632"/>
      <c r="C302" s="2440" t="s">
        <v>592</v>
      </c>
      <c r="D302" s="244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2" t="s">
        <v>2020</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2" t="s">
        <v>1390</v>
      </c>
      <c r="B310" s="1632"/>
      <c r="C310" s="2440" t="s">
        <v>592</v>
      </c>
      <c r="D310" s="244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8" t="s">
        <v>2027</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1185</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1185</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1" t="s">
        <v>1185</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1" t="s">
        <v>1185</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2" t="s">
        <v>1393</v>
      </c>
      <c r="B333" s="1632"/>
      <c r="C333" s="2440" t="s">
        <v>592</v>
      </c>
      <c r="D333" s="2440"/>
      <c r="E333" s="547"/>
      <c r="F333" s="2539" t="s">
        <v>2028</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6">
        <f>IF(NOT(OR(Application!M355="Yes",Application!M356="Yes")),0,AP295)</f>
        <v>10</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59" t="s">
        <v>1315</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1455</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2093</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2208</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1456</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1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8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1457</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7</v>
      </c>
      <c r="AS359" s="539" t="s">
        <v>1458</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0</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582</v>
      </c>
      <c r="AP361" s="696">
        <f>IF(C407="Yes",5,0)</f>
        <v>0</v>
      </c>
      <c r="AS361" s="539" t="s">
        <v>1879</v>
      </c>
    </row>
    <row r="362" spans="1:46" s="550" customFormat="1" ht="12.75" customHeight="1">
      <c r="A362" s="603"/>
      <c r="B362" s="611"/>
      <c r="C362" s="2529" t="s">
        <v>2232</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3</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764</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585</v>
      </c>
      <c r="AP364" s="696">
        <f>IF(C421="Yes",5,0)</f>
        <v>0</v>
      </c>
    </row>
    <row r="365" spans="1:46" s="550" customFormat="1" ht="11.8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5" t="s">
        <v>1459</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457</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462</v>
      </c>
      <c r="AP370" s="696">
        <f>IF(C449="Yes",5,0)</f>
        <v>0</v>
      </c>
    </row>
    <row r="371" spans="1:81" s="550" customFormat="1" ht="68.099999999999994"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6">
        <f>Application!DU802-U374</f>
        <v>646</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29" t="s">
        <v>1461</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592</v>
      </c>
      <c r="D381" s="244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1463</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29" t="s">
        <v>1464</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592</v>
      </c>
      <c r="D389" s="244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1463</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29" t="s">
        <v>1466</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546</v>
      </c>
      <c r="D397" s="244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1468</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592</v>
      </c>
      <c r="D399" s="244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1463</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29" t="s">
        <v>1472</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592</v>
      </c>
      <c r="D407" s="244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1463</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546</v>
      </c>
      <c r="D409" s="244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1475</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592</v>
      </c>
      <c r="D412" s="2440"/>
      <c r="E412" s="715" t="s">
        <v>1476</v>
      </c>
      <c r="F412" s="2429" t="s">
        <v>1477</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1463</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29" t="s">
        <v>1479</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592</v>
      </c>
      <c r="D421" s="244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1463</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592</v>
      </c>
      <c r="D423" s="244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1475</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29" t="s">
        <v>1483</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592</v>
      </c>
      <c r="D430" s="244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1463</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29" t="s">
        <v>1486</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592</v>
      </c>
      <c r="D442" s="244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1463</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29" t="s">
        <v>1489</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592</v>
      </c>
      <c r="D449" s="244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1463</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592</v>
      </c>
      <c r="D453" s="2556"/>
      <c r="E453" s="715" t="s">
        <v>1498</v>
      </c>
      <c r="F453" s="2429" t="s">
        <v>1499</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1463</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649999999999999"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592</v>
      </c>
      <c r="D457" s="2440"/>
      <c r="E457" s="715" t="s">
        <v>1504</v>
      </c>
      <c r="F457" s="2429" t="s">
        <v>1505</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1463</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29" t="s">
        <v>1508</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592</v>
      </c>
      <c r="D466" s="244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1463</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1" t="s">
        <v>1512</v>
      </c>
      <c r="AF472" s="2441"/>
      <c r="AG472" s="2441"/>
      <c r="AH472" s="2441"/>
      <c r="AI472" s="2441"/>
      <c r="AJ472" s="2441"/>
      <c r="AK472" s="2441"/>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8" t="s">
        <v>592</v>
      </c>
      <c r="D478" s="2449"/>
      <c r="E478" s="761" t="s">
        <v>508</v>
      </c>
      <c r="F478" s="2526" t="s">
        <v>1518</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4" t="s">
        <v>592</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5" t="s">
        <v>546</v>
      </c>
      <c r="D482" s="245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4" t="s">
        <v>592</v>
      </c>
      <c r="W485" s="2434"/>
      <c r="X485" s="243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4" t="s">
        <v>592</v>
      </c>
      <c r="W487" s="2434"/>
      <c r="X487" s="243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4" t="s">
        <v>592</v>
      </c>
      <c r="W492" s="2434"/>
      <c r="X492" s="243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3"/>
      <c r="E495" s="245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4" t="s">
        <v>592</v>
      </c>
      <c r="W496" s="2434"/>
      <c r="X496" s="243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4" t="s">
        <v>592</v>
      </c>
      <c r="W498" s="2434"/>
      <c r="X498" s="243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592</v>
      </c>
      <c r="D501" s="2449"/>
      <c r="E501" s="761" t="s">
        <v>508</v>
      </c>
      <c r="F501" s="2526" t="s">
        <v>1518</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592</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592</v>
      </c>
      <c r="D505" s="2449"/>
      <c r="E505" s="761" t="s">
        <v>758</v>
      </c>
      <c r="F505" s="2450" t="s">
        <v>1540</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592</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592</v>
      </c>
      <c r="D510" s="244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592</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592</v>
      </c>
      <c r="D515" s="2521"/>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592</v>
      </c>
      <c r="D519" s="2521"/>
      <c r="F519" s="795" t="s">
        <v>1548</v>
      </c>
      <c r="G519" s="2430" t="s">
        <v>1549</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592</v>
      </c>
      <c r="D523" s="2523"/>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592</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1561</v>
      </c>
      <c r="AF538" s="2459"/>
      <c r="AG538" s="2459"/>
      <c r="AH538" s="2459"/>
      <c r="AI538" s="2459"/>
      <c r="AJ538" s="2459"/>
      <c r="AK538" s="2459"/>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592</v>
      </c>
      <c r="D541" s="2440"/>
      <c r="E541" s="551"/>
      <c r="F541" s="2462" t="s">
        <v>1562</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546</v>
      </c>
      <c r="D544" s="244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1564</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1565</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153949570</v>
      </c>
      <c r="AQ550" s="2417"/>
      <c r="AR550" s="2417"/>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142877957</v>
      </c>
      <c r="AG551" s="2423"/>
      <c r="AH551" s="2423"/>
      <c r="AI551" s="2423"/>
      <c r="AJ551" s="2423"/>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210910910.90000001</v>
      </c>
      <c r="AG552" s="2424"/>
      <c r="AH552" s="2424"/>
      <c r="AI552" s="2424"/>
      <c r="AJ552" s="2424"/>
      <c r="AK552" s="595"/>
      <c r="AL552" s="595"/>
      <c r="AM552" s="595"/>
      <c r="AN552" s="597"/>
      <c r="AP552" s="2417">
        <f>Application!AJ1045</f>
        <v>26171426.900000002</v>
      </c>
      <c r="AQ552" s="2417"/>
      <c r="AR552" s="2417"/>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0.64</v>
      </c>
      <c r="AG553" s="2425"/>
      <c r="AH553" s="2425"/>
      <c r="AI553" s="2425"/>
      <c r="AJ553" s="2425"/>
      <c r="AK553" s="595"/>
      <c r="AL553" s="595"/>
      <c r="AM553" s="595"/>
      <c r="AN553" s="597"/>
      <c r="AP553" s="2413">
        <f>Application!AJ1049</f>
        <v>30789914</v>
      </c>
      <c r="AQ553" s="2413"/>
      <c r="AR553" s="2413"/>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0.37000000000000005</v>
      </c>
      <c r="AQ554" s="2432"/>
      <c r="AR554" s="2432"/>
      <c r="AS554" s="550" t="s">
        <v>2172</v>
      </c>
    </row>
    <row r="555" spans="1:49" s="550" customFormat="1" ht="12.75" customHeight="1">
      <c r="A555" s="624"/>
      <c r="B555" s="2499" t="s">
        <v>2032</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153949570</v>
      </c>
      <c r="AQ556" s="2433"/>
      <c r="AR556" s="2433"/>
      <c r="AS556" s="550" t="s">
        <v>2174</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210910910.90000001</v>
      </c>
      <c r="AQ557" s="2417"/>
      <c r="AR557" s="2417"/>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8">
        <f>IFERROR(IF(AND(C541="N/A",C544="N/A"),0,IF(AF553=0,0,IF((AF553*100)&gt;12,12,(AF553*100)))),0)</f>
        <v>12</v>
      </c>
      <c r="AL559" s="2508"/>
      <c r="AM559" s="2509"/>
      <c r="AN559" s="597"/>
      <c r="AP559" s="2402">
        <f>AP556+(AP550*AP554)</f>
        <v>210910910.90000001</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1315</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2023</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1339</v>
      </c>
      <c r="AG578" s="2519"/>
      <c r="AH578" s="2519"/>
      <c r="AI578" s="2519"/>
      <c r="AJ578" s="2519"/>
      <c r="AK578" s="2519"/>
      <c r="AL578" s="251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1397</v>
      </c>
      <c r="AG585" s="2519"/>
      <c r="AH585" s="2519"/>
      <c r="AI585" s="2519"/>
      <c r="AJ585" s="2519"/>
      <c r="AK585" s="2519"/>
      <c r="AL585" s="251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1379</v>
      </c>
      <c r="AG591" s="2519"/>
      <c r="AH591" s="2519"/>
      <c r="AI591" s="2519"/>
      <c r="AJ591" s="2519"/>
      <c r="AK591" s="2519"/>
      <c r="AL591" s="251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1400</v>
      </c>
      <c r="AG597" s="2519"/>
      <c r="AH597" s="2519"/>
      <c r="AI597" s="2519"/>
      <c r="AJ597" s="2519"/>
      <c r="AK597" s="2519"/>
      <c r="AL597" s="251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5" t="s">
        <v>1185</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1353</v>
      </c>
      <c r="AG603" s="2519"/>
      <c r="AH603" s="2519"/>
      <c r="AI603" s="2519"/>
      <c r="AJ603" s="2519"/>
      <c r="AK603" s="2519"/>
      <c r="AL603" s="251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3" t="s">
        <v>1398</v>
      </c>
      <c r="I606" s="2443"/>
      <c r="J606" s="936"/>
      <c r="K606" s="936"/>
      <c r="L606" s="936"/>
      <c r="N606" s="22"/>
      <c r="O606" s="22"/>
      <c r="P606" s="22"/>
      <c r="Q606" s="1151" t="s">
        <v>2177</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1" t="s">
        <v>592</v>
      </c>
      <c r="C616" s="2391"/>
      <c r="D616" s="642"/>
      <c r="E616" s="2419" t="s">
        <v>1404</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6">
        <f>VLOOKUP($H$606,$AO$586:$AP$591,2,FALSE)+IF(R606=AO594,0,VLOOKUP($I$614,$AO$613:$AP$615,2,FALSE))</f>
        <v>4</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3" t="s">
        <v>1695</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1353</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1" t="s">
        <v>592</v>
      </c>
      <c r="Y634" s="239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1409</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3" t="s">
        <v>688</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6">
        <f>VLOOKUP($H$638,$AO$605:$AP$607,2,FALSE)</f>
        <v>3</v>
      </c>
      <c r="AK640" s="2428"/>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9" t="s">
        <v>2098</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1353</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1409</v>
      </c>
      <c r="AG647" s="2519"/>
      <c r="AH647" s="2519"/>
      <c r="AI647" s="2519"/>
      <c r="AJ647" s="2519"/>
      <c r="AK647" s="2519"/>
      <c r="AL647" s="251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3" t="s">
        <v>592</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6">
        <f>VLOOKUP(H650,AT605:AU607,2,FALSE)</f>
        <v>0</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9" t="s">
        <v>1419</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1379</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9" t="s">
        <v>1420</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1400</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1421</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1353</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592</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19" t="s">
        <v>1422</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1400</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19" t="s">
        <v>1423</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1353</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19" t="s">
        <v>1424</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1409</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19" t="s">
        <v>1425</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1426</v>
      </c>
      <c r="AG681" s="2519"/>
      <c r="AH681" s="2519"/>
      <c r="AI681" s="2519"/>
      <c r="AJ681" s="2519"/>
      <c r="AK681" s="2519"/>
      <c r="AL681" s="2519"/>
      <c r="AM681" s="596"/>
      <c r="AN681" s="597"/>
      <c r="AO681" s="611" t="s">
        <v>688</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3" t="s">
        <v>592</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6">
        <f>VLOOKUP($H$685,$AO$633:$AP$640,2,FALSE)</f>
        <v>0</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321</v>
      </c>
    </row>
    <row r="691" spans="1:51" s="550" customFormat="1" ht="12.75" customHeight="1">
      <c r="A691" s="679"/>
      <c r="B691" s="536"/>
      <c r="C691" s="948"/>
      <c r="D691" s="663" t="s">
        <v>688</v>
      </c>
      <c r="E691" s="2389" t="s">
        <v>2190</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1353</v>
      </c>
      <c r="AG691" s="2519"/>
      <c r="AH691" s="2519"/>
      <c r="AI691" s="2519"/>
      <c r="AJ691" s="2519"/>
      <c r="AK691" s="2519"/>
      <c r="AL691" s="2519"/>
      <c r="AN691" s="597"/>
      <c r="AW691" s="22" t="s">
        <v>2185</v>
      </c>
      <c r="AX691" s="550">
        <f>Application!DE753</f>
        <v>81</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19" t="s">
        <v>2134</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1353</v>
      </c>
      <c r="AG694" s="2519"/>
      <c r="AH694" s="2519"/>
      <c r="AI694" s="2519"/>
      <c r="AJ694" s="2519"/>
      <c r="AK694" s="2519"/>
      <c r="AL694" s="2519"/>
      <c r="AN694" s="597"/>
      <c r="AW694" s="22" t="s">
        <v>2188</v>
      </c>
      <c r="AX694" s="550">
        <f>AX691+AX692+AX693</f>
        <v>81</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2189</v>
      </c>
      <c r="AX695" s="550">
        <f>IFERROR(AX694/AX690,0)</f>
        <v>0.25233644859813081</v>
      </c>
      <c r="AY695" s="550">
        <f>IFERROR(AX694/(AX690-AX689),0)</f>
        <v>0.25233644859813081</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9" t="s">
        <v>2135</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1409</v>
      </c>
      <c r="AG699" s="2519"/>
      <c r="AH699" s="2519"/>
      <c r="AI699" s="2519"/>
      <c r="AJ699" s="2519"/>
      <c r="AK699" s="2519"/>
      <c r="AL699" s="2519"/>
      <c r="AN699" s="597"/>
      <c r="AO699" s="611" t="s">
        <v>510</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9" t="s">
        <v>1694</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3" t="s">
        <v>592</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6">
        <f>VLOOKUP($H$709,$AO$703:$AP$706,2,FALSE)</f>
        <v>0</v>
      </c>
      <c r="AK711" s="2428"/>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1353</v>
      </c>
      <c r="AG715" s="2519"/>
      <c r="AH715" s="2519"/>
      <c r="AI715" s="2519"/>
      <c r="AJ715" s="2519"/>
      <c r="AK715" s="2519"/>
      <c r="AL715" s="2519"/>
      <c r="AM715" s="550"/>
      <c r="AN715" s="684"/>
      <c r="AP715" s="570" t="s">
        <v>1433</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1409</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3" t="s">
        <v>592</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9" t="s">
        <v>1697</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1353</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9" t="s">
        <v>1440</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1409</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3" t="s">
        <v>592</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9" t="s">
        <v>1443</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1353</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9" t="s">
        <v>1444</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1409</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3" t="s">
        <v>592</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6">
        <f>VLOOKUP($H$751,$AO$680:$AP$682,2,FALSE)</f>
        <v>0</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9" t="s">
        <v>1446</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1409</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9" t="s">
        <v>1447</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1426</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3" t="s">
        <v>592</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6">
        <f>VLOOKUP($H$763,$AO$697:$AP$699,2,FALSE)</f>
        <v>0</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9" t="s">
        <v>1693</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1409</v>
      </c>
      <c r="AG769" s="2519"/>
      <c r="AH769" s="2519"/>
      <c r="AI769" s="2519"/>
      <c r="AJ769" s="2519"/>
      <c r="AK769" s="2519"/>
      <c r="AL769" s="2519"/>
      <c r="AM769" s="613"/>
      <c r="AN769" s="684"/>
      <c r="AO769" s="550" t="s">
        <v>592</v>
      </c>
      <c r="AP769" s="673">
        <v>0</v>
      </c>
    </row>
    <row r="770" spans="1:81" s="570" customFormat="1" ht="13.7"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0" t="s">
        <v>1698</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1353</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3" t="s">
        <v>592</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9" t="s">
        <v>2033</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1353</v>
      </c>
      <c r="AG785" s="2519"/>
      <c r="AH785" s="2519"/>
      <c r="AI785" s="2519"/>
      <c r="AJ785" s="2519"/>
      <c r="AK785" s="2519"/>
      <c r="AL785" s="251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3" t="s">
        <v>546</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6">
        <f>VLOOKUP($H$790,$AO$784:$AP$785,2,FALSE)</f>
        <v>3</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1569</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1570</v>
      </c>
      <c r="U802" s="2514"/>
      <c r="V802" s="2514"/>
      <c r="W802" s="2514"/>
      <c r="X802" s="2514"/>
      <c r="Y802" s="2515"/>
      <c r="Z802" s="2513" t="s">
        <v>1571</v>
      </c>
      <c r="AA802" s="2514"/>
      <c r="AB802" s="2514"/>
      <c r="AC802" s="2514"/>
      <c r="AD802" s="2514"/>
      <c r="AE802" s="2515"/>
      <c r="AF802" s="2513" t="s">
        <v>1572</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758</v>
      </c>
      <c r="B804" s="2470" t="s">
        <v>1305</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1542</v>
      </c>
      <c r="B805" s="2470" t="s">
        <v>1314</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1551</v>
      </c>
      <c r="B806" s="2470" t="s">
        <v>1324</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1573</v>
      </c>
      <c r="B807" s="2470" t="s">
        <v>1334</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1574</v>
      </c>
      <c r="B808" s="2470" t="s">
        <v>1575</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1576</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1577</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1362</v>
      </c>
      <c r="B811" s="2470" t="s">
        <v>1578</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1371</v>
      </c>
      <c r="B812" s="2470" t="s">
        <v>1372</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590</v>
      </c>
      <c r="B813" s="2470" t="s">
        <v>1579</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0" t="s">
        <v>1580</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0" t="s">
        <v>1382</v>
      </c>
      <c r="C815" s="2470"/>
      <c r="D815" s="2470"/>
      <c r="E815" s="2470"/>
      <c r="F815" s="2470"/>
      <c r="G815" s="2470"/>
      <c r="H815" s="2470"/>
      <c r="I815" s="2470"/>
      <c r="J815" s="2470"/>
      <c r="K815" s="2470"/>
      <c r="L815" s="2470"/>
      <c r="M815" s="2470"/>
      <c r="N815" s="2470"/>
      <c r="O815" s="2470"/>
      <c r="P815" s="2470"/>
      <c r="Q815" s="2470"/>
      <c r="R815" s="2470"/>
      <c r="S815" s="2471"/>
      <c r="T815" s="2472">
        <f>AK338</f>
        <v>10</v>
      </c>
      <c r="U815" s="2472"/>
      <c r="V815" s="2472"/>
      <c r="W815" s="2472"/>
      <c r="X815" s="2472"/>
      <c r="Y815" s="2472"/>
      <c r="Z815" s="2481">
        <v>10</v>
      </c>
      <c r="AA815" s="2482"/>
      <c r="AB815" s="2482"/>
      <c r="AC815" s="2482"/>
      <c r="AD815" s="2482"/>
      <c r="AE815" s="2483"/>
      <c r="AF815" s="2481">
        <f>IF(T815&gt;Z815,Z815,T815)</f>
        <v>10</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8">
        <f>AK338</f>
        <v>10</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0" t="s">
        <v>846</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0" t="s">
        <v>1560</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0" t="s">
        <v>1582</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1583</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1584</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6" t="s">
        <v>1585</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120</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8e4641c1-9069-4aa4-bc7a-4043602993a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A5395B129F5C242B47AD88C17D60AF1" ma:contentTypeVersion="13" ma:contentTypeDescription="Create a new document." ma:contentTypeScope="" ma:versionID="3d9ce45d6a90a4211284695f97b65500">
  <xsd:schema xmlns:xsd="http://www.w3.org/2001/XMLSchema" xmlns:xs="http://www.w3.org/2001/XMLSchema" xmlns:p="http://schemas.microsoft.com/office/2006/metadata/properties" xmlns:ns2="8e4641c1-9069-4aa4-bc7a-4043602993ab" xmlns:ns3="a9d8134d-3034-4af2-95a0-a3316f96fd95" targetNamespace="http://schemas.microsoft.com/office/2006/metadata/properties" ma:root="true" ma:fieldsID="dcad2adb5e11fa81d9bb31fdb961563e" ns2:_="" ns3:_="">
    <xsd:import namespace="8e4641c1-9069-4aa4-bc7a-4043602993ab"/>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4641c1-9069-4aa4-bc7a-4043602993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D1A992-8F83-47B7-922C-845A29EA6444}">
  <ds:schemaRefs>
    <ds:schemaRef ds:uri="http://purl.org/dc/terms/"/>
    <ds:schemaRef ds:uri="http://purl.org/dc/dcmitype/"/>
    <ds:schemaRef ds:uri="http://schemas.microsoft.com/office/2006/documentManagement/types"/>
    <ds:schemaRef ds:uri="http://schemas.microsoft.com/office/2006/metadata/properties"/>
    <ds:schemaRef ds:uri="a9d8134d-3034-4af2-95a0-a3316f96fd95"/>
    <ds:schemaRef ds:uri="http://schemas.microsoft.com/office/infopath/2007/PartnerControls"/>
    <ds:schemaRef ds:uri="http://schemas.openxmlformats.org/package/2006/metadata/core-properties"/>
    <ds:schemaRef ds:uri="8e4641c1-9069-4aa4-bc7a-4043602993ab"/>
    <ds:schemaRef ds:uri="http://www.w3.org/XML/1998/namespace"/>
    <ds:schemaRef ds:uri="http://purl.org/dc/elements/1.1/"/>
  </ds:schemaRefs>
</ds:datastoreItem>
</file>

<file path=customXml/itemProps2.xml><?xml version="1.0" encoding="utf-8"?>
<ds:datastoreItem xmlns:ds="http://schemas.openxmlformats.org/officeDocument/2006/customXml" ds:itemID="{C60EAA26-6EAC-4AE2-825D-26D639AB4D7A}">
  <ds:schemaRefs>
    <ds:schemaRef ds:uri="http://schemas.microsoft.com/sharepoint/v3/contenttype/forms"/>
  </ds:schemaRefs>
</ds:datastoreItem>
</file>

<file path=customXml/itemProps3.xml><?xml version="1.0" encoding="utf-8"?>
<ds:datastoreItem xmlns:ds="http://schemas.openxmlformats.org/officeDocument/2006/customXml" ds:itemID="{C433F9B3-CDF8-469B-A722-D9B35F329A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4641c1-9069-4aa4-bc7a-4043602993ab"/>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Nick Carter</cp:lastModifiedBy>
  <cp:lastPrinted>2025-08-28T02:50:34Z</cp:lastPrinted>
  <dcterms:created xsi:type="dcterms:W3CDTF">2007-12-27T18:26:28Z</dcterms:created>
  <dcterms:modified xsi:type="dcterms:W3CDTF">2025-09-03T18:12:16Z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0x0101009A5395B129F5C242B47AD88C17D60AF1</vt:lpwstr>
  </property>
  <property fmtid="{D5CDD505-2E9C-101B-9397-08002B2CF9AE}" pid="3" name="MediaServiceImageTags">
    <vt:lpwstr/>
  </property>
</Properties>
</file>